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KAP PEMBUKUAN PAJAK 2022\"/>
    </mc:Choice>
  </mc:AlternateContent>
  <bookViews>
    <workbookView xWindow="0" yWindow="0" windowWidth="20490" windowHeight="7905" tabRatio="756" firstSheet="3" activeTab="6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3" hidden="1">'REKAP REKENING KORAN'!$A$4:$J$28</definedName>
    <definedName name="_xlnm.Print_Area" localSheetId="4">'REKAP PAJAK'!$A$1:$T$21</definedName>
    <definedName name="_xlnm.Print_Area" localSheetId="6">'REKAP PENJUALAN'!$B$1:$L$200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KORAN'!$A$4:$J$28</definedName>
    <definedName name="Z_BE90C906_DD41_47D5_AC7B_96F7A4C7F4EE_.wvu.PrintArea" localSheetId="6" hidden="1">'REKAP PENJUALAN'!$B$1:$L$200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K1751" i="7" l="1"/>
  <c r="K1755" i="7"/>
  <c r="K1750" i="7"/>
  <c r="K1764" i="7"/>
  <c r="K1649" i="7"/>
  <c r="K1687" i="7"/>
  <c r="K1739" i="7"/>
  <c r="K1727" i="7"/>
  <c r="K1664" i="7"/>
  <c r="K1737" i="7" l="1"/>
  <c r="K1752" i="7"/>
  <c r="K1748" i="7"/>
  <c r="K1653" i="7"/>
  <c r="K1659" i="7"/>
  <c r="K1729" i="7"/>
  <c r="K1630" i="7" l="1"/>
  <c r="K1738" i="7"/>
  <c r="K1662" i="7"/>
  <c r="K1695" i="7"/>
  <c r="K1735" i="7"/>
  <c r="K1736" i="7"/>
  <c r="K1724" i="7"/>
  <c r="K1720" i="7"/>
  <c r="K1719" i="7"/>
  <c r="K1741" i="7"/>
  <c r="K1718" i="7"/>
  <c r="K1635" i="7"/>
  <c r="K1706" i="7"/>
  <c r="K1733" i="7"/>
  <c r="K1658" i="7"/>
  <c r="K1726" i="7"/>
  <c r="K1665" i="7"/>
  <c r="K1730" i="7"/>
  <c r="K1740" i="7"/>
  <c r="K1716" i="7"/>
  <c r="K1728" i="7"/>
  <c r="K1705" i="7" l="1"/>
  <c r="K1689" i="7"/>
  <c r="K1725" i="7"/>
  <c r="K1636" i="7"/>
  <c r="K1693" i="7"/>
  <c r="K1660" i="7"/>
  <c r="M649" i="6" l="1"/>
  <c r="J649" i="6"/>
  <c r="K649" i="6"/>
  <c r="L649" i="6" s="1"/>
  <c r="J646" i="6" l="1"/>
  <c r="K646" i="6" s="1"/>
  <c r="L646" i="6" s="1"/>
  <c r="M646" i="6"/>
  <c r="J647" i="6"/>
  <c r="K647" i="6"/>
  <c r="L647" i="6" s="1"/>
  <c r="M647" i="6"/>
  <c r="J625" i="6"/>
  <c r="K625" i="6" s="1"/>
  <c r="L625" i="6" s="1"/>
  <c r="M625" i="6"/>
  <c r="J626" i="6"/>
  <c r="K626" i="6" s="1"/>
  <c r="L626" i="6" s="1"/>
  <c r="M626" i="6"/>
  <c r="K1676" i="7" l="1"/>
  <c r="K1703" i="7"/>
  <c r="K1661" i="7"/>
  <c r="K1675" i="7"/>
  <c r="K1652" i="7"/>
  <c r="K1723" i="7"/>
  <c r="I1792" i="7" l="1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628" i="7"/>
  <c r="J1628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J624" i="6" l="1"/>
  <c r="K624" i="6"/>
  <c r="L624" i="6" s="1"/>
  <c r="M624" i="6"/>
  <c r="J644" i="6"/>
  <c r="K644" i="6" s="1"/>
  <c r="L644" i="6" s="1"/>
  <c r="M644" i="6"/>
  <c r="J645" i="6"/>
  <c r="K645" i="6" s="1"/>
  <c r="L645" i="6" s="1"/>
  <c r="M645" i="6"/>
  <c r="K1709" i="7" l="1"/>
  <c r="K1714" i="7" l="1"/>
  <c r="K1715" i="7"/>
  <c r="K1712" i="7" l="1"/>
  <c r="K1644" i="7"/>
  <c r="K1711" i="7"/>
  <c r="K1710" i="7"/>
  <c r="J622" i="6" l="1"/>
  <c r="K622" i="6" s="1"/>
  <c r="L622" i="6" s="1"/>
  <c r="M622" i="6"/>
  <c r="J623" i="6"/>
  <c r="K623" i="6" s="1"/>
  <c r="L623" i="6" s="1"/>
  <c r="M623" i="6"/>
  <c r="J633" i="6"/>
  <c r="K633" i="6" s="1"/>
  <c r="L633" i="6" s="1"/>
  <c r="M633" i="6"/>
  <c r="J634" i="6"/>
  <c r="K634" i="6" s="1"/>
  <c r="L634" i="6" s="1"/>
  <c r="M634" i="6"/>
  <c r="J635" i="6"/>
  <c r="K635" i="6" s="1"/>
  <c r="L635" i="6" s="1"/>
  <c r="M635" i="6"/>
  <c r="J636" i="6"/>
  <c r="K636" i="6" s="1"/>
  <c r="L636" i="6" s="1"/>
  <c r="M636" i="6"/>
  <c r="J637" i="6"/>
  <c r="K637" i="6" s="1"/>
  <c r="L637" i="6" s="1"/>
  <c r="M637" i="6"/>
  <c r="J638" i="6"/>
  <c r="K638" i="6" s="1"/>
  <c r="L638" i="6" s="1"/>
  <c r="M638" i="6"/>
  <c r="J639" i="6"/>
  <c r="K639" i="6" s="1"/>
  <c r="L639" i="6" s="1"/>
  <c r="M639" i="6"/>
  <c r="J640" i="6"/>
  <c r="K640" i="6" s="1"/>
  <c r="L640" i="6" s="1"/>
  <c r="M640" i="6"/>
  <c r="J641" i="6"/>
  <c r="K641" i="6" s="1"/>
  <c r="L641" i="6" s="1"/>
  <c r="M641" i="6"/>
  <c r="J642" i="6"/>
  <c r="K642" i="6" s="1"/>
  <c r="L642" i="6" s="1"/>
  <c r="M642" i="6"/>
  <c r="J643" i="6"/>
  <c r="K643" i="6" s="1"/>
  <c r="L643" i="6" s="1"/>
  <c r="M643" i="6"/>
  <c r="M632" i="6"/>
  <c r="J632" i="6"/>
  <c r="K632" i="6" s="1"/>
  <c r="M621" i="6"/>
  <c r="J621" i="6"/>
  <c r="K621" i="6" s="1"/>
  <c r="M617" i="6"/>
  <c r="J617" i="6"/>
  <c r="K617" i="6" s="1"/>
  <c r="L632" i="6" l="1"/>
  <c r="L621" i="6"/>
  <c r="L617" i="6"/>
  <c r="K1647" i="7"/>
  <c r="K1634" i="7"/>
  <c r="K1656" i="7"/>
  <c r="K1684" i="7"/>
  <c r="K1700" i="7"/>
  <c r="K1688" i="7" l="1"/>
  <c r="K1632" i="7"/>
  <c r="K1685" i="7"/>
  <c r="K1638" i="7"/>
  <c r="K1682" i="7"/>
  <c r="K1654" i="7"/>
  <c r="J570" i="6" l="1"/>
  <c r="K570" i="6" s="1"/>
  <c r="L570" i="6" s="1"/>
  <c r="M570" i="6"/>
  <c r="K1640" i="7" l="1"/>
  <c r="K1671" i="7"/>
  <c r="K1670" i="7"/>
  <c r="K1646" i="7"/>
  <c r="K1645" i="7"/>
  <c r="K1639" i="7"/>
  <c r="K1651" i="7" l="1"/>
  <c r="K1655" i="7"/>
  <c r="K1627" i="7" l="1"/>
  <c r="L574" i="6" l="1"/>
  <c r="M574" i="6"/>
  <c r="J567" i="6"/>
  <c r="K567" i="6" s="1"/>
  <c r="L567" i="6" s="1"/>
  <c r="M567" i="6"/>
  <c r="J568" i="6"/>
  <c r="K568" i="6" s="1"/>
  <c r="L568" i="6" s="1"/>
  <c r="M568" i="6"/>
  <c r="J569" i="6"/>
  <c r="K569" i="6" s="1"/>
  <c r="L569" i="6" s="1"/>
  <c r="M569" i="6"/>
  <c r="M609" i="6" l="1"/>
  <c r="J566" i="6"/>
  <c r="K566" i="6" s="1"/>
  <c r="L566" i="6" s="1"/>
  <c r="M566" i="6"/>
  <c r="L609" i="6" l="1"/>
  <c r="L605" i="6"/>
  <c r="M605" i="6"/>
  <c r="P22" i="11" l="1"/>
  <c r="P21" i="11"/>
  <c r="P20" i="11"/>
  <c r="P19" i="11"/>
  <c r="P18" i="11"/>
  <c r="O424" i="10"/>
  <c r="M537" i="6" l="1"/>
  <c r="J537" i="6"/>
  <c r="K537" i="6" s="1"/>
  <c r="L537" i="6" l="1"/>
  <c r="L573" i="6"/>
  <c r="M573" i="6"/>
  <c r="J558" i="6"/>
  <c r="K558" i="6" s="1"/>
  <c r="L558" i="6" s="1"/>
  <c r="M558" i="6"/>
  <c r="J559" i="6"/>
  <c r="K559" i="6" s="1"/>
  <c r="L559" i="6" s="1"/>
  <c r="M559" i="6"/>
  <c r="J560" i="6"/>
  <c r="K560" i="6" s="1"/>
  <c r="L560" i="6" s="1"/>
  <c r="M560" i="6"/>
  <c r="J561" i="6"/>
  <c r="K561" i="6" s="1"/>
  <c r="L561" i="6" s="1"/>
  <c r="M561" i="6"/>
  <c r="J562" i="6"/>
  <c r="K562" i="6" s="1"/>
  <c r="L562" i="6" s="1"/>
  <c r="M562" i="6"/>
  <c r="J563" i="6"/>
  <c r="K563" i="6" s="1"/>
  <c r="L563" i="6" s="1"/>
  <c r="M563" i="6"/>
  <c r="J564" i="6"/>
  <c r="K564" i="6" s="1"/>
  <c r="L564" i="6" s="1"/>
  <c r="M564" i="6"/>
  <c r="J565" i="6"/>
  <c r="K565" i="6" s="1"/>
  <c r="L565" i="6" s="1"/>
  <c r="M565" i="6"/>
  <c r="L597" i="6"/>
  <c r="M597" i="6"/>
  <c r="L598" i="6"/>
  <c r="M598" i="6"/>
  <c r="L599" i="6"/>
  <c r="M599" i="6"/>
  <c r="L600" i="6"/>
  <c r="M600" i="6"/>
  <c r="L601" i="6"/>
  <c r="M601" i="6"/>
  <c r="L602" i="6"/>
  <c r="M602" i="6"/>
  <c r="P425" i="10" l="1"/>
  <c r="P412" i="10"/>
  <c r="O411" i="10"/>
  <c r="P418" i="10"/>
  <c r="P405" i="10"/>
  <c r="L594" i="6" l="1"/>
  <c r="M594" i="6"/>
  <c r="L595" i="6"/>
  <c r="M595" i="6"/>
  <c r="L596" i="6"/>
  <c r="M596" i="6"/>
  <c r="J551" i="6"/>
  <c r="K551" i="6" s="1"/>
  <c r="L551" i="6" s="1"/>
  <c r="M551" i="6"/>
  <c r="J552" i="6"/>
  <c r="K552" i="6" s="1"/>
  <c r="L552" i="6" s="1"/>
  <c r="M552" i="6"/>
  <c r="J553" i="6"/>
  <c r="K553" i="6" s="1"/>
  <c r="L553" i="6" s="1"/>
  <c r="M553" i="6"/>
  <c r="J554" i="6"/>
  <c r="K554" i="6" s="1"/>
  <c r="L554" i="6" s="1"/>
  <c r="M554" i="6"/>
  <c r="J555" i="6"/>
  <c r="K555" i="6" s="1"/>
  <c r="L555" i="6" s="1"/>
  <c r="M555" i="6"/>
  <c r="J556" i="6"/>
  <c r="K556" i="6" s="1"/>
  <c r="L556" i="6" s="1"/>
  <c r="M556" i="6"/>
  <c r="J557" i="6"/>
  <c r="K557" i="6" s="1"/>
  <c r="L557" i="6" s="1"/>
  <c r="M557" i="6"/>
  <c r="K1584" i="7" l="1"/>
  <c r="K1629" i="7"/>
  <c r="I1629" i="7" s="1"/>
  <c r="J1629" i="7" s="1"/>
  <c r="I1630" i="7"/>
  <c r="J1630" i="7" s="1"/>
  <c r="I1631" i="7"/>
  <c r="J1631" i="7" s="1"/>
  <c r="I1632" i="7"/>
  <c r="J1632" i="7" s="1"/>
  <c r="I1633" i="7"/>
  <c r="J1633" i="7" s="1"/>
  <c r="I1634" i="7"/>
  <c r="J1634" i="7" s="1"/>
  <c r="I1635" i="7"/>
  <c r="J1635" i="7" s="1"/>
  <c r="I1636" i="7"/>
  <c r="J1636" i="7" s="1"/>
  <c r="I1637" i="7"/>
  <c r="J1637" i="7" s="1"/>
  <c r="I1638" i="7"/>
  <c r="J1638" i="7" s="1"/>
  <c r="I1639" i="7"/>
  <c r="J1639" i="7" s="1"/>
  <c r="I1640" i="7"/>
  <c r="J1640" i="7" s="1"/>
  <c r="I1641" i="7"/>
  <c r="J1641" i="7" s="1"/>
  <c r="I1642" i="7"/>
  <c r="J1642" i="7" s="1"/>
  <c r="K1643" i="7"/>
  <c r="I1643" i="7" s="1"/>
  <c r="J1643" i="7" s="1"/>
  <c r="I1584" i="7"/>
  <c r="J1584" i="7" s="1"/>
  <c r="K1583" i="7"/>
  <c r="I1583" i="7" s="1"/>
  <c r="J1583" i="7" s="1"/>
  <c r="I1580" i="7"/>
  <c r="J1580" i="7" s="1"/>
  <c r="K1581" i="7"/>
  <c r="I1581" i="7" s="1"/>
  <c r="J1581" i="7" s="1"/>
  <c r="I1582" i="7"/>
  <c r="J1582" i="7" s="1"/>
  <c r="I219" i="2" l="1"/>
  <c r="I220" i="2" s="1"/>
  <c r="J11" i="1"/>
  <c r="N15" i="1"/>
  <c r="L550" i="6" l="1"/>
  <c r="M550" i="6"/>
  <c r="L587" i="6"/>
  <c r="M587" i="6"/>
  <c r="L588" i="6"/>
  <c r="M588" i="6"/>
  <c r="L589" i="6"/>
  <c r="M589" i="6"/>
  <c r="L590" i="6"/>
  <c r="M590" i="6"/>
  <c r="L591" i="6"/>
  <c r="M591" i="6"/>
  <c r="L592" i="6"/>
  <c r="M592" i="6"/>
  <c r="L593" i="6"/>
  <c r="M593" i="6"/>
  <c r="K1437" i="7" l="1"/>
  <c r="K1403" i="7"/>
  <c r="K1460" i="7"/>
  <c r="K1557" i="7"/>
  <c r="K1553" i="7"/>
  <c r="K1556" i="7"/>
  <c r="K1540" i="7"/>
  <c r="K1564" i="7"/>
  <c r="K1539" i="7" l="1"/>
  <c r="K1567" i="7"/>
  <c r="K1536" i="7"/>
  <c r="K1510" i="7"/>
  <c r="K1572" i="7"/>
  <c r="K1405" i="7"/>
  <c r="K1523" i="7"/>
  <c r="K1578" i="7"/>
  <c r="K1466" i="7"/>
  <c r="K1533" i="7"/>
  <c r="K1484" i="7" l="1"/>
  <c r="K1454" i="7"/>
  <c r="K1477" i="7" l="1"/>
  <c r="K1538" i="7"/>
  <c r="K1452" i="7"/>
  <c r="K1413" i="7"/>
  <c r="K1439" i="7"/>
  <c r="K1451" i="7"/>
  <c r="K1455" i="7"/>
  <c r="K1474" i="7"/>
  <c r="K1480" i="7"/>
  <c r="K1447" i="7"/>
  <c r="K1431" i="7"/>
  <c r="K1511" i="7"/>
  <c r="K1532" i="7"/>
  <c r="K1518" i="7"/>
  <c r="K1419" i="7"/>
  <c r="K1517" i="7"/>
  <c r="K1549" i="7"/>
  <c r="K1486" i="7"/>
  <c r="K1412" i="7"/>
  <c r="K1470" i="7"/>
  <c r="K1465" i="7"/>
  <c r="K1512" i="7"/>
  <c r="K1430" i="7"/>
  <c r="K1271" i="7"/>
  <c r="K1492" i="7"/>
  <c r="K1468" i="7"/>
  <c r="K1537" i="7"/>
  <c r="K1515" i="7"/>
  <c r="K1545" i="7"/>
  <c r="K1500" i="7"/>
  <c r="K1487" i="7"/>
  <c r="K1527" i="7"/>
  <c r="K1513" i="7"/>
  <c r="K1525" i="7"/>
  <c r="K1526" i="7"/>
  <c r="K1509" i="7"/>
  <c r="K1507" i="7"/>
  <c r="K1464" i="7"/>
  <c r="K1505" i="7"/>
  <c r="K1475" i="7"/>
  <c r="K1481" i="7"/>
  <c r="K1503" i="7" l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K1522" i="7"/>
  <c r="K1496" i="7"/>
  <c r="K1497" i="7"/>
  <c r="K1504" i="7"/>
  <c r="K1424" i="7"/>
  <c r="K1450" i="7"/>
  <c r="K1483" i="7"/>
  <c r="K1488" i="7"/>
  <c r="K1508" i="7"/>
  <c r="K1482" i="7"/>
  <c r="K1479" i="7" l="1"/>
  <c r="K1472" i="7"/>
  <c r="K1456" i="7"/>
  <c r="K1485" i="7"/>
  <c r="K1467" i="7"/>
  <c r="K1408" i="7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K1415" i="7"/>
  <c r="K1418" i="7"/>
  <c r="K1422" i="7"/>
  <c r="K1445" i="7"/>
  <c r="K1444" i="7"/>
  <c r="K1449" i="7" l="1"/>
  <c r="K1402" i="7"/>
  <c r="K1423" i="7"/>
  <c r="K1458" i="7"/>
  <c r="K1453" i="7"/>
  <c r="K1459" i="7"/>
  <c r="K1427" i="7"/>
  <c r="K1442" i="7" l="1"/>
  <c r="K1443" i="7"/>
  <c r="K1448" i="7"/>
  <c r="K1461" i="7"/>
  <c r="K1438" i="7"/>
  <c r="K1416" i="7"/>
  <c r="K1414" i="7"/>
  <c r="K1404" i="7"/>
  <c r="K1428" i="7"/>
  <c r="K1426" i="7"/>
  <c r="K1410" i="7" l="1"/>
  <c r="K1435" i="7"/>
  <c r="K1421" i="7"/>
  <c r="K1406" i="7"/>
  <c r="K1407" i="7"/>
  <c r="K1417" i="7"/>
  <c r="K1425" i="7"/>
  <c r="K1411" i="7"/>
  <c r="L547" i="6" l="1"/>
  <c r="M547" i="6"/>
  <c r="L548" i="6"/>
  <c r="M548" i="6"/>
  <c r="L549" i="6"/>
  <c r="M549" i="6"/>
  <c r="L608" i="6" l="1"/>
  <c r="M608" i="6"/>
  <c r="L576" i="6"/>
  <c r="M576" i="6"/>
  <c r="L577" i="6"/>
  <c r="M577" i="6"/>
  <c r="L578" i="6"/>
  <c r="M578" i="6"/>
  <c r="L579" i="6"/>
  <c r="M579" i="6"/>
  <c r="L580" i="6"/>
  <c r="M580" i="6"/>
  <c r="L581" i="6"/>
  <c r="M581" i="6"/>
  <c r="L582" i="6"/>
  <c r="M582" i="6"/>
  <c r="L583" i="6"/>
  <c r="M583" i="6"/>
  <c r="L584" i="6"/>
  <c r="M584" i="6"/>
  <c r="L585" i="6"/>
  <c r="M585" i="6"/>
  <c r="L586" i="6"/>
  <c r="M586" i="6"/>
  <c r="L541" i="6"/>
  <c r="M541" i="6"/>
  <c r="L542" i="6"/>
  <c r="M542" i="6"/>
  <c r="L543" i="6"/>
  <c r="M543" i="6"/>
  <c r="L544" i="6"/>
  <c r="M544" i="6"/>
  <c r="L545" i="6"/>
  <c r="M545" i="6"/>
  <c r="L546" i="6"/>
  <c r="M546" i="6"/>
  <c r="I1802" i="7" l="1"/>
  <c r="J1802" i="7" s="1"/>
  <c r="M532" i="6" l="1"/>
  <c r="L496" i="6"/>
  <c r="M496" i="6"/>
  <c r="L489" i="6"/>
  <c r="M489" i="6"/>
  <c r="L490" i="6"/>
  <c r="M490" i="6"/>
  <c r="L467" i="6"/>
  <c r="M467" i="6"/>
  <c r="L468" i="6"/>
  <c r="M468" i="6"/>
  <c r="L464" i="6"/>
  <c r="M464" i="6"/>
  <c r="L458" i="6"/>
  <c r="M458" i="6"/>
  <c r="L532" i="6" l="1"/>
  <c r="L495" i="6" l="1"/>
  <c r="M495" i="6"/>
  <c r="L487" i="6"/>
  <c r="M487" i="6"/>
  <c r="L488" i="6"/>
  <c r="M488" i="6"/>
  <c r="I11" i="1" l="1"/>
  <c r="O22" i="11"/>
  <c r="O21" i="11"/>
  <c r="O20" i="11"/>
  <c r="O19" i="11"/>
  <c r="O18" i="11"/>
  <c r="O392" i="10"/>
  <c r="P393" i="10"/>
  <c r="L476" i="6" l="1"/>
  <c r="M476" i="6"/>
  <c r="L477" i="6"/>
  <c r="M477" i="6"/>
  <c r="L478" i="6"/>
  <c r="M478" i="6"/>
  <c r="L479" i="6"/>
  <c r="M479" i="6"/>
  <c r="L480" i="6"/>
  <c r="M480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524" i="6"/>
  <c r="M524" i="6"/>
  <c r="L525" i="6"/>
  <c r="M525" i="6"/>
  <c r="L526" i="6"/>
  <c r="M526" i="6"/>
  <c r="L527" i="6"/>
  <c r="M527" i="6"/>
  <c r="L528" i="6"/>
  <c r="M528" i="6"/>
  <c r="L529" i="6"/>
  <c r="M529" i="6"/>
  <c r="L530" i="6"/>
  <c r="M530" i="6"/>
  <c r="L531" i="6"/>
  <c r="M531" i="6"/>
  <c r="J523" i="6"/>
  <c r="K523" i="6" s="1"/>
  <c r="M523" i="6"/>
  <c r="L523" i="6" l="1"/>
  <c r="L494" i="6" l="1"/>
  <c r="M494" i="6"/>
  <c r="L475" i="6"/>
  <c r="M475" i="6"/>
  <c r="L521" i="6" l="1"/>
  <c r="M521" i="6"/>
  <c r="L522" i="6"/>
  <c r="M522" i="6"/>
  <c r="L473" i="6"/>
  <c r="M473" i="6"/>
  <c r="L474" i="6"/>
  <c r="M474" i="6"/>
  <c r="L471" i="6" l="1"/>
  <c r="M471" i="6"/>
  <c r="L472" i="6"/>
  <c r="M472" i="6"/>
  <c r="H492" i="6" l="1"/>
  <c r="H491" i="6"/>
  <c r="L492" i="6" l="1"/>
  <c r="M492" i="6"/>
  <c r="L516" i="6"/>
  <c r="M516" i="6"/>
  <c r="L517" i="6"/>
  <c r="M517" i="6"/>
  <c r="L518" i="6"/>
  <c r="M518" i="6"/>
  <c r="L519" i="6"/>
  <c r="M519" i="6"/>
  <c r="L520" i="6"/>
  <c r="M520" i="6"/>
  <c r="L469" i="6"/>
  <c r="M469" i="6"/>
  <c r="L470" i="6"/>
  <c r="M470" i="6"/>
  <c r="I39" i="1" l="1"/>
  <c r="I44" i="1"/>
  <c r="I45" i="1"/>
  <c r="I50" i="1" s="1"/>
  <c r="F13" i="14"/>
  <c r="P383" i="10"/>
  <c r="P366" i="10"/>
  <c r="P377" i="10"/>
  <c r="M539" i="6" l="1"/>
  <c r="J539" i="6"/>
  <c r="K539" i="6" s="1"/>
  <c r="L539" i="6" s="1"/>
  <c r="L513" i="6" l="1"/>
  <c r="M513" i="6"/>
  <c r="L507" i="6" l="1"/>
  <c r="M507" i="6"/>
  <c r="L508" i="6"/>
  <c r="M508" i="6"/>
  <c r="L509" i="6"/>
  <c r="M509" i="6"/>
  <c r="L510" i="6"/>
  <c r="M510" i="6"/>
  <c r="L511" i="6"/>
  <c r="M511" i="6"/>
  <c r="L353" i="10" l="1"/>
  <c r="L352" i="10"/>
  <c r="L351" i="10"/>
  <c r="L350" i="10"/>
  <c r="L349" i="10"/>
  <c r="L512" i="6" l="1"/>
  <c r="M512" i="6"/>
  <c r="L514" i="6"/>
  <c r="M514" i="6"/>
  <c r="L515" i="6"/>
  <c r="M515" i="6"/>
  <c r="L465" i="6"/>
  <c r="M465" i="6"/>
  <c r="L466" i="6"/>
  <c r="M466" i="6"/>
  <c r="K1345" i="7" l="1"/>
  <c r="K1344" i="7"/>
  <c r="K1343" i="7"/>
  <c r="K1340" i="7" l="1"/>
  <c r="I1340" i="7" s="1"/>
  <c r="J1340" i="7" s="1"/>
  <c r="K1338" i="7"/>
  <c r="K1337" i="7"/>
  <c r="I1337" i="7" s="1"/>
  <c r="J1337" i="7" s="1"/>
  <c r="K1186" i="7"/>
  <c r="K1219" i="7"/>
  <c r="K1333" i="7"/>
  <c r="I1333" i="7" s="1"/>
  <c r="J1333" i="7" s="1"/>
  <c r="K1313" i="7"/>
  <c r="K1245" i="7"/>
  <c r="K1264" i="7"/>
  <c r="K1299" i="7"/>
  <c r="K1239" i="7"/>
  <c r="K1285" i="7"/>
  <c r="K1311" i="7"/>
  <c r="K1176" i="7"/>
  <c r="K1295" i="7"/>
  <c r="K1237" i="7"/>
  <c r="K1188" i="7"/>
  <c r="K1290" i="7"/>
  <c r="K1284" i="7"/>
  <c r="I1336" i="7"/>
  <c r="J1336" i="7" s="1"/>
  <c r="I1335" i="7"/>
  <c r="J1335" i="7" s="1"/>
  <c r="I1334" i="7"/>
  <c r="J1334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39" i="7"/>
  <c r="J1339" i="7" s="1"/>
  <c r="I1338" i="7"/>
  <c r="J1338" i="7" s="1"/>
  <c r="I1316" i="7"/>
  <c r="J1316" i="7" s="1"/>
  <c r="I1315" i="7"/>
  <c r="J1315" i="7" s="1"/>
  <c r="K1242" i="7"/>
  <c r="K1282" i="7"/>
  <c r="K1258" i="7"/>
  <c r="K1203" i="7"/>
  <c r="K1303" i="7"/>
  <c r="K1293" i="7"/>
  <c r="K1289" i="7"/>
  <c r="K1292" i="7"/>
  <c r="K1288" i="7"/>
  <c r="K1281" i="7"/>
  <c r="K1192" i="7"/>
  <c r="K1260" i="7"/>
  <c r="L460" i="6" l="1"/>
  <c r="M460" i="6"/>
  <c r="K1273" i="7" l="1"/>
  <c r="K1204" i="7" l="1"/>
  <c r="K1274" i="7"/>
  <c r="K1187" i="7"/>
  <c r="K1250" i="7"/>
  <c r="K1249" i="7"/>
  <c r="K1287" i="7"/>
  <c r="K1256" i="7"/>
  <c r="K1286" i="7"/>
  <c r="K1241" i="7"/>
  <c r="K1252" i="7"/>
  <c r="K1199" i="7"/>
  <c r="K1270" i="7"/>
  <c r="K1173" i="7"/>
  <c r="K1220" i="7"/>
  <c r="K1227" i="7"/>
  <c r="K1261" i="7" l="1"/>
  <c r="K1276" i="7"/>
  <c r="K1266" i="7"/>
  <c r="K1215" i="7"/>
  <c r="K1263" i="7"/>
  <c r="K1244" i="7"/>
  <c r="K1240" i="7"/>
  <c r="K1190" i="7"/>
  <c r="K1179" i="7"/>
  <c r="K1253" i="7"/>
  <c r="K1166" i="7"/>
  <c r="K1235" i="7"/>
  <c r="K1185" i="7" l="1"/>
  <c r="K1224" i="7"/>
  <c r="K1198" i="7"/>
  <c r="K1201" i="7"/>
  <c r="L461" i="6" l="1"/>
  <c r="M461" i="6"/>
  <c r="L462" i="6"/>
  <c r="M462" i="6"/>
  <c r="L463" i="6"/>
  <c r="M463" i="6"/>
  <c r="L505" i="6" l="1"/>
  <c r="M505" i="6"/>
  <c r="L506" i="6"/>
  <c r="M506" i="6"/>
  <c r="K1202" i="7" l="1"/>
  <c r="K1233" i="7"/>
  <c r="I1233" i="7" s="1"/>
  <c r="J1233" i="7" s="1"/>
  <c r="K1246" i="7"/>
  <c r="I1246" i="7" s="1"/>
  <c r="J124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K1248" i="7"/>
  <c r="I1248" i="7" s="1"/>
  <c r="J1248" i="7" s="1"/>
  <c r="K1247" i="7"/>
  <c r="I1247" i="7" s="1"/>
  <c r="J1247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K1238" i="7"/>
  <c r="I1238" i="7" s="1"/>
  <c r="J1238" i="7" s="1"/>
  <c r="I1237" i="7"/>
  <c r="J1237" i="7" s="1"/>
  <c r="I1236" i="7"/>
  <c r="J1236" i="7" s="1"/>
  <c r="I1235" i="7"/>
  <c r="J1235" i="7" s="1"/>
  <c r="I1234" i="7"/>
  <c r="J1234" i="7" s="1"/>
  <c r="I1232" i="7"/>
  <c r="J1232" i="7" s="1"/>
  <c r="I1231" i="7"/>
  <c r="J1231" i="7" s="1"/>
  <c r="K1230" i="7"/>
  <c r="I1230" i="7" s="1"/>
  <c r="J1230" i="7" s="1"/>
  <c r="K1229" i="7"/>
  <c r="I1229" i="7" s="1"/>
  <c r="J1229" i="7" s="1"/>
  <c r="I1228" i="7"/>
  <c r="J1228" i="7" s="1"/>
  <c r="I1227" i="7"/>
  <c r="J1227" i="7" s="1"/>
  <c r="K1226" i="7"/>
  <c r="I1226" i="7" s="1"/>
  <c r="J1226" i="7" s="1"/>
  <c r="K1189" i="7"/>
  <c r="K1194" i="7"/>
  <c r="K1216" i="7"/>
  <c r="K1206" i="7"/>
  <c r="K1172" i="7"/>
  <c r="K1213" i="7"/>
  <c r="K1193" i="7" l="1"/>
  <c r="K1214" i="7"/>
  <c r="L504" i="6" l="1"/>
  <c r="M504" i="6"/>
  <c r="K1191" i="7" l="1"/>
  <c r="K1223" i="7" l="1"/>
  <c r="L501" i="6" l="1"/>
  <c r="M501" i="6"/>
  <c r="L502" i="6"/>
  <c r="M502" i="6"/>
  <c r="L503" i="6"/>
  <c r="M503" i="6"/>
  <c r="K1171" i="7" l="1"/>
  <c r="K1209" i="7"/>
  <c r="K1210" i="7"/>
  <c r="K1178" i="7"/>
  <c r="K1169" i="7"/>
  <c r="K1165" i="7" l="1"/>
  <c r="K1183" i="7"/>
  <c r="M457" i="6" l="1"/>
  <c r="M459" i="6"/>
  <c r="L498" i="6"/>
  <c r="M498" i="6"/>
  <c r="L499" i="6"/>
  <c r="M499" i="6"/>
  <c r="L500" i="6"/>
  <c r="M500" i="6"/>
  <c r="M497" i="6"/>
  <c r="L457" i="6" l="1"/>
  <c r="L459" i="6"/>
  <c r="L497" i="6"/>
  <c r="K408" i="6" l="1"/>
  <c r="L408" i="6" s="1"/>
  <c r="M408" i="6"/>
  <c r="K1168" i="7" l="1"/>
  <c r="K1177" i="7"/>
  <c r="K1167" i="7"/>
  <c r="K1181" i="7"/>
  <c r="K1164" i="7"/>
  <c r="K411" i="6" l="1"/>
  <c r="L411" i="6" s="1"/>
  <c r="M411" i="6"/>
  <c r="K412" i="6"/>
  <c r="L412" i="6" s="1"/>
  <c r="M412" i="6"/>
  <c r="K407" i="6"/>
  <c r="L407" i="6" s="1"/>
  <c r="M407" i="6"/>
  <c r="K406" i="6" l="1"/>
  <c r="L406" i="6" s="1"/>
  <c r="M406" i="6"/>
  <c r="K399" i="6" l="1"/>
  <c r="L399" i="6" s="1"/>
  <c r="M399" i="6"/>
  <c r="K400" i="6"/>
  <c r="L400" i="6" s="1"/>
  <c r="M400" i="6"/>
  <c r="K401" i="6"/>
  <c r="L401" i="6" s="1"/>
  <c r="M401" i="6"/>
  <c r="K402" i="6"/>
  <c r="L402" i="6" s="1"/>
  <c r="M402" i="6"/>
  <c r="K403" i="6"/>
  <c r="L403" i="6" s="1"/>
  <c r="M403" i="6"/>
  <c r="K404" i="6"/>
  <c r="L404" i="6" s="1"/>
  <c r="M404" i="6"/>
  <c r="K405" i="6"/>
  <c r="L405" i="6" s="1"/>
  <c r="M405" i="6"/>
  <c r="K390" i="6" l="1"/>
  <c r="L390" i="6" s="1"/>
  <c r="M390" i="6"/>
  <c r="K391" i="6"/>
  <c r="L391" i="6" s="1"/>
  <c r="M391" i="6"/>
  <c r="K392" i="6"/>
  <c r="L392" i="6" s="1"/>
  <c r="M392" i="6"/>
  <c r="K393" i="6"/>
  <c r="L393" i="6" s="1"/>
  <c r="M393" i="6"/>
  <c r="K394" i="6"/>
  <c r="L394" i="6" s="1"/>
  <c r="M394" i="6"/>
  <c r="K395" i="6"/>
  <c r="L395" i="6" s="1"/>
  <c r="M395" i="6"/>
  <c r="K396" i="6"/>
  <c r="L396" i="6" s="1"/>
  <c r="M396" i="6"/>
  <c r="K397" i="6"/>
  <c r="L397" i="6" s="1"/>
  <c r="M397" i="6"/>
  <c r="K398" i="6"/>
  <c r="L398" i="6" s="1"/>
  <c r="M398" i="6"/>
  <c r="I1125" i="7" l="1"/>
  <c r="J1125" i="7" s="1"/>
  <c r="N22" i="11" l="1"/>
  <c r="N21" i="11"/>
  <c r="N20" i="11"/>
  <c r="N19" i="11"/>
  <c r="N18" i="11"/>
  <c r="P345" i="10"/>
  <c r="P342" i="10"/>
  <c r="P335" i="10"/>
  <c r="P327" i="10"/>
  <c r="P315" i="10"/>
  <c r="M373" i="6" l="1"/>
  <c r="K373" i="6"/>
  <c r="L373" i="6" l="1"/>
  <c r="J439" i="6"/>
  <c r="L442" i="6"/>
  <c r="M442" i="6"/>
  <c r="L443" i="6"/>
  <c r="M443" i="6"/>
  <c r="L444" i="6"/>
  <c r="M444" i="6"/>
  <c r="I1159" i="7" l="1"/>
  <c r="J1159" i="7" s="1"/>
  <c r="I1158" i="7"/>
  <c r="J1158" i="7" s="1"/>
  <c r="L439" i="6" l="1"/>
  <c r="M439" i="6"/>
  <c r="L440" i="6"/>
  <c r="M440" i="6"/>
  <c r="L441" i="6"/>
  <c r="M441" i="6"/>
  <c r="I1157" i="7" l="1"/>
  <c r="J1157" i="7" s="1"/>
  <c r="M389" i="6" l="1"/>
  <c r="L388" i="6"/>
  <c r="M388" i="6"/>
  <c r="L389" i="6"/>
  <c r="H11" i="1" l="1"/>
  <c r="N43" i="1"/>
  <c r="K1119" i="7"/>
  <c r="K1121" i="7"/>
  <c r="K1120" i="7"/>
  <c r="K1118" i="7" l="1"/>
  <c r="K1117" i="7"/>
  <c r="K1116" i="7" l="1"/>
  <c r="I1116" i="7" s="1"/>
  <c r="J1116" i="7" s="1"/>
  <c r="K1115" i="7"/>
  <c r="I1115" i="7" s="1"/>
  <c r="J1115" i="7" s="1"/>
  <c r="K1114" i="7"/>
  <c r="I1114" i="7" s="1"/>
  <c r="J1114" i="7" s="1"/>
  <c r="K1113" i="7"/>
  <c r="I1113" i="7" s="1"/>
  <c r="J1113" i="7" s="1"/>
  <c r="K1112" i="7"/>
  <c r="I1112" i="7" s="1"/>
  <c r="J1112" i="7" s="1"/>
  <c r="K1111" i="7"/>
  <c r="I1111" i="7" s="1"/>
  <c r="J1111" i="7" s="1"/>
  <c r="K1108" i="7"/>
  <c r="K1107" i="7"/>
  <c r="K983" i="7"/>
  <c r="K981" i="7"/>
  <c r="I1110" i="7"/>
  <c r="J1110" i="7" s="1"/>
  <c r="K1042" i="7"/>
  <c r="K1006" i="7"/>
  <c r="K876" i="7"/>
  <c r="K984" i="7"/>
  <c r="L302" i="10" l="1"/>
  <c r="L301" i="10"/>
  <c r="L300" i="10"/>
  <c r="L299" i="10"/>
  <c r="H371" i="6" l="1"/>
  <c r="K1046" i="7" l="1"/>
  <c r="K1028" i="7"/>
  <c r="K1094" i="7"/>
  <c r="K964" i="7"/>
  <c r="K1074" i="7"/>
  <c r="K410" i="6" l="1"/>
  <c r="L410" i="6" s="1"/>
  <c r="M410" i="6"/>
  <c r="L429" i="6" l="1"/>
  <c r="M429" i="6"/>
  <c r="L430" i="6"/>
  <c r="M430" i="6"/>
  <c r="L431" i="6"/>
  <c r="M431" i="6"/>
  <c r="L432" i="6"/>
  <c r="M432" i="6"/>
  <c r="L433" i="6"/>
  <c r="M433" i="6"/>
  <c r="L434" i="6"/>
  <c r="M434" i="6"/>
  <c r="L382" i="6"/>
  <c r="M382" i="6"/>
  <c r="L383" i="6"/>
  <c r="M383" i="6"/>
  <c r="L384" i="6"/>
  <c r="M384" i="6"/>
  <c r="L385" i="6"/>
  <c r="M385" i="6"/>
  <c r="L386" i="6"/>
  <c r="M386" i="6"/>
  <c r="L387" i="6"/>
  <c r="M387" i="6"/>
  <c r="K1082" i="7" l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K1000" i="7"/>
  <c r="K951" i="7"/>
  <c r="K989" i="7" l="1"/>
  <c r="K1048" i="7"/>
  <c r="K952" i="7"/>
  <c r="K1031" i="7"/>
  <c r="K1079" i="7"/>
  <c r="K1045" i="7"/>
  <c r="K1014" i="7"/>
  <c r="K1051" i="7"/>
  <c r="K1055" i="7"/>
  <c r="K948" i="7"/>
  <c r="K1036" i="7"/>
  <c r="K1066" i="7"/>
  <c r="K970" i="7"/>
  <c r="K1052" i="7"/>
  <c r="K958" i="7"/>
  <c r="K1060" i="7" l="1"/>
  <c r="K1002" i="7"/>
  <c r="K1077" i="7"/>
  <c r="K962" i="7"/>
  <c r="K949" i="7"/>
  <c r="K1021" i="7"/>
  <c r="K1034" i="7"/>
  <c r="K1047" i="7"/>
  <c r="K957" i="7"/>
  <c r="K955" i="7"/>
  <c r="K1016" i="7"/>
  <c r="K1043" i="7"/>
  <c r="K966" i="7"/>
  <c r="K1007" i="7"/>
  <c r="K1001" i="7"/>
  <c r="K953" i="7"/>
  <c r="K1037" i="7"/>
  <c r="K799" i="7" l="1"/>
  <c r="K1029" i="7"/>
  <c r="K994" i="7"/>
  <c r="K1027" i="7"/>
  <c r="K1023" i="7"/>
  <c r="K988" i="7"/>
  <c r="K1012" i="7"/>
  <c r="K1004" i="7"/>
  <c r="K978" i="7"/>
  <c r="K991" i="7"/>
  <c r="K1009" i="7"/>
  <c r="K996" i="7"/>
  <c r="K1022" i="7"/>
  <c r="K1019" i="7"/>
  <c r="K972" i="7"/>
  <c r="K960" i="7"/>
  <c r="K961" i="7"/>
  <c r="K968" i="7"/>
  <c r="K987" i="7"/>
  <c r="K841" i="7"/>
  <c r="K1003" i="7"/>
  <c r="K969" i="7"/>
  <c r="K974" i="7"/>
  <c r="K997" i="7"/>
  <c r="K976" i="7"/>
  <c r="K993" i="7"/>
  <c r="K965" i="7" l="1"/>
  <c r="K971" i="7"/>
  <c r="K977" i="7"/>
  <c r="K979" i="7"/>
  <c r="K982" i="7"/>
  <c r="K453" i="6" l="1"/>
  <c r="L453" i="6" s="1"/>
  <c r="M453" i="6"/>
  <c r="M452" i="6"/>
  <c r="K452" i="6"/>
  <c r="L419" i="6"/>
  <c r="M419" i="6"/>
  <c r="L420" i="6"/>
  <c r="M420" i="6"/>
  <c r="L421" i="6"/>
  <c r="M421" i="6"/>
  <c r="L422" i="6"/>
  <c r="M422" i="6"/>
  <c r="L423" i="6"/>
  <c r="M423" i="6"/>
  <c r="L424" i="6"/>
  <c r="M424" i="6"/>
  <c r="M409" i="6"/>
  <c r="K409" i="6"/>
  <c r="L377" i="6"/>
  <c r="M377" i="6"/>
  <c r="L378" i="6"/>
  <c r="M378" i="6"/>
  <c r="L379" i="6"/>
  <c r="M379" i="6"/>
  <c r="L380" i="6"/>
  <c r="M380" i="6"/>
  <c r="L381" i="6"/>
  <c r="M381" i="6"/>
  <c r="L452" i="6" l="1"/>
  <c r="L409" i="6"/>
  <c r="K954" i="7"/>
  <c r="K950" i="7" l="1"/>
  <c r="K956" i="7"/>
  <c r="L417" i="6" l="1"/>
  <c r="M417" i="6"/>
  <c r="L418" i="6"/>
  <c r="M418" i="6"/>
  <c r="L375" i="6"/>
  <c r="M375" i="6"/>
  <c r="L376" i="6"/>
  <c r="M376" i="6"/>
  <c r="L414" i="6" l="1"/>
  <c r="M414" i="6"/>
  <c r="L415" i="6"/>
  <c r="M415" i="6"/>
  <c r="L416" i="6"/>
  <c r="M416" i="6"/>
  <c r="M413" i="6"/>
  <c r="M374" i="6"/>
  <c r="L413" i="6" l="1"/>
  <c r="L374" i="6"/>
  <c r="K335" i="6"/>
  <c r="L335" i="6" s="1"/>
  <c r="M335" i="6"/>
  <c r="I1056" i="7" l="1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M349" i="6" l="1"/>
  <c r="M368" i="6" l="1"/>
  <c r="K368" i="6"/>
  <c r="L368" i="6" s="1"/>
  <c r="M369" i="6"/>
  <c r="K369" i="6"/>
  <c r="L369" i="6" s="1"/>
  <c r="K332" i="6" l="1"/>
  <c r="L332" i="6" s="1"/>
  <c r="M332" i="6"/>
  <c r="K333" i="6"/>
  <c r="L333" i="6" s="1"/>
  <c r="M333" i="6"/>
  <c r="K334" i="6"/>
  <c r="L334" i="6" s="1"/>
  <c r="M334" i="6"/>
  <c r="K366" i="6" l="1"/>
  <c r="L366" i="6" s="1"/>
  <c r="M366" i="6"/>
  <c r="J363" i="6"/>
  <c r="M363" i="6"/>
  <c r="K364" i="6"/>
  <c r="L364" i="6" s="1"/>
  <c r="M364" i="6"/>
  <c r="K328" i="6"/>
  <c r="L328" i="6" s="1"/>
  <c r="M328" i="6"/>
  <c r="K329" i="6"/>
  <c r="L329" i="6" s="1"/>
  <c r="M329" i="6"/>
  <c r="K330" i="6"/>
  <c r="L330" i="6" s="1"/>
  <c r="M330" i="6"/>
  <c r="K331" i="6"/>
  <c r="L331" i="6" s="1"/>
  <c r="M331" i="6"/>
  <c r="K363" i="6" l="1"/>
  <c r="L363" i="6" s="1"/>
  <c r="K360" i="6"/>
  <c r="L360" i="6" s="1"/>
  <c r="M360" i="6"/>
  <c r="K361" i="6"/>
  <c r="L361" i="6" s="1"/>
  <c r="M361" i="6"/>
  <c r="K362" i="6"/>
  <c r="L362" i="6" s="1"/>
  <c r="M362" i="6"/>
  <c r="P296" i="10" l="1"/>
  <c r="P288" i="10"/>
  <c r="P282" i="10"/>
  <c r="P268" i="10"/>
  <c r="M22" i="11"/>
  <c r="M21" i="11"/>
  <c r="M20" i="11"/>
  <c r="M19" i="11"/>
  <c r="M18" i="11"/>
  <c r="K354" i="6" l="1"/>
  <c r="L354" i="6" s="1"/>
  <c r="M354" i="6"/>
  <c r="K355" i="6"/>
  <c r="L355" i="6" s="1"/>
  <c r="M355" i="6"/>
  <c r="K356" i="6"/>
  <c r="L356" i="6" s="1"/>
  <c r="M356" i="6"/>
  <c r="K357" i="6"/>
  <c r="L357" i="6" s="1"/>
  <c r="M357" i="6"/>
  <c r="K358" i="6"/>
  <c r="L358" i="6" s="1"/>
  <c r="M358" i="6"/>
  <c r="K359" i="6"/>
  <c r="L359" i="6" s="1"/>
  <c r="M359" i="6"/>
  <c r="K310" i="6" l="1"/>
  <c r="L310" i="6" s="1"/>
  <c r="M310" i="6"/>
  <c r="K350" i="6" l="1"/>
  <c r="L350" i="6" s="1"/>
  <c r="M350" i="6"/>
  <c r="K351" i="6"/>
  <c r="L351" i="6" s="1"/>
  <c r="M351" i="6"/>
  <c r="K352" i="6"/>
  <c r="L352" i="6" s="1"/>
  <c r="M352" i="6"/>
  <c r="K353" i="6"/>
  <c r="L353" i="6" s="1"/>
  <c r="M353" i="6"/>
  <c r="K326" i="6"/>
  <c r="L326" i="6" s="1"/>
  <c r="M326" i="6"/>
  <c r="K327" i="6"/>
  <c r="L327" i="6" s="1"/>
  <c r="M327" i="6"/>
  <c r="G11" i="1" l="1"/>
  <c r="K894" i="7"/>
  <c r="K893" i="7"/>
  <c r="K892" i="7" l="1"/>
  <c r="L251" i="10"/>
  <c r="L252" i="10"/>
  <c r="L250" i="10"/>
  <c r="K891" i="7" l="1"/>
  <c r="K346" i="6" l="1"/>
  <c r="L346" i="6" s="1"/>
  <c r="M346" i="6"/>
  <c r="K347" i="6"/>
  <c r="L347" i="6" s="1"/>
  <c r="M347" i="6"/>
  <c r="K348" i="6"/>
  <c r="L348" i="6" s="1"/>
  <c r="M348" i="6"/>
  <c r="K317" i="6"/>
  <c r="L317" i="6" s="1"/>
  <c r="M317" i="6"/>
  <c r="K318" i="6"/>
  <c r="L318" i="6" s="1"/>
  <c r="M318" i="6"/>
  <c r="K319" i="6"/>
  <c r="L319" i="6" s="1"/>
  <c r="M319" i="6"/>
  <c r="K320" i="6"/>
  <c r="L320" i="6" s="1"/>
  <c r="M320" i="6"/>
  <c r="K321" i="6"/>
  <c r="L321" i="6" s="1"/>
  <c r="M321" i="6"/>
  <c r="J322" i="6"/>
  <c r="K322" i="6" s="1"/>
  <c r="L322" i="6" s="1"/>
  <c r="M322" i="6"/>
  <c r="K323" i="6"/>
  <c r="L323" i="6" s="1"/>
  <c r="M323" i="6"/>
  <c r="K324" i="6"/>
  <c r="L324" i="6" s="1"/>
  <c r="M324" i="6"/>
  <c r="K760" i="7" l="1"/>
  <c r="K890" i="7"/>
  <c r="K889" i="7" l="1"/>
  <c r="K888" i="7"/>
  <c r="K834" i="7"/>
  <c r="K886" i="7" l="1"/>
  <c r="K885" i="7" l="1"/>
  <c r="K788" i="7"/>
  <c r="K884" i="7"/>
  <c r="K883" i="7"/>
  <c r="K752" i="7"/>
  <c r="K828" i="7"/>
  <c r="K759" i="7"/>
  <c r="K877" i="7"/>
  <c r="K879" i="7"/>
  <c r="K835" i="7"/>
  <c r="K776" i="7"/>
  <c r="K850" i="7"/>
  <c r="K831" i="7"/>
  <c r="K829" i="7"/>
  <c r="K830" i="7"/>
  <c r="K739" i="7"/>
  <c r="I1095" i="7" l="1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K748" i="7" l="1"/>
  <c r="K859" i="7"/>
  <c r="K875" i="7"/>
  <c r="K851" i="7"/>
  <c r="K753" i="7"/>
  <c r="K864" i="7"/>
  <c r="K801" i="7"/>
  <c r="K862" i="7"/>
  <c r="K811" i="7"/>
  <c r="K812" i="7"/>
  <c r="K832" i="7" l="1"/>
  <c r="K345" i="6" l="1"/>
  <c r="L345" i="6" s="1"/>
  <c r="M345" i="6"/>
  <c r="K316" i="6"/>
  <c r="L316" i="6" s="1"/>
  <c r="M316" i="6"/>
  <c r="K793" i="7" l="1"/>
  <c r="K810" i="7" l="1"/>
  <c r="K839" i="7"/>
  <c r="K816" i="7"/>
  <c r="K815" i="7"/>
  <c r="K842" i="7"/>
  <c r="K855" i="7"/>
  <c r="K822" i="7"/>
  <c r="K849" i="7"/>
  <c r="K802" i="7"/>
  <c r="K819" i="7"/>
  <c r="K746" i="7" l="1"/>
  <c r="K804" i="7"/>
  <c r="K896" i="7" l="1"/>
  <c r="M367" i="6"/>
  <c r="K367" i="6"/>
  <c r="K341" i="6"/>
  <c r="L341" i="6" s="1"/>
  <c r="M341" i="6"/>
  <c r="K342" i="6"/>
  <c r="L342" i="6" s="1"/>
  <c r="M342" i="6"/>
  <c r="K343" i="6"/>
  <c r="L343" i="6" s="1"/>
  <c r="M343" i="6"/>
  <c r="K344" i="6"/>
  <c r="L344" i="6" s="1"/>
  <c r="M344" i="6"/>
  <c r="L367" i="6" l="1"/>
  <c r="K312" i="6" l="1"/>
  <c r="L312" i="6" s="1"/>
  <c r="M312" i="6"/>
  <c r="K313" i="6"/>
  <c r="L313" i="6" s="1"/>
  <c r="M313" i="6"/>
  <c r="M311" i="6"/>
  <c r="K311" i="6"/>
  <c r="L311" i="6" l="1"/>
  <c r="K340" i="6" l="1"/>
  <c r="L340" i="6" s="1"/>
  <c r="M340" i="6"/>
  <c r="M336" i="6"/>
  <c r="K336" i="6"/>
  <c r="L336" i="6" s="1"/>
  <c r="M250" i="6"/>
  <c r="K250" i="6"/>
  <c r="K281" i="6"/>
  <c r="L281" i="6" s="1"/>
  <c r="M281" i="6"/>
  <c r="M280" i="6"/>
  <c r="K280" i="6"/>
  <c r="K284" i="6"/>
  <c r="L284" i="6" s="1"/>
  <c r="M284" i="6"/>
  <c r="K273" i="6"/>
  <c r="L273" i="6" s="1"/>
  <c r="M273" i="6"/>
  <c r="M274" i="6"/>
  <c r="K275" i="6"/>
  <c r="L275" i="6" s="1"/>
  <c r="M275" i="6"/>
  <c r="K276" i="6"/>
  <c r="L276" i="6" s="1"/>
  <c r="M276" i="6"/>
  <c r="K277" i="6"/>
  <c r="L277" i="6" s="1"/>
  <c r="M277" i="6"/>
  <c r="K278" i="6"/>
  <c r="M278" i="6"/>
  <c r="K279" i="6"/>
  <c r="L279" i="6" s="1"/>
  <c r="M279" i="6"/>
  <c r="L250" i="6" l="1"/>
  <c r="L280" i="6"/>
  <c r="L278" i="6"/>
  <c r="K274" i="6"/>
  <c r="L274" i="6" s="1"/>
  <c r="M267" i="6"/>
  <c r="K267" i="6"/>
  <c r="L267" i="6" s="1"/>
  <c r="I836" i="7" l="1"/>
  <c r="J836" i="7" s="1"/>
  <c r="I837" i="7"/>
  <c r="J837" i="7" s="1"/>
  <c r="I894" i="7" l="1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K272" i="6" l="1"/>
  <c r="L272" i="6" s="1"/>
  <c r="M272" i="6"/>
  <c r="K268" i="6"/>
  <c r="L268" i="6" s="1"/>
  <c r="M268" i="6"/>
  <c r="K269" i="6"/>
  <c r="L269" i="6" s="1"/>
  <c r="M269" i="6"/>
  <c r="K270" i="6"/>
  <c r="L270" i="6" s="1"/>
  <c r="M270" i="6"/>
  <c r="K271" i="6"/>
  <c r="L271" i="6" s="1"/>
  <c r="M271" i="6"/>
  <c r="K263" i="6"/>
  <c r="L263" i="6" s="1"/>
  <c r="M263" i="6"/>
  <c r="K261" i="6" l="1"/>
  <c r="L261" i="6" s="1"/>
  <c r="M261" i="6"/>
  <c r="K262" i="6"/>
  <c r="L262" i="6" s="1"/>
  <c r="M262" i="6"/>
  <c r="K266" i="6"/>
  <c r="L266" i="6" s="1"/>
  <c r="M266" i="6"/>
  <c r="K264" i="6"/>
  <c r="L264" i="6" s="1"/>
  <c r="M264" i="6"/>
  <c r="K265" i="6"/>
  <c r="L265" i="6" s="1"/>
  <c r="M265" i="6"/>
  <c r="K339" i="6"/>
  <c r="L339" i="6" s="1"/>
  <c r="M339" i="6"/>
  <c r="K337" i="6"/>
  <c r="L337" i="6" s="1"/>
  <c r="M337" i="6"/>
  <c r="K338" i="6"/>
  <c r="L338" i="6" s="1"/>
  <c r="M338" i="6"/>
  <c r="I832" i="7" l="1"/>
  <c r="J832" i="7" s="1"/>
  <c r="I734" i="7"/>
  <c r="J734" i="7" s="1"/>
  <c r="L22" i="11" l="1"/>
  <c r="L21" i="11"/>
  <c r="L20" i="11"/>
  <c r="L19" i="11"/>
  <c r="L18" i="11"/>
  <c r="P249" i="10"/>
  <c r="P240" i="10"/>
  <c r="P228" i="10"/>
  <c r="K259" i="6" l="1"/>
  <c r="L259" i="6" s="1"/>
  <c r="M259" i="6"/>
  <c r="K260" i="6"/>
  <c r="L260" i="6" s="1"/>
  <c r="M260" i="6"/>
  <c r="K257" i="6" l="1"/>
  <c r="L257" i="6" s="1"/>
  <c r="M257" i="6"/>
  <c r="K258" i="6"/>
  <c r="L258" i="6" s="1"/>
  <c r="M258" i="6"/>
  <c r="K254" i="6" l="1"/>
  <c r="L254" i="6" s="1"/>
  <c r="M254" i="6"/>
  <c r="K255" i="6"/>
  <c r="L255" i="6" s="1"/>
  <c r="M255" i="6"/>
  <c r="K256" i="6"/>
  <c r="L256" i="6" s="1"/>
  <c r="M256" i="6"/>
  <c r="I728" i="7" l="1"/>
  <c r="J728" i="7" s="1"/>
  <c r="F199" i="10" l="1"/>
  <c r="K252" i="6" l="1"/>
  <c r="L252" i="6" s="1"/>
  <c r="M252" i="6"/>
  <c r="K253" i="6"/>
  <c r="L253" i="6" s="1"/>
  <c r="M253" i="6"/>
  <c r="M287" i="6"/>
  <c r="M288" i="6"/>
  <c r="M289" i="6"/>
  <c r="M290" i="6"/>
  <c r="M291" i="6"/>
  <c r="K287" i="6"/>
  <c r="L287" i="6" s="1"/>
  <c r="K288" i="6"/>
  <c r="L288" i="6" s="1"/>
  <c r="K289" i="6"/>
  <c r="L289" i="6" s="1"/>
  <c r="K290" i="6"/>
  <c r="L290" i="6" s="1"/>
  <c r="K291" i="6"/>
  <c r="L291" i="6" s="1"/>
  <c r="I862" i="7" l="1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737" i="7"/>
  <c r="J737" i="7" s="1"/>
  <c r="I736" i="7"/>
  <c r="J736" i="7" s="1"/>
  <c r="I735" i="7"/>
  <c r="J735" i="7" s="1"/>
  <c r="I835" i="7"/>
  <c r="J835" i="7" s="1"/>
  <c r="I834" i="7"/>
  <c r="J834" i="7" s="1"/>
  <c r="I833" i="7"/>
  <c r="J833" i="7" s="1"/>
  <c r="I733" i="7"/>
  <c r="J733" i="7" s="1"/>
  <c r="I732" i="7"/>
  <c r="J732" i="7" s="1"/>
  <c r="I731" i="7"/>
  <c r="J731" i="7" s="1"/>
  <c r="I831" i="7"/>
  <c r="J831" i="7" s="1"/>
  <c r="I730" i="7"/>
  <c r="J730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729" i="7"/>
  <c r="J729" i="7" s="1"/>
  <c r="I727" i="7"/>
  <c r="J727" i="7" s="1"/>
  <c r="I801" i="7"/>
  <c r="J801" i="7" s="1"/>
  <c r="I726" i="7"/>
  <c r="J726" i="7" s="1"/>
  <c r="I725" i="7"/>
  <c r="J725" i="7" s="1"/>
  <c r="I724" i="7"/>
  <c r="J724" i="7" s="1"/>
  <c r="I723" i="7"/>
  <c r="J723" i="7" s="1"/>
  <c r="I722" i="7"/>
  <c r="J722" i="7" s="1"/>
  <c r="I800" i="7"/>
  <c r="J800" i="7" s="1"/>
  <c r="I721" i="7"/>
  <c r="J721" i="7" s="1"/>
  <c r="I720" i="7"/>
  <c r="J720" i="7" s="1"/>
  <c r="I719" i="7"/>
  <c r="J719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18" i="7"/>
  <c r="J718" i="7" s="1"/>
  <c r="I717" i="7"/>
  <c r="J717" i="7" s="1"/>
  <c r="I791" i="7"/>
  <c r="J791" i="7" s="1"/>
  <c r="I790" i="7"/>
  <c r="J790" i="7" s="1"/>
  <c r="I789" i="7"/>
  <c r="J789" i="7" s="1"/>
  <c r="I788" i="7"/>
  <c r="J788" i="7" s="1"/>
  <c r="I787" i="7"/>
  <c r="J787" i="7" s="1"/>
  <c r="I716" i="7"/>
  <c r="J716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15" i="7"/>
  <c r="J715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14" i="7"/>
  <c r="J714" i="7" s="1"/>
  <c r="I713" i="7"/>
  <c r="J713" i="7" s="1"/>
  <c r="J850" i="7" l="1"/>
  <c r="M305" i="6"/>
  <c r="M304" i="6"/>
  <c r="J304" i="6"/>
  <c r="M286" i="6"/>
  <c r="M285" i="6"/>
  <c r="M282" i="6"/>
  <c r="M251" i="6"/>
  <c r="K251" i="6" l="1"/>
  <c r="L251" i="6" s="1"/>
  <c r="K282" i="6"/>
  <c r="L282" i="6" s="1"/>
  <c r="K285" i="6"/>
  <c r="L285" i="6" s="1"/>
  <c r="K286" i="6"/>
  <c r="L286" i="6" s="1"/>
  <c r="K304" i="6"/>
  <c r="L304" i="6" s="1"/>
  <c r="K305" i="6"/>
  <c r="L305" i="6" s="1"/>
  <c r="K221" i="6" l="1"/>
  <c r="K696" i="7" l="1"/>
  <c r="K626" i="7" l="1"/>
  <c r="K705" i="7" l="1"/>
  <c r="K704" i="7"/>
  <c r="K609" i="7"/>
  <c r="K697" i="7" l="1"/>
  <c r="Q531" i="10"/>
  <c r="Q498" i="10"/>
  <c r="Q466" i="10"/>
  <c r="Q433" i="10"/>
  <c r="Q401" i="10"/>
  <c r="Q354" i="10"/>
  <c r="Q310" i="10"/>
  <c r="Q261" i="10"/>
  <c r="Q213" i="10"/>
  <c r="E23" i="1" s="1"/>
  <c r="Q177" i="10"/>
  <c r="Q127" i="10"/>
  <c r="Q64" i="10"/>
  <c r="P208" i="10"/>
  <c r="P201" i="10"/>
  <c r="Q533" i="10" l="1"/>
  <c r="K694" i="7" l="1"/>
  <c r="K693" i="7"/>
  <c r="K691" i="7" l="1"/>
  <c r="K690" i="7"/>
  <c r="K689" i="7"/>
  <c r="K688" i="7"/>
  <c r="K683" i="7" l="1"/>
  <c r="K681" i="7"/>
  <c r="K680" i="7"/>
  <c r="K679" i="7" l="1"/>
  <c r="I679" i="7" s="1"/>
  <c r="J679" i="7" s="1"/>
  <c r="K678" i="7"/>
  <c r="I678" i="7" s="1"/>
  <c r="J678" i="7" s="1"/>
  <c r="K676" i="7"/>
  <c r="I676" i="7" s="1"/>
  <c r="J676" i="7" s="1"/>
  <c r="K673" i="7"/>
  <c r="I673" i="7" s="1"/>
  <c r="J673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7" i="7"/>
  <c r="J677" i="7" s="1"/>
  <c r="I674" i="7"/>
  <c r="J674" i="7" s="1"/>
  <c r="I672" i="7"/>
  <c r="J672" i="7" s="1"/>
  <c r="I671" i="7"/>
  <c r="J671" i="7" s="1"/>
  <c r="I669" i="7"/>
  <c r="J669" i="7" s="1"/>
  <c r="K675" i="7"/>
  <c r="I675" i="7" s="1"/>
  <c r="J675" i="7" s="1"/>
  <c r="K670" i="7"/>
  <c r="I670" i="7" s="1"/>
  <c r="J670" i="7" s="1"/>
  <c r="K661" i="7"/>
  <c r="I661" i="7" s="1"/>
  <c r="J661" i="7" s="1"/>
  <c r="K657" i="7"/>
  <c r="I657" i="7" s="1"/>
  <c r="J657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K662" i="7"/>
  <c r="I662" i="7" s="1"/>
  <c r="J662" i="7" s="1"/>
  <c r="I660" i="7"/>
  <c r="J660" i="7" s="1"/>
  <c r="K658" i="7"/>
  <c r="I658" i="7" s="1"/>
  <c r="J658" i="7" s="1"/>
  <c r="I656" i="7"/>
  <c r="J656" i="7" s="1"/>
  <c r="I655" i="7"/>
  <c r="J655" i="7" s="1"/>
  <c r="I654" i="7"/>
  <c r="J654" i="7" s="1"/>
  <c r="K651" i="7"/>
  <c r="K649" i="7"/>
  <c r="I649" i="7" s="1"/>
  <c r="J649" i="7" s="1"/>
  <c r="K645" i="7"/>
  <c r="I645" i="7" s="1"/>
  <c r="J645" i="7" s="1"/>
  <c r="K642" i="7"/>
  <c r="I642" i="7" s="1"/>
  <c r="J642" i="7" s="1"/>
  <c r="K638" i="7"/>
  <c r="I638" i="7" s="1"/>
  <c r="J638" i="7" s="1"/>
  <c r="K636" i="7"/>
  <c r="I636" i="7" s="1"/>
  <c r="J636" i="7" s="1"/>
  <c r="K635" i="7"/>
  <c r="I635" i="7" s="1"/>
  <c r="J635" i="7" s="1"/>
  <c r="K634" i="7"/>
  <c r="I634" i="7" s="1"/>
  <c r="J634" i="7" s="1"/>
  <c r="K633" i="7"/>
  <c r="I633" i="7" s="1"/>
  <c r="J633" i="7" s="1"/>
  <c r="K632" i="7"/>
  <c r="I632" i="7" s="1"/>
  <c r="J632" i="7" s="1"/>
  <c r="K631" i="7"/>
  <c r="I631" i="7" s="1"/>
  <c r="J631" i="7" s="1"/>
  <c r="K630" i="7"/>
  <c r="I630" i="7" s="1"/>
  <c r="J630" i="7" s="1"/>
  <c r="K627" i="7"/>
  <c r="I627" i="7" s="1"/>
  <c r="J627" i="7" s="1"/>
  <c r="K625" i="7"/>
  <c r="I625" i="7" s="1"/>
  <c r="J625" i="7" s="1"/>
  <c r="I653" i="7"/>
  <c r="J653" i="7" s="1"/>
  <c r="I652" i="7"/>
  <c r="J652" i="7" s="1"/>
  <c r="I651" i="7"/>
  <c r="J651" i="7" s="1"/>
  <c r="I650" i="7"/>
  <c r="J650" i="7" s="1"/>
  <c r="I648" i="7"/>
  <c r="J648" i="7" s="1"/>
  <c r="I647" i="7"/>
  <c r="J647" i="7" s="1"/>
  <c r="I646" i="7"/>
  <c r="J646" i="7" s="1"/>
  <c r="I644" i="7"/>
  <c r="J644" i="7" s="1"/>
  <c r="K643" i="7"/>
  <c r="I643" i="7" s="1"/>
  <c r="J643" i="7" s="1"/>
  <c r="I641" i="7"/>
  <c r="J641" i="7" s="1"/>
  <c r="K640" i="7"/>
  <c r="I640" i="7" s="1"/>
  <c r="J640" i="7" s="1"/>
  <c r="K639" i="7"/>
  <c r="I639" i="7" s="1"/>
  <c r="J639" i="7" s="1"/>
  <c r="I637" i="7"/>
  <c r="J637" i="7" s="1"/>
  <c r="I629" i="7"/>
  <c r="J629" i="7" s="1"/>
  <c r="I628" i="7"/>
  <c r="J628" i="7" s="1"/>
  <c r="I626" i="7"/>
  <c r="J626" i="7" s="1"/>
  <c r="K624" i="7"/>
  <c r="I624" i="7" s="1"/>
  <c r="J624" i="7" s="1"/>
  <c r="K623" i="7"/>
  <c r="I623" i="7" s="1"/>
  <c r="J623" i="7" s="1"/>
  <c r="K593" i="7"/>
  <c r="K621" i="7"/>
  <c r="I621" i="7" s="1"/>
  <c r="J621" i="7" s="1"/>
  <c r="K620" i="7"/>
  <c r="I620" i="7" s="1"/>
  <c r="J620" i="7" s="1"/>
  <c r="I659" i="7"/>
  <c r="J659" i="7" s="1"/>
  <c r="I622" i="7"/>
  <c r="J622" i="7" s="1"/>
  <c r="K619" i="7"/>
  <c r="I619" i="7" s="1"/>
  <c r="J619" i="7" s="1"/>
  <c r="K618" i="7"/>
  <c r="I618" i="7" s="1"/>
  <c r="J618" i="7" s="1"/>
  <c r="I617" i="7"/>
  <c r="J617" i="7" s="1"/>
  <c r="I616" i="7"/>
  <c r="J616" i="7" s="1"/>
  <c r="I615" i="7"/>
  <c r="J615" i="7" s="1"/>
  <c r="I614" i="7"/>
  <c r="J614" i="7" s="1"/>
  <c r="K613" i="7"/>
  <c r="I613" i="7" s="1"/>
  <c r="J613" i="7" s="1"/>
  <c r="K600" i="7"/>
  <c r="K601" i="7"/>
  <c r="I612" i="7"/>
  <c r="J612" i="7" s="1"/>
  <c r="K599" i="7"/>
  <c r="I610" i="7"/>
  <c r="J610" i="7" s="1"/>
  <c r="K602" i="7"/>
  <c r="I710" i="7" l="1"/>
  <c r="J710" i="7" s="1"/>
  <c r="K592" i="7" l="1"/>
  <c r="K591" i="7" l="1"/>
  <c r="I611" i="7" l="1"/>
  <c r="J611" i="7" s="1"/>
  <c r="I608" i="7"/>
  <c r="J608" i="7" s="1"/>
  <c r="I596" i="7"/>
  <c r="J596" i="7" s="1"/>
  <c r="I606" i="7"/>
  <c r="J606" i="7" s="1"/>
  <c r="I605" i="7"/>
  <c r="J605" i="7" s="1"/>
  <c r="I604" i="7"/>
  <c r="J604" i="7" s="1"/>
  <c r="I592" i="7"/>
  <c r="J592" i="7" s="1"/>
  <c r="I595" i="7"/>
  <c r="J595" i="7" s="1"/>
  <c r="I594" i="7"/>
  <c r="J594" i="7" s="1"/>
  <c r="I591" i="7"/>
  <c r="J591" i="7" s="1"/>
  <c r="K217" i="6" l="1"/>
  <c r="L217" i="6" s="1"/>
  <c r="M217" i="6"/>
  <c r="K222" i="6" l="1"/>
  <c r="L222" i="6" s="1"/>
  <c r="M222" i="6"/>
  <c r="K218" i="6"/>
  <c r="L218" i="6" s="1"/>
  <c r="M218" i="6"/>
  <c r="K223" i="6"/>
  <c r="L223" i="6" s="1"/>
  <c r="M223" i="6"/>
  <c r="M206" i="6" l="1"/>
  <c r="K206" i="6"/>
  <c r="L206" i="6" s="1"/>
  <c r="K22" i="11"/>
  <c r="K21" i="11"/>
  <c r="K20" i="11"/>
  <c r="K19" i="11"/>
  <c r="K18" i="11"/>
  <c r="O207" i="10"/>
  <c r="O195" i="10"/>
  <c r="O181" i="10"/>
  <c r="M243" i="6" l="1"/>
  <c r="K243" i="6"/>
  <c r="L243" i="6" s="1"/>
  <c r="M205" i="6" l="1"/>
  <c r="K205" i="6" l="1"/>
  <c r="L205" i="6" s="1"/>
  <c r="M752" i="6" l="1"/>
  <c r="J752" i="6"/>
  <c r="M699" i="6"/>
  <c r="J699" i="6"/>
  <c r="M628" i="6"/>
  <c r="J628" i="6"/>
  <c r="P196" i="10"/>
  <c r="P188" i="10"/>
  <c r="P182" i="10"/>
  <c r="K752" i="6" l="1"/>
  <c r="L752" i="6" s="1"/>
  <c r="K699" i="6"/>
  <c r="L699" i="6" s="1"/>
  <c r="K628" i="6"/>
  <c r="L628" i="6" s="1"/>
  <c r="M812" i="6" l="1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1" i="6"/>
  <c r="M750" i="6"/>
  <c r="M749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8" i="6"/>
  <c r="M697" i="6"/>
  <c r="M696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30" i="6"/>
  <c r="M629" i="6"/>
  <c r="M619" i="6"/>
  <c r="M614" i="6"/>
  <c r="M606" i="6"/>
  <c r="M604" i="6"/>
  <c r="M613" i="6"/>
  <c r="M603" i="6"/>
  <c r="M612" i="6"/>
  <c r="M611" i="6"/>
  <c r="M572" i="6"/>
  <c r="M534" i="6"/>
  <c r="M533" i="6"/>
  <c r="M493" i="6"/>
  <c r="M491" i="6"/>
  <c r="M454" i="6"/>
  <c r="M450" i="6"/>
  <c r="M449" i="6"/>
  <c r="M448" i="6"/>
  <c r="M447" i="6"/>
  <c r="M446" i="6"/>
  <c r="M445" i="6"/>
  <c r="M438" i="6"/>
  <c r="M437" i="6"/>
  <c r="M436" i="6"/>
  <c r="M435" i="6"/>
  <c r="M428" i="6"/>
  <c r="M427" i="6"/>
  <c r="M426" i="6"/>
  <c r="M425" i="6"/>
  <c r="M451" i="6"/>
  <c r="M370" i="6"/>
  <c r="M309" i="6"/>
  <c r="M314" i="6"/>
  <c r="M315" i="6"/>
  <c r="M325" i="6"/>
  <c r="M365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83" i="6"/>
  <c r="M247" i="6"/>
  <c r="M242" i="6"/>
  <c r="M220" i="6"/>
  <c r="M219" i="6"/>
  <c r="M216" i="6"/>
  <c r="M215" i="6"/>
  <c r="M214" i="6"/>
  <c r="M213" i="6"/>
  <c r="M212" i="6"/>
  <c r="M211" i="6"/>
  <c r="M207" i="6"/>
  <c r="M208" i="6"/>
  <c r="M209" i="6"/>
  <c r="M210" i="6"/>
  <c r="M240" i="6"/>
  <c r="M239" i="6"/>
  <c r="M238" i="6"/>
  <c r="M237" i="6"/>
  <c r="M236" i="6"/>
  <c r="M235" i="6"/>
  <c r="M246" i="6"/>
  <c r="M245" i="6"/>
  <c r="M204" i="6"/>
  <c r="M203" i="6"/>
  <c r="M202" i="6"/>
  <c r="M234" i="6"/>
  <c r="M233" i="6"/>
  <c r="M232" i="6"/>
  <c r="M231" i="6"/>
  <c r="M230" i="6"/>
  <c r="M229" i="6"/>
  <c r="M228" i="6"/>
  <c r="M227" i="6"/>
  <c r="M226" i="6"/>
  <c r="M225" i="6"/>
  <c r="M201" i="6"/>
  <c r="M244" i="6"/>
  <c r="M241" i="6"/>
  <c r="M224" i="6"/>
  <c r="M221" i="6"/>
  <c r="M200" i="6"/>
  <c r="M371" i="6" l="1"/>
  <c r="K590" i="7"/>
  <c r="K589" i="7"/>
  <c r="K588" i="7"/>
  <c r="K587" i="7"/>
  <c r="K586" i="7"/>
  <c r="K585" i="7"/>
  <c r="K584" i="7"/>
  <c r="K583" i="7"/>
  <c r="K582" i="7"/>
  <c r="L163" i="10" l="1"/>
  <c r="L162" i="10"/>
  <c r="L161" i="10"/>
  <c r="L160" i="10"/>
  <c r="L159" i="10"/>
  <c r="K557" i="7" l="1"/>
  <c r="K555" i="7"/>
  <c r="K554" i="7"/>
  <c r="K553" i="7"/>
  <c r="K552" i="7"/>
  <c r="K547" i="7"/>
  <c r="I547" i="7" s="1"/>
  <c r="J547" i="7" s="1"/>
  <c r="K548" i="7"/>
  <c r="I548" i="7" s="1"/>
  <c r="J548" i="7" s="1"/>
  <c r="I546" i="7"/>
  <c r="J546" i="7" s="1"/>
  <c r="I557" i="7" l="1"/>
  <c r="J557" i="7" s="1"/>
  <c r="K434" i="7"/>
  <c r="I551" i="7"/>
  <c r="J551" i="7" s="1"/>
  <c r="I552" i="7"/>
  <c r="J552" i="7" s="1"/>
  <c r="K432" i="7"/>
  <c r="K541" i="7" l="1"/>
  <c r="K539" i="7"/>
  <c r="K538" i="7"/>
  <c r="K537" i="7" l="1"/>
  <c r="K411" i="7"/>
  <c r="K504" i="7"/>
  <c r="K467" i="7"/>
  <c r="K425" i="7"/>
  <c r="K488" i="7"/>
  <c r="K510" i="7"/>
  <c r="K515" i="7"/>
  <c r="K436" i="7"/>
  <c r="K422" i="7"/>
  <c r="K429" i="7"/>
  <c r="K428" i="7"/>
  <c r="K446" i="7"/>
  <c r="K513" i="7"/>
  <c r="K426" i="7"/>
  <c r="K498" i="7"/>
  <c r="K450" i="7"/>
  <c r="K485" i="7"/>
  <c r="K448" i="7"/>
  <c r="K496" i="7"/>
  <c r="K508" i="7"/>
  <c r="K501" i="7"/>
  <c r="K402" i="7"/>
  <c r="K493" i="7"/>
  <c r="K476" i="7"/>
  <c r="K489" i="7"/>
  <c r="K475" i="7"/>
  <c r="K500" i="7"/>
  <c r="K497" i="7"/>
  <c r="K420" i="7"/>
  <c r="K414" i="7"/>
  <c r="K472" i="7"/>
  <c r="K471" i="7"/>
  <c r="K442" i="7"/>
  <c r="K483" i="7"/>
  <c r="K469" i="7" l="1"/>
  <c r="K479" i="7"/>
  <c r="K407" i="7"/>
  <c r="K470" i="7"/>
  <c r="K482" i="7"/>
  <c r="K481" i="7"/>
  <c r="K457" i="7"/>
  <c r="K452" i="7"/>
  <c r="K437" i="7"/>
  <c r="K473" i="7"/>
  <c r="K461" i="7"/>
  <c r="K478" i="7"/>
  <c r="I556" i="7" l="1"/>
  <c r="J556" i="7" s="1"/>
  <c r="I555" i="7"/>
  <c r="J555" i="7" s="1"/>
  <c r="I554" i="7"/>
  <c r="J554" i="7" s="1"/>
  <c r="I553" i="7"/>
  <c r="J553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K466" i="7"/>
  <c r="K451" i="7"/>
  <c r="K449" i="7"/>
  <c r="K408" i="7"/>
  <c r="K438" i="7"/>
  <c r="K430" i="7"/>
  <c r="K427" i="7"/>
  <c r="K421" i="7"/>
  <c r="K416" i="7" l="1"/>
  <c r="K415" i="7"/>
  <c r="K410" i="7"/>
  <c r="K439" i="7" l="1"/>
  <c r="K409" i="7"/>
  <c r="K413" i="7"/>
  <c r="K424" i="7" l="1"/>
  <c r="K440" i="7" l="1"/>
  <c r="K433" i="7"/>
  <c r="K435" i="7"/>
  <c r="K431" i="7"/>
  <c r="K419" i="7"/>
  <c r="K412" i="7" l="1"/>
  <c r="K406" i="7" l="1"/>
  <c r="K580" i="7" l="1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4" i="7" l="1"/>
  <c r="K565" i="7"/>
  <c r="K566" i="7"/>
  <c r="M163" i="6" l="1"/>
  <c r="K163" i="6"/>
  <c r="L163" i="6" s="1"/>
  <c r="M162" i="6"/>
  <c r="K162" i="6"/>
  <c r="L162" i="6" s="1"/>
  <c r="M161" i="6"/>
  <c r="K161" i="6"/>
  <c r="L161" i="6" s="1"/>
  <c r="M160" i="6"/>
  <c r="K160" i="6"/>
  <c r="L160" i="6" s="1"/>
  <c r="M159" i="6"/>
  <c r="K159" i="6"/>
  <c r="L159" i="6" s="1"/>
  <c r="M158" i="6"/>
  <c r="K158" i="6"/>
  <c r="L158" i="6" s="1"/>
  <c r="M156" i="6"/>
  <c r="K156" i="6"/>
  <c r="L156" i="6" s="1"/>
  <c r="M157" i="6"/>
  <c r="K157" i="6"/>
  <c r="L157" i="6" s="1"/>
  <c r="M155" i="6"/>
  <c r="K155" i="6"/>
  <c r="L155" i="6" s="1"/>
  <c r="M154" i="6"/>
  <c r="K154" i="6"/>
  <c r="L154" i="6" s="1"/>
  <c r="H143" i="6" l="1"/>
  <c r="M143" i="6" s="1"/>
  <c r="M138" i="6"/>
  <c r="M139" i="6"/>
  <c r="M140" i="6"/>
  <c r="M141" i="6"/>
  <c r="M142" i="6"/>
  <c r="M144" i="6"/>
  <c r="M145" i="6"/>
  <c r="M146" i="6"/>
  <c r="M147" i="6"/>
  <c r="M148" i="6"/>
  <c r="M149" i="6"/>
  <c r="M150" i="6"/>
  <c r="M151" i="6"/>
  <c r="M152" i="6"/>
  <c r="M15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37" i="6"/>
  <c r="M197" i="6" l="1"/>
  <c r="K563" i="7" l="1"/>
  <c r="K562" i="7"/>
  <c r="K561" i="7" l="1"/>
  <c r="K401" i="7" l="1"/>
  <c r="K191" i="6" l="1"/>
  <c r="L191" i="6" s="1"/>
  <c r="K190" i="6"/>
  <c r="L190" i="6" s="1"/>
  <c r="K187" i="6"/>
  <c r="L187" i="6" s="1"/>
  <c r="K186" i="6"/>
  <c r="L186" i="6" s="1"/>
  <c r="K183" i="6"/>
  <c r="L183" i="6" s="1"/>
  <c r="K185" i="6" l="1"/>
  <c r="L185" i="6" s="1"/>
  <c r="K189" i="6"/>
  <c r="L189" i="6" s="1"/>
  <c r="K184" i="6"/>
  <c r="L184" i="6" s="1"/>
  <c r="K188" i="6"/>
  <c r="L188" i="6" s="1"/>
  <c r="I2259" i="7" l="1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3" i="7"/>
  <c r="J1803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27" i="7"/>
  <c r="J1627" i="7" s="1"/>
  <c r="I1585" i="7"/>
  <c r="J1585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01" i="7"/>
  <c r="J140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7" i="7"/>
  <c r="J1347" i="7" s="1"/>
  <c r="I1346" i="7"/>
  <c r="J1346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09" i="7"/>
  <c r="J1109" i="7" s="1"/>
  <c r="I1108" i="7"/>
  <c r="J1108" i="7" s="1"/>
  <c r="I1107" i="7"/>
  <c r="J1107" i="7" s="1"/>
  <c r="I1096" i="7"/>
  <c r="J109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6" i="7"/>
  <c r="J946" i="7" s="1"/>
  <c r="I942" i="7"/>
  <c r="J942" i="7" s="1"/>
  <c r="I941" i="7"/>
  <c r="J941" i="7" s="1"/>
  <c r="I940" i="7"/>
  <c r="J940" i="7" s="1"/>
  <c r="I939" i="7"/>
  <c r="J939" i="7" s="1"/>
  <c r="I938" i="7"/>
  <c r="J938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47" i="7"/>
  <c r="J947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5" i="7"/>
  <c r="I609" i="7"/>
  <c r="J609" i="7" s="1"/>
  <c r="I607" i="7"/>
  <c r="J607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3" i="7"/>
  <c r="J593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J12" i="3"/>
  <c r="J812" i="6"/>
  <c r="K812" i="6" s="1"/>
  <c r="J811" i="6"/>
  <c r="K811" i="6" s="1"/>
  <c r="J810" i="6"/>
  <c r="K810" i="6" s="1"/>
  <c r="J809" i="6"/>
  <c r="K809" i="6" s="1"/>
  <c r="J808" i="6"/>
  <c r="K808" i="6" s="1"/>
  <c r="J807" i="6"/>
  <c r="K807" i="6" s="1"/>
  <c r="J806" i="6"/>
  <c r="K806" i="6" s="1"/>
  <c r="J805" i="6"/>
  <c r="K805" i="6" s="1"/>
  <c r="J804" i="6"/>
  <c r="K804" i="6" s="1"/>
  <c r="J803" i="6"/>
  <c r="K803" i="6" s="1"/>
  <c r="J802" i="6"/>
  <c r="K802" i="6" s="1"/>
  <c r="J801" i="6"/>
  <c r="K801" i="6" s="1"/>
  <c r="J800" i="6"/>
  <c r="K800" i="6" s="1"/>
  <c r="J799" i="6"/>
  <c r="K799" i="6" s="1"/>
  <c r="J798" i="6"/>
  <c r="K798" i="6" s="1"/>
  <c r="J797" i="6"/>
  <c r="K797" i="6" s="1"/>
  <c r="J796" i="6"/>
  <c r="K796" i="6" s="1"/>
  <c r="J795" i="6"/>
  <c r="K795" i="6" s="1"/>
  <c r="J794" i="6"/>
  <c r="K794" i="6" s="1"/>
  <c r="J793" i="6"/>
  <c r="K793" i="6" s="1"/>
  <c r="J792" i="6"/>
  <c r="K792" i="6" s="1"/>
  <c r="J791" i="6"/>
  <c r="K791" i="6" s="1"/>
  <c r="J790" i="6"/>
  <c r="K790" i="6" s="1"/>
  <c r="J789" i="6"/>
  <c r="K789" i="6" s="1"/>
  <c r="J788" i="6"/>
  <c r="K788" i="6" s="1"/>
  <c r="J787" i="6"/>
  <c r="K787" i="6" s="1"/>
  <c r="J786" i="6"/>
  <c r="K786" i="6" s="1"/>
  <c r="J785" i="6"/>
  <c r="K785" i="6" s="1"/>
  <c r="J784" i="6"/>
  <c r="K784" i="6" s="1"/>
  <c r="J783" i="6"/>
  <c r="K783" i="6" s="1"/>
  <c r="J782" i="6"/>
  <c r="K782" i="6" s="1"/>
  <c r="J781" i="6"/>
  <c r="K781" i="6" s="1"/>
  <c r="J780" i="6"/>
  <c r="K780" i="6" s="1"/>
  <c r="J779" i="6"/>
  <c r="K779" i="6" s="1"/>
  <c r="J778" i="6"/>
  <c r="K778" i="6" s="1"/>
  <c r="J777" i="6"/>
  <c r="K777" i="6" s="1"/>
  <c r="J776" i="6"/>
  <c r="K776" i="6" s="1"/>
  <c r="J775" i="6"/>
  <c r="K775" i="6" s="1"/>
  <c r="J774" i="6"/>
  <c r="K774" i="6" s="1"/>
  <c r="J773" i="6"/>
  <c r="K773" i="6" s="1"/>
  <c r="J772" i="6"/>
  <c r="K772" i="6" s="1"/>
  <c r="J771" i="6"/>
  <c r="K771" i="6" s="1"/>
  <c r="J770" i="6"/>
  <c r="K770" i="6" s="1"/>
  <c r="J769" i="6"/>
  <c r="K769" i="6" s="1"/>
  <c r="J768" i="6"/>
  <c r="K768" i="6" s="1"/>
  <c r="J767" i="6"/>
  <c r="K767" i="6" s="1"/>
  <c r="J766" i="6"/>
  <c r="K766" i="6" s="1"/>
  <c r="J765" i="6"/>
  <c r="K765" i="6" s="1"/>
  <c r="J764" i="6"/>
  <c r="K764" i="6" s="1"/>
  <c r="J763" i="6"/>
  <c r="K763" i="6" s="1"/>
  <c r="J762" i="6"/>
  <c r="K762" i="6" s="1"/>
  <c r="J761" i="6"/>
  <c r="K761" i="6" s="1"/>
  <c r="J760" i="6"/>
  <c r="K760" i="6" s="1"/>
  <c r="J759" i="6"/>
  <c r="K759" i="6" s="1"/>
  <c r="J758" i="6"/>
  <c r="K758" i="6" s="1"/>
  <c r="J757" i="6"/>
  <c r="K757" i="6" s="1"/>
  <c r="J756" i="6"/>
  <c r="K756" i="6" s="1"/>
  <c r="J755" i="6"/>
  <c r="K755" i="6" s="1"/>
  <c r="J754" i="6"/>
  <c r="K754" i="6" s="1"/>
  <c r="J753" i="6"/>
  <c r="K753" i="6" s="1"/>
  <c r="J751" i="6"/>
  <c r="K751" i="6" s="1"/>
  <c r="J750" i="6"/>
  <c r="K750" i="6" s="1"/>
  <c r="J749" i="6"/>
  <c r="K749" i="6" s="1"/>
  <c r="J746" i="6"/>
  <c r="K746" i="6" s="1"/>
  <c r="J745" i="6"/>
  <c r="K745" i="6" s="1"/>
  <c r="J744" i="6"/>
  <c r="K744" i="6" s="1"/>
  <c r="J743" i="6"/>
  <c r="K743" i="6" s="1"/>
  <c r="J742" i="6"/>
  <c r="K742" i="6" s="1"/>
  <c r="J741" i="6"/>
  <c r="K741" i="6" s="1"/>
  <c r="J740" i="6"/>
  <c r="K740" i="6" s="1"/>
  <c r="J739" i="6"/>
  <c r="K739" i="6" s="1"/>
  <c r="J738" i="6"/>
  <c r="K738" i="6" s="1"/>
  <c r="J737" i="6"/>
  <c r="K737" i="6" s="1"/>
  <c r="J736" i="6"/>
  <c r="K736" i="6" s="1"/>
  <c r="J735" i="6"/>
  <c r="K735" i="6" s="1"/>
  <c r="J734" i="6"/>
  <c r="K734" i="6" s="1"/>
  <c r="J733" i="6"/>
  <c r="K733" i="6" s="1"/>
  <c r="J732" i="6"/>
  <c r="K732" i="6" s="1"/>
  <c r="J731" i="6"/>
  <c r="K731" i="6" s="1"/>
  <c r="J730" i="6"/>
  <c r="K730" i="6" s="1"/>
  <c r="J729" i="6"/>
  <c r="K729" i="6" s="1"/>
  <c r="J728" i="6"/>
  <c r="K728" i="6" s="1"/>
  <c r="J727" i="6"/>
  <c r="K727" i="6" s="1"/>
  <c r="J726" i="6"/>
  <c r="K726" i="6" s="1"/>
  <c r="J725" i="6"/>
  <c r="K725" i="6" s="1"/>
  <c r="J724" i="6"/>
  <c r="K724" i="6" s="1"/>
  <c r="J723" i="6"/>
  <c r="K723" i="6" s="1"/>
  <c r="J722" i="6"/>
  <c r="K722" i="6" s="1"/>
  <c r="J721" i="6"/>
  <c r="K721" i="6" s="1"/>
  <c r="J720" i="6"/>
  <c r="K720" i="6" s="1"/>
  <c r="J719" i="6"/>
  <c r="K719" i="6" s="1"/>
  <c r="J718" i="6"/>
  <c r="K718" i="6" s="1"/>
  <c r="J717" i="6"/>
  <c r="K717" i="6" s="1"/>
  <c r="J716" i="6"/>
  <c r="K716" i="6" s="1"/>
  <c r="J715" i="6"/>
  <c r="K715" i="6" s="1"/>
  <c r="J714" i="6"/>
  <c r="K714" i="6" s="1"/>
  <c r="J713" i="6"/>
  <c r="K713" i="6" s="1"/>
  <c r="J712" i="6"/>
  <c r="K712" i="6" s="1"/>
  <c r="J711" i="6"/>
  <c r="K711" i="6" s="1"/>
  <c r="J710" i="6"/>
  <c r="K710" i="6" s="1"/>
  <c r="J709" i="6"/>
  <c r="K709" i="6" s="1"/>
  <c r="J708" i="6"/>
  <c r="K708" i="6" s="1"/>
  <c r="J707" i="6"/>
  <c r="K707" i="6" s="1"/>
  <c r="J706" i="6"/>
  <c r="K706" i="6" s="1"/>
  <c r="J705" i="6"/>
  <c r="K705" i="6" s="1"/>
  <c r="J704" i="6"/>
  <c r="K704" i="6" s="1"/>
  <c r="J703" i="6"/>
  <c r="K703" i="6" s="1"/>
  <c r="J702" i="6"/>
  <c r="K702" i="6" s="1"/>
  <c r="J701" i="6"/>
  <c r="K701" i="6" s="1"/>
  <c r="J700" i="6"/>
  <c r="K700" i="6" s="1"/>
  <c r="J698" i="6"/>
  <c r="K698" i="6" s="1"/>
  <c r="J697" i="6"/>
  <c r="K697" i="6" s="1"/>
  <c r="J696" i="6"/>
  <c r="K696" i="6" s="1"/>
  <c r="J693" i="6"/>
  <c r="K693" i="6" s="1"/>
  <c r="J692" i="6"/>
  <c r="K692" i="6" s="1"/>
  <c r="J691" i="6"/>
  <c r="K691" i="6" s="1"/>
  <c r="J690" i="6"/>
  <c r="K690" i="6" s="1"/>
  <c r="J689" i="6"/>
  <c r="K689" i="6" s="1"/>
  <c r="J688" i="6"/>
  <c r="K688" i="6" s="1"/>
  <c r="J687" i="6"/>
  <c r="K687" i="6" s="1"/>
  <c r="J686" i="6"/>
  <c r="K686" i="6" s="1"/>
  <c r="J685" i="6"/>
  <c r="K685" i="6" s="1"/>
  <c r="J684" i="6"/>
  <c r="K684" i="6" s="1"/>
  <c r="J683" i="6"/>
  <c r="K683" i="6" s="1"/>
  <c r="J682" i="6"/>
  <c r="K682" i="6" s="1"/>
  <c r="J681" i="6"/>
  <c r="K681" i="6" s="1"/>
  <c r="J680" i="6"/>
  <c r="K680" i="6" s="1"/>
  <c r="J679" i="6"/>
  <c r="K679" i="6" s="1"/>
  <c r="J678" i="6"/>
  <c r="K678" i="6" s="1"/>
  <c r="J677" i="6"/>
  <c r="K677" i="6" s="1"/>
  <c r="J676" i="6"/>
  <c r="K676" i="6" s="1"/>
  <c r="J675" i="6"/>
  <c r="K675" i="6" s="1"/>
  <c r="J674" i="6"/>
  <c r="K674" i="6" s="1"/>
  <c r="J673" i="6"/>
  <c r="K673" i="6" s="1"/>
  <c r="J672" i="6"/>
  <c r="K672" i="6" s="1"/>
  <c r="J671" i="6"/>
  <c r="K671" i="6" s="1"/>
  <c r="J670" i="6"/>
  <c r="K670" i="6" s="1"/>
  <c r="J669" i="6"/>
  <c r="K669" i="6" s="1"/>
  <c r="J668" i="6"/>
  <c r="K668" i="6" s="1"/>
  <c r="J667" i="6"/>
  <c r="K667" i="6" s="1"/>
  <c r="J666" i="6"/>
  <c r="K666" i="6" s="1"/>
  <c r="J665" i="6"/>
  <c r="K665" i="6" s="1"/>
  <c r="J664" i="6"/>
  <c r="K664" i="6" s="1"/>
  <c r="J663" i="6"/>
  <c r="K663" i="6" s="1"/>
  <c r="J662" i="6"/>
  <c r="K662" i="6" s="1"/>
  <c r="J661" i="6"/>
  <c r="K661" i="6" s="1"/>
  <c r="J660" i="6"/>
  <c r="K660" i="6" s="1"/>
  <c r="J659" i="6"/>
  <c r="K659" i="6" s="1"/>
  <c r="J658" i="6"/>
  <c r="K658" i="6" s="1"/>
  <c r="J657" i="6"/>
  <c r="K657" i="6" s="1"/>
  <c r="J656" i="6"/>
  <c r="K656" i="6" s="1"/>
  <c r="J655" i="6"/>
  <c r="K655" i="6" s="1"/>
  <c r="J654" i="6"/>
  <c r="K654" i="6" s="1"/>
  <c r="J653" i="6"/>
  <c r="K653" i="6" s="1"/>
  <c r="J652" i="6"/>
  <c r="K652" i="6" s="1"/>
  <c r="J651" i="6"/>
  <c r="K651" i="6" s="1"/>
  <c r="J630" i="6"/>
  <c r="K630" i="6" s="1"/>
  <c r="J629" i="6"/>
  <c r="K629" i="6" s="1"/>
  <c r="J619" i="6"/>
  <c r="K619" i="6" s="1"/>
  <c r="J614" i="6"/>
  <c r="K614" i="6" s="1"/>
  <c r="J612" i="6"/>
  <c r="K612" i="6" s="1"/>
  <c r="J534" i="6"/>
  <c r="K534" i="6" s="1"/>
  <c r="J454" i="6"/>
  <c r="K454" i="6" s="1"/>
  <c r="J370" i="6"/>
  <c r="K370" i="6" s="1"/>
  <c r="J309" i="6"/>
  <c r="K314" i="6"/>
  <c r="K315" i="6"/>
  <c r="K325" i="6"/>
  <c r="K365" i="6"/>
  <c r="K349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83" i="6"/>
  <c r="J247" i="6"/>
  <c r="K247" i="6" s="1"/>
  <c r="K242" i="6"/>
  <c r="K220" i="6"/>
  <c r="K219" i="6"/>
  <c r="K216" i="6"/>
  <c r="K215" i="6"/>
  <c r="K214" i="6"/>
  <c r="K213" i="6"/>
  <c r="K212" i="6"/>
  <c r="K211" i="6"/>
  <c r="K207" i="6"/>
  <c r="K208" i="6"/>
  <c r="K209" i="6"/>
  <c r="K210" i="6"/>
  <c r="K240" i="6"/>
  <c r="K239" i="6"/>
  <c r="K238" i="6"/>
  <c r="K237" i="6"/>
  <c r="K236" i="6"/>
  <c r="K235" i="6"/>
  <c r="K246" i="6"/>
  <c r="K245" i="6"/>
  <c r="K204" i="6"/>
  <c r="K203" i="6"/>
  <c r="K202" i="6"/>
  <c r="K234" i="6"/>
  <c r="K233" i="6"/>
  <c r="K232" i="6"/>
  <c r="K231" i="6"/>
  <c r="K230" i="6"/>
  <c r="K229" i="6"/>
  <c r="K228" i="6"/>
  <c r="K227" i="6"/>
  <c r="K226" i="6"/>
  <c r="K225" i="6"/>
  <c r="K201" i="6"/>
  <c r="K244" i="6"/>
  <c r="K241" i="6"/>
  <c r="K224" i="6"/>
  <c r="K200" i="6"/>
  <c r="K309" i="6" l="1"/>
  <c r="K371" i="6" s="1"/>
  <c r="J371" i="6"/>
  <c r="J895" i="7"/>
  <c r="J896" i="7" s="1"/>
  <c r="I896" i="7"/>
  <c r="J22" i="11"/>
  <c r="J21" i="11"/>
  <c r="J20" i="11"/>
  <c r="J19" i="11"/>
  <c r="J18" i="11"/>
  <c r="P169" i="10"/>
  <c r="P157" i="10"/>
  <c r="P148" i="10"/>
  <c r="P135" i="10"/>
  <c r="O156" i="10"/>
  <c r="O134" i="10"/>
  <c r="L75" i="10" l="1"/>
  <c r="L74" i="10"/>
  <c r="L99" i="10" l="1"/>
  <c r="L98" i="10"/>
  <c r="L97" i="10"/>
  <c r="L96" i="10"/>
  <c r="L95" i="10"/>
  <c r="L94" i="10"/>
  <c r="L93" i="10"/>
  <c r="L92" i="10"/>
  <c r="L91" i="10"/>
  <c r="L90" i="10"/>
  <c r="L89" i="10"/>
  <c r="L88" i="10"/>
  <c r="L87" i="10"/>
  <c r="I22" i="11" l="1"/>
  <c r="I18" i="11"/>
  <c r="J89" i="6" l="1"/>
  <c r="K89" i="6" s="1"/>
  <c r="K358" i="7" l="1"/>
  <c r="K355" i="7"/>
  <c r="K357" i="7"/>
  <c r="K356" i="7"/>
  <c r="K354" i="7" l="1"/>
  <c r="K238" i="7"/>
  <c r="K257" i="7"/>
  <c r="K287" i="7"/>
  <c r="K243" i="7"/>
  <c r="K350" i="7"/>
  <c r="K349" i="7"/>
  <c r="K347" i="7"/>
  <c r="K307" i="7"/>
  <c r="K344" i="7"/>
  <c r="K346" i="7"/>
  <c r="K345" i="7"/>
  <c r="K295" i="7"/>
  <c r="K306" i="7"/>
  <c r="K325" i="7" l="1"/>
  <c r="K343" i="7"/>
  <c r="I343" i="7" s="1"/>
  <c r="J343" i="7" s="1"/>
  <c r="K279" i="7"/>
  <c r="K278" i="7"/>
  <c r="K311" i="7"/>
  <c r="K263" i="7"/>
  <c r="K324" i="7"/>
  <c r="K329" i="7"/>
  <c r="K289" i="7"/>
  <c r="K288" i="7"/>
  <c r="K312" i="7"/>
  <c r="K266" i="7"/>
  <c r="K302" i="7"/>
  <c r="K275" i="7"/>
  <c r="K308" i="7"/>
  <c r="K323" i="7"/>
  <c r="K310" i="7"/>
  <c r="K285" i="7"/>
  <c r="K298" i="7"/>
  <c r="K271" i="7"/>
  <c r="K233" i="7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K327" i="7"/>
  <c r="K245" i="7"/>
  <c r="K274" i="7"/>
  <c r="K249" i="7"/>
  <c r="K281" i="7"/>
  <c r="K258" i="7"/>
  <c r="K273" i="7"/>
  <c r="K268" i="7"/>
  <c r="K290" i="7"/>
  <c r="K270" i="7"/>
  <c r="K282" i="7"/>
  <c r="K260" i="7"/>
  <c r="K293" i="7" l="1"/>
  <c r="K314" i="7"/>
  <c r="K292" i="7"/>
  <c r="K246" i="7"/>
  <c r="K264" i="7"/>
  <c r="K252" i="7"/>
  <c r="K269" i="7"/>
  <c r="K303" i="7"/>
  <c r="K259" i="7" l="1"/>
  <c r="K241" i="7"/>
  <c r="K294" i="7"/>
  <c r="K247" i="7"/>
  <c r="K240" i="7"/>
  <c r="K235" i="7"/>
  <c r="K234" i="7"/>
  <c r="K237" i="7" l="1"/>
  <c r="J128" i="6" l="1"/>
  <c r="J127" i="6"/>
  <c r="J126" i="6"/>
  <c r="J125" i="6"/>
  <c r="J124" i="6"/>
  <c r="J123" i="6"/>
  <c r="J122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06" i="6"/>
  <c r="J107" i="6"/>
  <c r="J108" i="6"/>
  <c r="J131" i="6"/>
  <c r="J130" i="6"/>
  <c r="J133" i="6"/>
  <c r="J132" i="6"/>
  <c r="K131" i="6" l="1"/>
  <c r="L131" i="6" s="1"/>
  <c r="J90" i="6" l="1"/>
  <c r="J91" i="6"/>
  <c r="J92" i="6"/>
  <c r="J93" i="6"/>
  <c r="J94" i="6"/>
  <c r="J95" i="6"/>
  <c r="J86" i="6" l="1"/>
  <c r="J87" i="6"/>
  <c r="J88" i="6"/>
  <c r="H135" i="6" l="1"/>
  <c r="I502" i="7" l="1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K399" i="7" l="1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 l="1"/>
  <c r="K381" i="7"/>
  <c r="K380" i="7"/>
  <c r="K379" i="7"/>
  <c r="K378" i="7"/>
  <c r="K377" i="7"/>
  <c r="K376" i="7"/>
  <c r="K375" i="7"/>
  <c r="K374" i="7"/>
  <c r="K373" i="7"/>
  <c r="K372" i="7"/>
  <c r="K370" i="7" l="1"/>
  <c r="K371" i="7" l="1"/>
  <c r="K366" i="7" l="1"/>
  <c r="K368" i="7" l="1"/>
  <c r="K369" i="7" l="1"/>
  <c r="K367" i="7" l="1"/>
  <c r="K364" i="7" l="1"/>
  <c r="K365" i="7" l="1"/>
  <c r="K363" i="7" l="1"/>
  <c r="O110" i="10" l="1"/>
  <c r="P125" i="10"/>
  <c r="P111" i="10"/>
  <c r="P86" i="10"/>
  <c r="P73" i="10"/>
  <c r="O72" i="10"/>
  <c r="I21" i="11"/>
  <c r="I20" i="11"/>
  <c r="I19" i="11"/>
  <c r="O127" i="10" l="1"/>
  <c r="P127" i="10"/>
  <c r="K232" i="7" l="1"/>
  <c r="K231" i="7"/>
  <c r="K230" i="7"/>
  <c r="K229" i="7"/>
  <c r="K228" i="7"/>
  <c r="K225" i="7"/>
  <c r="K224" i="7"/>
  <c r="K223" i="7"/>
  <c r="K222" i="7"/>
  <c r="K221" i="7"/>
  <c r="K220" i="7"/>
  <c r="K219" i="7"/>
  <c r="K218" i="7"/>
  <c r="K217" i="7"/>
  <c r="K216" i="7"/>
  <c r="K215" i="7"/>
  <c r="K226" i="7" l="1"/>
  <c r="K227" i="7" l="1"/>
  <c r="K214" i="7" l="1"/>
  <c r="K213" i="7"/>
  <c r="K212" i="7"/>
  <c r="K211" i="7"/>
  <c r="K210" i="7"/>
  <c r="K209" i="7"/>
  <c r="K208" i="7"/>
  <c r="K207" i="7"/>
  <c r="K206" i="7"/>
  <c r="K205" i="7"/>
  <c r="K204" i="7"/>
  <c r="K203" i="7"/>
  <c r="K202" i="7"/>
  <c r="L48" i="10" l="1"/>
  <c r="L47" i="10"/>
  <c r="L46" i="10"/>
  <c r="L30" i="10"/>
  <c r="L29" i="10"/>
  <c r="L28" i="10"/>
  <c r="L27" i="10"/>
  <c r="L26" i="10"/>
  <c r="H19" i="10" l="1"/>
  <c r="K193" i="7" l="1"/>
  <c r="K194" i="7"/>
  <c r="K191" i="7"/>
  <c r="K88" i="7"/>
  <c r="I198" i="7"/>
  <c r="J198" i="7" s="1"/>
  <c r="I197" i="7"/>
  <c r="J197" i="7" s="1"/>
  <c r="I196" i="7"/>
  <c r="J196" i="7" s="1"/>
  <c r="I195" i="7"/>
  <c r="J195" i="7" s="1"/>
  <c r="K192" i="7" l="1"/>
  <c r="K189" i="7"/>
  <c r="K188" i="7"/>
  <c r="K187" i="7"/>
  <c r="K186" i="7"/>
  <c r="K51" i="7"/>
  <c r="K53" i="7"/>
  <c r="K87" i="7"/>
  <c r="K105" i="7"/>
  <c r="K184" i="7"/>
  <c r="K157" i="7"/>
  <c r="K76" i="7"/>
  <c r="K160" i="7"/>
  <c r="K170" i="7"/>
  <c r="K150" i="7"/>
  <c r="K174" i="7"/>
  <c r="K75" i="7"/>
  <c r="K106" i="7"/>
  <c r="K95" i="7"/>
  <c r="K115" i="7"/>
  <c r="K173" i="7"/>
  <c r="K119" i="7"/>
  <c r="K166" i="7"/>
  <c r="K156" i="7"/>
  <c r="K168" i="7"/>
  <c r="K162" i="7" l="1"/>
  <c r="K163" i="7"/>
  <c r="K90" i="7" l="1"/>
  <c r="K138" i="7"/>
  <c r="K125" i="7"/>
  <c r="K151" i="7"/>
  <c r="K154" i="7"/>
  <c r="K126" i="7"/>
  <c r="K122" i="7"/>
  <c r="K60" i="7"/>
  <c r="K152" i="7"/>
  <c r="K81" i="7"/>
  <c r="K135" i="7"/>
  <c r="K93" i="7"/>
  <c r="K67" i="7"/>
  <c r="K91" i="7"/>
  <c r="K141" i="7"/>
  <c r="K129" i="7"/>
  <c r="K131" i="7"/>
  <c r="K101" i="7"/>
  <c r="K134" i="7" l="1"/>
  <c r="K70" i="7"/>
  <c r="K57" i="7"/>
  <c r="K112" i="7"/>
  <c r="K102" i="7"/>
  <c r="K124" i="7"/>
  <c r="I175" i="7"/>
  <c r="J175" i="7" s="1"/>
  <c r="I174" i="7"/>
  <c r="J174" i="7" s="1"/>
  <c r="I173" i="7"/>
  <c r="J173" i="7" s="1"/>
  <c r="I172" i="7"/>
  <c r="J172" i="7" s="1"/>
  <c r="I171" i="7"/>
  <c r="J171" i="7" s="1"/>
  <c r="I170" i="7"/>
  <c r="J170" i="7" s="1"/>
  <c r="I169" i="7"/>
  <c r="J169" i="7" s="1"/>
  <c r="I168" i="7"/>
  <c r="J168" i="7" s="1"/>
  <c r="I167" i="7"/>
  <c r="J167" i="7" s="1"/>
  <c r="I166" i="7"/>
  <c r="J166" i="7" s="1"/>
  <c r="I165" i="7"/>
  <c r="J165" i="7" s="1"/>
  <c r="I178" i="7"/>
  <c r="J178" i="7" s="1"/>
  <c r="I177" i="7"/>
  <c r="J177" i="7" s="1"/>
  <c r="I176" i="7"/>
  <c r="J176" i="7" s="1"/>
  <c r="I164" i="7"/>
  <c r="J164" i="7" s="1"/>
  <c r="I163" i="7"/>
  <c r="J163" i="7" s="1"/>
  <c r="I162" i="7"/>
  <c r="J162" i="7" s="1"/>
  <c r="I161" i="7"/>
  <c r="J161" i="7" s="1"/>
  <c r="I160" i="7"/>
  <c r="J160" i="7" s="1"/>
  <c r="I159" i="7"/>
  <c r="J159" i="7" s="1"/>
  <c r="I158" i="7"/>
  <c r="J158" i="7" s="1"/>
  <c r="I157" i="7"/>
  <c r="J157" i="7" s="1"/>
  <c r="I156" i="7"/>
  <c r="J156" i="7" s="1"/>
  <c r="I155" i="7"/>
  <c r="J155" i="7" s="1"/>
  <c r="I154" i="7"/>
  <c r="J154" i="7" s="1"/>
  <c r="I153" i="7"/>
  <c r="J153" i="7" s="1"/>
  <c r="I152" i="7"/>
  <c r="J152" i="7" s="1"/>
  <c r="I151" i="7"/>
  <c r="J151" i="7" s="1"/>
  <c r="I150" i="7"/>
  <c r="J150" i="7" s="1"/>
  <c r="I149" i="7"/>
  <c r="J149" i="7" s="1"/>
  <c r="I148" i="7"/>
  <c r="J148" i="7" s="1"/>
  <c r="I147" i="7"/>
  <c r="J147" i="7" s="1"/>
  <c r="I146" i="7"/>
  <c r="J146" i="7" s="1"/>
  <c r="I145" i="7"/>
  <c r="J145" i="7" s="1"/>
  <c r="I144" i="7"/>
  <c r="J144" i="7" s="1"/>
  <c r="I143" i="7"/>
  <c r="J143" i="7" s="1"/>
  <c r="I142" i="7"/>
  <c r="J142" i="7" s="1"/>
  <c r="I191" i="7"/>
  <c r="J191" i="7" s="1"/>
  <c r="I190" i="7"/>
  <c r="J190" i="7" s="1"/>
  <c r="I189" i="7"/>
  <c r="J189" i="7" s="1"/>
  <c r="I188" i="7"/>
  <c r="J188" i="7" s="1"/>
  <c r="I187" i="7"/>
  <c r="J187" i="7" s="1"/>
  <c r="I186" i="7"/>
  <c r="J186" i="7" s="1"/>
  <c r="I185" i="7"/>
  <c r="J185" i="7" s="1"/>
  <c r="I184" i="7"/>
  <c r="J184" i="7" s="1"/>
  <c r="I183" i="7"/>
  <c r="J183" i="7" s="1"/>
  <c r="I182" i="7"/>
  <c r="J182" i="7" s="1"/>
  <c r="I181" i="7"/>
  <c r="J181" i="7" s="1"/>
  <c r="I180" i="7"/>
  <c r="J180" i="7" s="1"/>
  <c r="I179" i="7"/>
  <c r="J179" i="7" s="1"/>
  <c r="K97" i="7"/>
  <c r="K61" i="7"/>
  <c r="K94" i="7"/>
  <c r="K114" i="7"/>
  <c r="K68" i="7"/>
  <c r="K121" i="7"/>
  <c r="K82" i="7"/>
  <c r="K80" i="7"/>
  <c r="K116" i="7"/>
  <c r="K111" i="7"/>
  <c r="K78" i="7"/>
  <c r="K52" i="7"/>
  <c r="K74" i="7"/>
  <c r="K98" i="7"/>
  <c r="K66" i="7"/>
  <c r="K69" i="7"/>
  <c r="K107" i="7"/>
  <c r="K83" i="7"/>
  <c r="K96" i="7"/>
  <c r="K58" i="7"/>
  <c r="K72" i="7" l="1"/>
  <c r="K55" i="7"/>
  <c r="K73" i="7"/>
  <c r="K79" i="7"/>
  <c r="K92" i="7"/>
  <c r="K86" i="7"/>
  <c r="K56" i="7"/>
  <c r="K64" i="7"/>
  <c r="K65" i="7" l="1"/>
  <c r="K62" i="7"/>
  <c r="J80" i="6" l="1"/>
  <c r="J81" i="6"/>
  <c r="J82" i="6"/>
  <c r="J83" i="6"/>
  <c r="J84" i="6"/>
  <c r="J85" i="6"/>
  <c r="J53" i="6"/>
  <c r="J54" i="6"/>
  <c r="J78" i="6"/>
  <c r="J79" i="6"/>
  <c r="J52" i="6"/>
  <c r="J51" i="6"/>
  <c r="J50" i="6" l="1"/>
  <c r="J49" i="6"/>
  <c r="J48" i="6"/>
  <c r="J47" i="6"/>
  <c r="J71" i="6"/>
  <c r="J70" i="6"/>
  <c r="K70" i="6" s="1"/>
  <c r="L70" i="6" s="1"/>
  <c r="J67" i="6"/>
  <c r="K67" i="6" s="1"/>
  <c r="J68" i="6"/>
  <c r="J66" i="6"/>
  <c r="J29" i="6"/>
  <c r="K29" i="6" s="1"/>
  <c r="L29" i="6" s="1"/>
  <c r="J30" i="6"/>
  <c r="K30" i="6" s="1"/>
  <c r="K116" i="6" l="1"/>
  <c r="L116" i="6" s="1"/>
  <c r="L67" i="6"/>
  <c r="K68" i="6"/>
  <c r="L68" i="6" s="1"/>
  <c r="K71" i="6"/>
  <c r="L71" i="6" s="1"/>
  <c r="K117" i="6"/>
  <c r="L117" i="6" s="1"/>
  <c r="L30" i="6"/>
  <c r="K66" i="6"/>
  <c r="L66" i="6" s="1"/>
  <c r="J20" i="6" l="1"/>
  <c r="J19" i="6"/>
  <c r="K19" i="6" s="1"/>
  <c r="L19" i="6" s="1"/>
  <c r="J18" i="6"/>
  <c r="K18" i="6" s="1"/>
  <c r="L18" i="6" s="1"/>
  <c r="J17" i="6"/>
  <c r="J16" i="6"/>
  <c r="J15" i="6"/>
  <c r="K15" i="6" s="1"/>
  <c r="L15" i="6" s="1"/>
  <c r="J14" i="6"/>
  <c r="K14" i="6" s="1"/>
  <c r="L14" i="6" s="1"/>
  <c r="J13" i="6"/>
  <c r="K13" i="6" s="1"/>
  <c r="J12" i="6"/>
  <c r="J11" i="6"/>
  <c r="K11" i="6" s="1"/>
  <c r="L11" i="6" s="1"/>
  <c r="J10" i="6"/>
  <c r="K10" i="6" s="1"/>
  <c r="L10" i="6" s="1"/>
  <c r="J9" i="6"/>
  <c r="J23" i="6"/>
  <c r="J26" i="6"/>
  <c r="J27" i="6"/>
  <c r="K27" i="6" s="1"/>
  <c r="L27" i="6" s="1"/>
  <c r="J24" i="6"/>
  <c r="K24" i="6" s="1"/>
  <c r="L24" i="6" s="1"/>
  <c r="J22" i="6"/>
  <c r="J21" i="6"/>
  <c r="K9" i="6" l="1"/>
  <c r="L9" i="6" s="1"/>
  <c r="K17" i="6"/>
  <c r="L17" i="6" s="1"/>
  <c r="K12" i="6"/>
  <c r="L12" i="6" s="1"/>
  <c r="L13" i="6"/>
  <c r="K16" i="6"/>
  <c r="L16" i="6" s="1"/>
  <c r="K20" i="6"/>
  <c r="L20" i="6" s="1"/>
  <c r="K22" i="6"/>
  <c r="L22" i="6" s="1"/>
  <c r="K23" i="6"/>
  <c r="L23" i="6" s="1"/>
  <c r="K21" i="6"/>
  <c r="L21" i="6" s="1"/>
  <c r="K26" i="6"/>
  <c r="L26" i="6" s="1"/>
  <c r="P56" i="10" l="1"/>
  <c r="P49" i="10"/>
  <c r="H18" i="11" l="1"/>
  <c r="H22" i="11"/>
  <c r="H21" i="11"/>
  <c r="H20" i="11"/>
  <c r="H19" i="11"/>
  <c r="O55" i="10" l="1"/>
  <c r="O24" i="10"/>
  <c r="P25" i="10"/>
  <c r="P14" i="10"/>
  <c r="K85" i="6" l="1"/>
  <c r="L85" i="6" s="1"/>
  <c r="K82" i="6"/>
  <c r="L82" i="6" s="1"/>
  <c r="K111" i="6"/>
  <c r="K84" i="6" l="1"/>
  <c r="L84" i="6" s="1"/>
  <c r="K83" i="6"/>
  <c r="L83" i="6" s="1"/>
  <c r="K110" i="6"/>
  <c r="L110" i="6" s="1"/>
  <c r="K112" i="6"/>
  <c r="L112" i="6" s="1"/>
  <c r="L111" i="6"/>
  <c r="J7" i="6" l="1"/>
  <c r="J6" i="6"/>
  <c r="K54" i="6"/>
  <c r="L54" i="6" s="1"/>
  <c r="K53" i="6"/>
  <c r="L53" i="6" s="1"/>
  <c r="K52" i="6" l="1"/>
  <c r="L52" i="6" s="1"/>
  <c r="K51" i="6"/>
  <c r="L51" i="6" s="1"/>
  <c r="K78" i="6"/>
  <c r="L78" i="6" s="1"/>
  <c r="J36" i="6" l="1"/>
  <c r="J37" i="6"/>
  <c r="J38" i="6"/>
  <c r="J39" i="6"/>
  <c r="J40" i="6"/>
  <c r="J41" i="6"/>
  <c r="J42" i="6"/>
  <c r="J43" i="6"/>
  <c r="J44" i="6"/>
  <c r="J45" i="6"/>
  <c r="J46" i="6"/>
  <c r="K39" i="6" l="1"/>
  <c r="L39" i="6" s="1"/>
  <c r="K40" i="6"/>
  <c r="L40" i="6" s="1"/>
  <c r="K36" i="6"/>
  <c r="L36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38" i="6" l="1"/>
  <c r="L38" i="6" s="1"/>
  <c r="K37" i="6"/>
  <c r="L37" i="6" s="1"/>
  <c r="K41" i="6"/>
  <c r="L41" i="6" s="1"/>
  <c r="L792" i="6" l="1"/>
  <c r="L789" i="6"/>
  <c r="L788" i="6"/>
  <c r="L786" i="6"/>
  <c r="L785" i="6"/>
  <c r="L784" i="6"/>
  <c r="L781" i="6"/>
  <c r="L779" i="6"/>
  <c r="L791" i="6" l="1"/>
  <c r="L790" i="6"/>
  <c r="L780" i="6"/>
  <c r="L783" i="6"/>
  <c r="L782" i="6"/>
  <c r="E35" i="1" l="1"/>
  <c r="K11" i="1"/>
  <c r="R531" i="10" l="1"/>
  <c r="M36" i="1" s="1"/>
  <c r="P531" i="10"/>
  <c r="M22" i="1" s="1"/>
  <c r="O531" i="10"/>
  <c r="N531" i="10"/>
  <c r="M35" i="1" s="1"/>
  <c r="M531" i="10"/>
  <c r="M21" i="1" s="1"/>
  <c r="L531" i="10"/>
  <c r="M34" i="1" s="1"/>
  <c r="K531" i="10"/>
  <c r="M33" i="1" s="1"/>
  <c r="J531" i="10"/>
  <c r="M32" i="1" s="1"/>
  <c r="I531" i="10"/>
  <c r="M31" i="1" s="1"/>
  <c r="H531" i="10"/>
  <c r="M30" i="1" s="1"/>
  <c r="G531" i="10"/>
  <c r="M29" i="1" s="1"/>
  <c r="F531" i="10"/>
  <c r="M28" i="1" s="1"/>
  <c r="E531" i="10"/>
  <c r="M27" i="1" s="1"/>
  <c r="D531" i="10"/>
  <c r="M26" i="1" s="1"/>
  <c r="C531" i="10"/>
  <c r="M25" i="1" s="1"/>
  <c r="R498" i="10"/>
  <c r="L36" i="1" s="1"/>
  <c r="P498" i="10"/>
  <c r="L22" i="1" s="1"/>
  <c r="O498" i="10"/>
  <c r="N498" i="10"/>
  <c r="L35" i="1" s="1"/>
  <c r="M498" i="10"/>
  <c r="L21" i="1" s="1"/>
  <c r="L498" i="10"/>
  <c r="L34" i="1" s="1"/>
  <c r="K498" i="10"/>
  <c r="L33" i="1" s="1"/>
  <c r="J498" i="10"/>
  <c r="L32" i="1" s="1"/>
  <c r="I498" i="10"/>
  <c r="L31" i="1" s="1"/>
  <c r="H498" i="10"/>
  <c r="L30" i="1" s="1"/>
  <c r="G498" i="10"/>
  <c r="L29" i="1" s="1"/>
  <c r="F498" i="10"/>
  <c r="L28" i="1" s="1"/>
  <c r="E498" i="10"/>
  <c r="L27" i="1" s="1"/>
  <c r="D498" i="10"/>
  <c r="L26" i="1" s="1"/>
  <c r="C498" i="10"/>
  <c r="L25" i="1" s="1"/>
  <c r="R466" i="10"/>
  <c r="K36" i="1" s="1"/>
  <c r="P466" i="10"/>
  <c r="K22" i="1" s="1"/>
  <c r="O466" i="10"/>
  <c r="N466" i="10"/>
  <c r="K35" i="1" s="1"/>
  <c r="M466" i="10"/>
  <c r="K21" i="1" s="1"/>
  <c r="L466" i="10"/>
  <c r="K34" i="1" s="1"/>
  <c r="K466" i="10"/>
  <c r="K33" i="1" s="1"/>
  <c r="J466" i="10"/>
  <c r="K32" i="1" s="1"/>
  <c r="I466" i="10"/>
  <c r="K31" i="1" s="1"/>
  <c r="H466" i="10"/>
  <c r="K30" i="1" s="1"/>
  <c r="G466" i="10"/>
  <c r="K29" i="1" s="1"/>
  <c r="F466" i="10"/>
  <c r="K28" i="1" s="1"/>
  <c r="E466" i="10"/>
  <c r="K27" i="1" s="1"/>
  <c r="D466" i="10"/>
  <c r="K26" i="1" s="1"/>
  <c r="C466" i="10"/>
  <c r="K25" i="1" s="1"/>
  <c r="R433" i="10"/>
  <c r="J36" i="1" s="1"/>
  <c r="P433" i="10"/>
  <c r="J22" i="1" s="1"/>
  <c r="O433" i="10"/>
  <c r="N433" i="10"/>
  <c r="J35" i="1" s="1"/>
  <c r="M433" i="10"/>
  <c r="J21" i="1" s="1"/>
  <c r="L433" i="10"/>
  <c r="J34" i="1" s="1"/>
  <c r="K433" i="10"/>
  <c r="J33" i="1" s="1"/>
  <c r="J433" i="10"/>
  <c r="J32" i="1" s="1"/>
  <c r="I433" i="10"/>
  <c r="J31" i="1" s="1"/>
  <c r="H433" i="10"/>
  <c r="J30" i="1" s="1"/>
  <c r="G433" i="10"/>
  <c r="J29" i="1" s="1"/>
  <c r="F433" i="10"/>
  <c r="J28" i="1" s="1"/>
  <c r="E433" i="10"/>
  <c r="J27" i="1" s="1"/>
  <c r="D433" i="10"/>
  <c r="J26" i="1" s="1"/>
  <c r="C433" i="10"/>
  <c r="J25" i="1" s="1"/>
  <c r="R401" i="10"/>
  <c r="I36" i="1" s="1"/>
  <c r="P401" i="10"/>
  <c r="I22" i="1" s="1"/>
  <c r="O401" i="10"/>
  <c r="N401" i="10"/>
  <c r="I35" i="1" s="1"/>
  <c r="M401" i="10"/>
  <c r="I21" i="1" s="1"/>
  <c r="L401" i="10"/>
  <c r="I34" i="1" s="1"/>
  <c r="K401" i="10"/>
  <c r="I33" i="1" s="1"/>
  <c r="J401" i="10"/>
  <c r="I32" i="1" s="1"/>
  <c r="I401" i="10"/>
  <c r="I31" i="1" s="1"/>
  <c r="H401" i="10"/>
  <c r="I30" i="1" s="1"/>
  <c r="G401" i="10"/>
  <c r="I29" i="1" s="1"/>
  <c r="F401" i="10"/>
  <c r="I28" i="1" s="1"/>
  <c r="E401" i="10"/>
  <c r="I27" i="1" s="1"/>
  <c r="D401" i="10"/>
  <c r="I26" i="1" s="1"/>
  <c r="C401" i="10"/>
  <c r="I25" i="1" s="1"/>
  <c r="R354" i="10"/>
  <c r="H36" i="1" s="1"/>
  <c r="P354" i="10"/>
  <c r="H22" i="1" s="1"/>
  <c r="O354" i="10"/>
  <c r="N354" i="10"/>
  <c r="H35" i="1" s="1"/>
  <c r="M354" i="10"/>
  <c r="H21" i="1" s="1"/>
  <c r="L354" i="10"/>
  <c r="H34" i="1" s="1"/>
  <c r="K354" i="10"/>
  <c r="H33" i="1" s="1"/>
  <c r="J354" i="10"/>
  <c r="H32" i="1" s="1"/>
  <c r="I354" i="10"/>
  <c r="H31" i="1" s="1"/>
  <c r="H354" i="10"/>
  <c r="H30" i="1" s="1"/>
  <c r="G354" i="10"/>
  <c r="H29" i="1" s="1"/>
  <c r="F354" i="10"/>
  <c r="H28" i="1" s="1"/>
  <c r="E354" i="10"/>
  <c r="H27" i="1" s="1"/>
  <c r="D354" i="10"/>
  <c r="H26" i="1" s="1"/>
  <c r="C354" i="10"/>
  <c r="H25" i="1" s="1"/>
  <c r="R310" i="10"/>
  <c r="G36" i="1" s="1"/>
  <c r="P310" i="10"/>
  <c r="G22" i="1" s="1"/>
  <c r="O310" i="10"/>
  <c r="N310" i="10"/>
  <c r="G35" i="1" s="1"/>
  <c r="M310" i="10"/>
  <c r="G21" i="1" s="1"/>
  <c r="L310" i="10"/>
  <c r="G34" i="1" s="1"/>
  <c r="K310" i="10"/>
  <c r="G33" i="1" s="1"/>
  <c r="J310" i="10"/>
  <c r="G32" i="1" s="1"/>
  <c r="I310" i="10"/>
  <c r="G31" i="1" s="1"/>
  <c r="H310" i="10"/>
  <c r="G30" i="1" s="1"/>
  <c r="G310" i="10"/>
  <c r="G29" i="1" s="1"/>
  <c r="F310" i="10"/>
  <c r="G28" i="1" s="1"/>
  <c r="E310" i="10"/>
  <c r="G27" i="1" s="1"/>
  <c r="D310" i="10"/>
  <c r="G26" i="1" s="1"/>
  <c r="C310" i="10"/>
  <c r="G25" i="1" s="1"/>
  <c r="R261" i="10"/>
  <c r="F36" i="1" s="1"/>
  <c r="P261" i="10"/>
  <c r="F22" i="1" s="1"/>
  <c r="O261" i="10"/>
  <c r="N261" i="10"/>
  <c r="F35" i="1" s="1"/>
  <c r="M261" i="10"/>
  <c r="F21" i="1" s="1"/>
  <c r="L261" i="10"/>
  <c r="F34" i="1" s="1"/>
  <c r="K261" i="10"/>
  <c r="F33" i="1" s="1"/>
  <c r="J261" i="10"/>
  <c r="F32" i="1" s="1"/>
  <c r="I261" i="10"/>
  <c r="F31" i="1" s="1"/>
  <c r="H261" i="10"/>
  <c r="F30" i="1" s="1"/>
  <c r="G261" i="10"/>
  <c r="F29" i="1" s="1"/>
  <c r="F261" i="10"/>
  <c r="F28" i="1" s="1"/>
  <c r="E261" i="10"/>
  <c r="F27" i="1" s="1"/>
  <c r="D261" i="10"/>
  <c r="F26" i="1" s="1"/>
  <c r="C261" i="10"/>
  <c r="F25" i="1" s="1"/>
  <c r="R213" i="10"/>
  <c r="E36" i="1" s="1"/>
  <c r="P213" i="10"/>
  <c r="E22" i="1" s="1"/>
  <c r="O213" i="10"/>
  <c r="N213" i="10"/>
  <c r="M213" i="10"/>
  <c r="E21" i="1" s="1"/>
  <c r="L213" i="10"/>
  <c r="E34" i="1" s="1"/>
  <c r="K213" i="10"/>
  <c r="E33" i="1" s="1"/>
  <c r="J213" i="10"/>
  <c r="E32" i="1" s="1"/>
  <c r="I213" i="10"/>
  <c r="E31" i="1" s="1"/>
  <c r="H213" i="10"/>
  <c r="E30" i="1" s="1"/>
  <c r="G213" i="10"/>
  <c r="E29" i="1" s="1"/>
  <c r="F213" i="10"/>
  <c r="E28" i="1" s="1"/>
  <c r="E213" i="10"/>
  <c r="E27" i="1" s="1"/>
  <c r="D213" i="10"/>
  <c r="E26" i="1" s="1"/>
  <c r="C213" i="10"/>
  <c r="E25" i="1" s="1"/>
  <c r="R177" i="10"/>
  <c r="D36" i="1" s="1"/>
  <c r="P177" i="10"/>
  <c r="D22" i="1" s="1"/>
  <c r="O177" i="10"/>
  <c r="N177" i="10"/>
  <c r="D35" i="1" s="1"/>
  <c r="M177" i="10"/>
  <c r="D21" i="1" s="1"/>
  <c r="L177" i="10"/>
  <c r="D34" i="1" s="1"/>
  <c r="K177" i="10"/>
  <c r="D33" i="1" s="1"/>
  <c r="J177" i="10"/>
  <c r="D32" i="1" s="1"/>
  <c r="I177" i="10"/>
  <c r="D31" i="1" s="1"/>
  <c r="H177" i="10"/>
  <c r="D30" i="1" s="1"/>
  <c r="G177" i="10"/>
  <c r="D29" i="1" s="1"/>
  <c r="F177" i="10"/>
  <c r="D28" i="1" s="1"/>
  <c r="E177" i="10"/>
  <c r="D27" i="1" s="1"/>
  <c r="D177" i="10"/>
  <c r="D26" i="1" s="1"/>
  <c r="C177" i="10"/>
  <c r="D25" i="1" s="1"/>
  <c r="R127" i="10"/>
  <c r="C36" i="1" s="1"/>
  <c r="C22" i="1"/>
  <c r="N127" i="10"/>
  <c r="C35" i="1" s="1"/>
  <c r="M127" i="10"/>
  <c r="C21" i="1" s="1"/>
  <c r="L127" i="10"/>
  <c r="C34" i="1" s="1"/>
  <c r="K127" i="10"/>
  <c r="C33" i="1" s="1"/>
  <c r="J127" i="10"/>
  <c r="C32" i="1" s="1"/>
  <c r="I127" i="10"/>
  <c r="C31" i="1" s="1"/>
  <c r="H127" i="10"/>
  <c r="C30" i="1" s="1"/>
  <c r="G127" i="10"/>
  <c r="C29" i="1" s="1"/>
  <c r="F127" i="10"/>
  <c r="C28" i="1" s="1"/>
  <c r="E127" i="10"/>
  <c r="C27" i="1" s="1"/>
  <c r="D127" i="10"/>
  <c r="C26" i="1" s="1"/>
  <c r="C127" i="10"/>
  <c r="C25" i="1" s="1"/>
  <c r="R64" i="10"/>
  <c r="P64" i="10"/>
  <c r="O64" i="10"/>
  <c r="N64" i="10"/>
  <c r="M64" i="10"/>
  <c r="B21" i="1" s="1"/>
  <c r="L64" i="10"/>
  <c r="K64" i="10"/>
  <c r="J64" i="10"/>
  <c r="I64" i="10"/>
  <c r="H64" i="10"/>
  <c r="G64" i="10"/>
  <c r="F64" i="10"/>
  <c r="E64" i="10"/>
  <c r="D64" i="10"/>
  <c r="C64" i="10"/>
  <c r="K2260" i="7"/>
  <c r="K2108" i="7"/>
  <c r="K1956" i="7"/>
  <c r="K1586" i="7"/>
  <c r="K1348" i="7"/>
  <c r="I558" i="7"/>
  <c r="J558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K360" i="7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362" i="7"/>
  <c r="J362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4" i="1" l="1"/>
  <c r="O13" i="3"/>
  <c r="F7" i="1" s="1"/>
  <c r="E533" i="10"/>
  <c r="I533" i="10"/>
  <c r="R533" i="10"/>
  <c r="J1348" i="7"/>
  <c r="P15" i="3" s="1"/>
  <c r="J363" i="7"/>
  <c r="P13" i="3"/>
  <c r="I2108" i="7"/>
  <c r="O19" i="3" s="1"/>
  <c r="L7" i="1" s="1"/>
  <c r="J533" i="10"/>
  <c r="F533" i="10"/>
  <c r="C533" i="10"/>
  <c r="G533" i="10"/>
  <c r="K533" i="10"/>
  <c r="O533" i="10"/>
  <c r="N533" i="10"/>
  <c r="D533" i="10"/>
  <c r="H533" i="10"/>
  <c r="L533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533" i="10"/>
  <c r="B22" i="1"/>
  <c r="C24" i="1"/>
  <c r="M533" i="10"/>
  <c r="J1586" i="7"/>
  <c r="P16" i="3" s="1"/>
  <c r="I1348" i="7"/>
  <c r="O15" i="3" s="1"/>
  <c r="H7" i="1" s="1"/>
  <c r="J1956" i="7"/>
  <c r="P18" i="3" s="1"/>
  <c r="J2108" i="7"/>
  <c r="P19" i="3" s="1"/>
  <c r="I1956" i="7"/>
  <c r="O18" i="3" s="1"/>
  <c r="K7" i="1" s="1"/>
  <c r="K6" i="1" s="1"/>
  <c r="I1586" i="7"/>
  <c r="O16" i="3" s="1"/>
  <c r="I7" i="1" s="1"/>
  <c r="I6" i="1" s="1"/>
  <c r="J2260" i="7"/>
  <c r="P20" i="3" s="1"/>
  <c r="I2260" i="7"/>
  <c r="O20" i="3" s="1"/>
  <c r="M7" i="1" s="1"/>
  <c r="J360" i="7"/>
  <c r="P10" i="3" s="1"/>
  <c r="I360" i="7"/>
  <c r="O10" i="3" s="1"/>
  <c r="C7" i="1" s="1"/>
  <c r="H813" i="6"/>
  <c r="L810" i="6"/>
  <c r="L809" i="6"/>
  <c r="L806" i="6"/>
  <c r="L805" i="6"/>
  <c r="L802" i="6"/>
  <c r="L798" i="6"/>
  <c r="L794" i="6"/>
  <c r="L793" i="6"/>
  <c r="L777" i="6"/>
  <c r="L776" i="6"/>
  <c r="L773" i="6"/>
  <c r="L772" i="6"/>
  <c r="L769" i="6"/>
  <c r="L756" i="6"/>
  <c r="H747" i="6"/>
  <c r="L746" i="6"/>
  <c r="L742" i="6"/>
  <c r="L741" i="6"/>
  <c r="L738" i="6"/>
  <c r="L737" i="6"/>
  <c r="L734" i="6"/>
  <c r="L730" i="6"/>
  <c r="L726" i="6"/>
  <c r="L725" i="6"/>
  <c r="L722" i="6"/>
  <c r="L721" i="6"/>
  <c r="L718" i="6"/>
  <c r="L714" i="6"/>
  <c r="L710" i="6"/>
  <c r="L709" i="6"/>
  <c r="L706" i="6"/>
  <c r="L705" i="6"/>
  <c r="L702" i="6"/>
  <c r="L697" i="6"/>
  <c r="H694" i="6"/>
  <c r="L691" i="6"/>
  <c r="L690" i="6"/>
  <c r="L686" i="6"/>
  <c r="L682" i="6"/>
  <c r="L679" i="6"/>
  <c r="L676" i="6"/>
  <c r="L675" i="6"/>
  <c r="L671" i="6"/>
  <c r="L668" i="6"/>
  <c r="L667" i="6"/>
  <c r="L663" i="6"/>
  <c r="L660" i="6"/>
  <c r="L659" i="6"/>
  <c r="L655" i="6"/>
  <c r="L652" i="6"/>
  <c r="L651" i="6"/>
  <c r="L629" i="6"/>
  <c r="H615" i="6"/>
  <c r="L614" i="6"/>
  <c r="L606" i="6"/>
  <c r="L603" i="6"/>
  <c r="H535" i="6"/>
  <c r="L493" i="6"/>
  <c r="H455" i="6"/>
  <c r="L454" i="6"/>
  <c r="L445" i="6"/>
  <c r="L436" i="6"/>
  <c r="L435" i="6"/>
  <c r="L426" i="6"/>
  <c r="L425" i="6"/>
  <c r="L315" i="6"/>
  <c r="L325" i="6"/>
  <c r="H307" i="6"/>
  <c r="L302" i="6"/>
  <c r="L301" i="6"/>
  <c r="L298" i="6"/>
  <c r="L297" i="6"/>
  <c r="L294" i="6"/>
  <c r="L293" i="6"/>
  <c r="H248" i="6"/>
  <c r="L219" i="6"/>
  <c r="L216" i="6"/>
  <c r="L214" i="6"/>
  <c r="L213" i="6"/>
  <c r="L207" i="6"/>
  <c r="L208" i="6"/>
  <c r="L240" i="6"/>
  <c r="L239" i="6"/>
  <c r="L236" i="6"/>
  <c r="L235" i="6"/>
  <c r="L245" i="6"/>
  <c r="L202" i="6"/>
  <c r="L232" i="6"/>
  <c r="L231" i="6"/>
  <c r="L228" i="6"/>
  <c r="L227" i="6"/>
  <c r="L201" i="6"/>
  <c r="L244" i="6"/>
  <c r="L224" i="6"/>
  <c r="L221" i="6"/>
  <c r="H197" i="6"/>
  <c r="J196" i="6"/>
  <c r="K196" i="6" s="1"/>
  <c r="K153" i="6"/>
  <c r="K152" i="6"/>
  <c r="L152" i="6" s="1"/>
  <c r="K151" i="6"/>
  <c r="K149" i="6"/>
  <c r="K148" i="6"/>
  <c r="L148" i="6" s="1"/>
  <c r="K147" i="6"/>
  <c r="K145" i="6"/>
  <c r="K144" i="6"/>
  <c r="L144" i="6" s="1"/>
  <c r="K143" i="6"/>
  <c r="L143" i="6" s="1"/>
  <c r="K141" i="6"/>
  <c r="K140" i="6"/>
  <c r="L140" i="6" s="1"/>
  <c r="K139" i="6"/>
  <c r="L139" i="6" s="1"/>
  <c r="K181" i="6"/>
  <c r="K180" i="6"/>
  <c r="L180" i="6" s="1"/>
  <c r="K179" i="6"/>
  <c r="L179" i="6" s="1"/>
  <c r="K177" i="6"/>
  <c r="K176" i="6"/>
  <c r="L176" i="6" s="1"/>
  <c r="K175" i="6"/>
  <c r="K173" i="6"/>
  <c r="K172" i="6"/>
  <c r="L172" i="6" s="1"/>
  <c r="K171" i="6"/>
  <c r="L171" i="6" s="1"/>
  <c r="K169" i="6"/>
  <c r="K168" i="6"/>
  <c r="L168" i="6" s="1"/>
  <c r="K167" i="6"/>
  <c r="L167" i="6" s="1"/>
  <c r="K195" i="6"/>
  <c r="J193" i="6"/>
  <c r="K193" i="6" s="1"/>
  <c r="L193" i="6" s="1"/>
  <c r="K194" i="6"/>
  <c r="K192" i="6"/>
  <c r="L192" i="6" s="1"/>
  <c r="K164" i="6"/>
  <c r="K138" i="6"/>
  <c r="J134" i="6"/>
  <c r="K134" i="6" s="1"/>
  <c r="L134" i="6" s="1"/>
  <c r="K132" i="6"/>
  <c r="L132" i="6" s="1"/>
  <c r="J105" i="6"/>
  <c r="J104" i="6"/>
  <c r="K104" i="6" s="1"/>
  <c r="L104" i="6" s="1"/>
  <c r="J103" i="6"/>
  <c r="K103" i="6" s="1"/>
  <c r="L103" i="6" s="1"/>
  <c r="J102" i="6"/>
  <c r="J100" i="6"/>
  <c r="J99" i="6"/>
  <c r="K99" i="6" s="1"/>
  <c r="L99" i="6" s="1"/>
  <c r="K107" i="6"/>
  <c r="L107" i="6" s="1"/>
  <c r="J98" i="6"/>
  <c r="J97" i="6"/>
  <c r="J96" i="6"/>
  <c r="K106" i="6"/>
  <c r="L106" i="6" s="1"/>
  <c r="K126" i="6"/>
  <c r="L126" i="6" s="1"/>
  <c r="K125" i="6"/>
  <c r="L125" i="6" s="1"/>
  <c r="K123" i="6"/>
  <c r="L123" i="6" s="1"/>
  <c r="K122" i="6"/>
  <c r="J129" i="6"/>
  <c r="K129" i="6" s="1"/>
  <c r="L129" i="6" s="1"/>
  <c r="K119" i="6"/>
  <c r="L119" i="6" s="1"/>
  <c r="J63" i="6"/>
  <c r="J101" i="6"/>
  <c r="K101" i="6" s="1"/>
  <c r="L101" i="6" s="1"/>
  <c r="K88" i="6"/>
  <c r="L88" i="6" s="1"/>
  <c r="J61" i="6"/>
  <c r="H329" i="2"/>
  <c r="G329" i="2"/>
  <c r="H302" i="2"/>
  <c r="G302" i="2"/>
  <c r="H275" i="2"/>
  <c r="G275" i="2"/>
  <c r="H248" i="2"/>
  <c r="G248" i="2"/>
  <c r="H221" i="2"/>
  <c r="G221" i="2"/>
  <c r="H189" i="2"/>
  <c r="G189" i="2"/>
  <c r="H165" i="2"/>
  <c r="G165" i="2"/>
  <c r="H134" i="2"/>
  <c r="G134" i="2"/>
  <c r="H114" i="2"/>
  <c r="G114" i="2"/>
  <c r="H87" i="2"/>
  <c r="G87" i="2"/>
  <c r="G53" i="2"/>
  <c r="H53" i="2"/>
  <c r="G28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L122" i="6" l="1"/>
  <c r="H332" i="2"/>
  <c r="L613" i="6"/>
  <c r="L664" i="6"/>
  <c r="L801" i="6"/>
  <c r="J197" i="6"/>
  <c r="Q11" i="3" s="1"/>
  <c r="L533" i="6"/>
  <c r="L656" i="6"/>
  <c r="P534" i="10"/>
  <c r="L768" i="6"/>
  <c r="L760" i="6"/>
  <c r="L764" i="6"/>
  <c r="L761" i="6"/>
  <c r="L765" i="6"/>
  <c r="L491" i="6"/>
  <c r="L683" i="6"/>
  <c r="L696" i="6"/>
  <c r="L713" i="6"/>
  <c r="L729" i="6"/>
  <c r="L745" i="6"/>
  <c r="L751" i="6"/>
  <c r="L757" i="6"/>
  <c r="L194" i="6"/>
  <c r="L195" i="6"/>
  <c r="L173" i="6"/>
  <c r="L181" i="6"/>
  <c r="L145" i="6"/>
  <c r="L153" i="6"/>
  <c r="L283" i="6"/>
  <c r="L295" i="6"/>
  <c r="L449" i="6"/>
  <c r="L740" i="6"/>
  <c r="L138" i="6"/>
  <c r="L175" i="6"/>
  <c r="L147" i="6"/>
  <c r="L196" i="6"/>
  <c r="L151" i="6"/>
  <c r="L303" i="6"/>
  <c r="J455" i="6"/>
  <c r="Q15" i="3" s="1"/>
  <c r="H12" i="1" s="1"/>
  <c r="L448" i="6"/>
  <c r="L630" i="6"/>
  <c r="L680" i="6"/>
  <c r="L687" i="6"/>
  <c r="L701" i="6"/>
  <c r="L708" i="6"/>
  <c r="L717" i="6"/>
  <c r="L724" i="6"/>
  <c r="L733" i="6"/>
  <c r="L753" i="6"/>
  <c r="L755" i="6"/>
  <c r="L759" i="6"/>
  <c r="L763" i="6"/>
  <c r="L767" i="6"/>
  <c r="L771" i="6"/>
  <c r="L797" i="6"/>
  <c r="L800" i="6"/>
  <c r="L812" i="6"/>
  <c r="L164" i="6"/>
  <c r="L169" i="6"/>
  <c r="L177" i="6"/>
  <c r="L141" i="6"/>
  <c r="L149" i="6"/>
  <c r="L299" i="6"/>
  <c r="L438" i="6"/>
  <c r="L447" i="6"/>
  <c r="L672" i="6"/>
  <c r="L693" i="6"/>
  <c r="L704" i="6"/>
  <c r="L720" i="6"/>
  <c r="L736" i="6"/>
  <c r="L796" i="6"/>
  <c r="J615" i="6"/>
  <c r="Q17" i="3" s="1"/>
  <c r="J12" i="1" s="1"/>
  <c r="J14" i="1" s="1"/>
  <c r="J16" i="1" s="1"/>
  <c r="L572" i="6"/>
  <c r="L654" i="6"/>
  <c r="L678" i="6"/>
  <c r="L692" i="6"/>
  <c r="L735" i="6"/>
  <c r="L762" i="6"/>
  <c r="L766" i="6"/>
  <c r="L658" i="6"/>
  <c r="L666" i="6"/>
  <c r="L674" i="6"/>
  <c r="L662" i="6"/>
  <c r="L670" i="6"/>
  <c r="L703" i="6"/>
  <c r="L719" i="6"/>
  <c r="L758" i="6"/>
  <c r="L611" i="6"/>
  <c r="L795" i="6"/>
  <c r="L612" i="6"/>
  <c r="L604" i="6"/>
  <c r="L811" i="6"/>
  <c r="J747" i="6"/>
  <c r="Q19" i="3" s="1"/>
  <c r="L12" i="1" s="1"/>
  <c r="L715" i="6"/>
  <c r="L807" i="6"/>
  <c r="J694" i="6"/>
  <c r="Q18" i="3" s="1"/>
  <c r="K12" i="1" s="1"/>
  <c r="K14" i="1" s="1"/>
  <c r="K16" i="1" s="1"/>
  <c r="K17" i="1" s="1"/>
  <c r="L619" i="6"/>
  <c r="L653" i="6"/>
  <c r="L657" i="6"/>
  <c r="L661" i="6"/>
  <c r="L665" i="6"/>
  <c r="L669" i="6"/>
  <c r="L673" i="6"/>
  <c r="L677" i="6"/>
  <c r="L681" i="6"/>
  <c r="L685" i="6"/>
  <c r="L689" i="6"/>
  <c r="L700" i="6"/>
  <c r="L711" i="6"/>
  <c r="L716" i="6"/>
  <c r="L727" i="6"/>
  <c r="L732" i="6"/>
  <c r="L743" i="6"/>
  <c r="J813" i="6"/>
  <c r="Q20" i="3" s="1"/>
  <c r="M12" i="1" s="1"/>
  <c r="L749" i="6"/>
  <c r="L774" i="6"/>
  <c r="L787" i="6"/>
  <c r="L803" i="6"/>
  <c r="L808" i="6"/>
  <c r="L684" i="6"/>
  <c r="L688" i="6"/>
  <c r="L698" i="6"/>
  <c r="L731" i="6"/>
  <c r="L778" i="6"/>
  <c r="L707" i="6"/>
  <c r="L712" i="6"/>
  <c r="L728" i="6"/>
  <c r="L739" i="6"/>
  <c r="L744" i="6"/>
  <c r="L750" i="6"/>
  <c r="L754" i="6"/>
  <c r="L770" i="6"/>
  <c r="L775" i="6"/>
  <c r="L799" i="6"/>
  <c r="L804" i="6"/>
  <c r="L292" i="6"/>
  <c r="L296" i="6"/>
  <c r="L300" i="6"/>
  <c r="J307" i="6"/>
  <c r="Q13" i="3" s="1"/>
  <c r="L451" i="6"/>
  <c r="L427" i="6"/>
  <c r="L437" i="6"/>
  <c r="L446" i="6"/>
  <c r="L450" i="6"/>
  <c r="L365" i="6"/>
  <c r="L309" i="6"/>
  <c r="Q14" i="3"/>
  <c r="G12" i="1" s="1"/>
  <c r="G14" i="1" s="1"/>
  <c r="G16" i="1" s="1"/>
  <c r="J535" i="6"/>
  <c r="Q16" i="3" s="1"/>
  <c r="I12" i="1" s="1"/>
  <c r="I14" i="1" s="1"/>
  <c r="I16" i="1" s="1"/>
  <c r="I17" i="1" s="1"/>
  <c r="L349" i="6"/>
  <c r="L314" i="6"/>
  <c r="L370" i="6"/>
  <c r="L428" i="6"/>
  <c r="L534" i="6"/>
  <c r="K137" i="6"/>
  <c r="K165" i="6"/>
  <c r="L165" i="6" s="1"/>
  <c r="K166" i="6"/>
  <c r="L166" i="6" s="1"/>
  <c r="K170" i="6"/>
  <c r="L170" i="6" s="1"/>
  <c r="K174" i="6"/>
  <c r="L174" i="6" s="1"/>
  <c r="K178" i="6"/>
  <c r="L178" i="6" s="1"/>
  <c r="K182" i="6"/>
  <c r="L182" i="6" s="1"/>
  <c r="K142" i="6"/>
  <c r="L142" i="6" s="1"/>
  <c r="K146" i="6"/>
  <c r="L146" i="6" s="1"/>
  <c r="K150" i="6"/>
  <c r="L150" i="6" s="1"/>
  <c r="L241" i="6"/>
  <c r="L226" i="6"/>
  <c r="L230" i="6"/>
  <c r="L234" i="6"/>
  <c r="L204" i="6"/>
  <c r="L238" i="6"/>
  <c r="L209" i="6"/>
  <c r="L212" i="6"/>
  <c r="L242" i="6"/>
  <c r="J248" i="6"/>
  <c r="Q12" i="3" s="1"/>
  <c r="L200" i="6"/>
  <c r="L225" i="6"/>
  <c r="L229" i="6"/>
  <c r="L233" i="6"/>
  <c r="L203" i="6"/>
  <c r="L246" i="6"/>
  <c r="L237" i="6"/>
  <c r="L210" i="6"/>
  <c r="L211" i="6"/>
  <c r="L215" i="6"/>
  <c r="L220" i="6"/>
  <c r="L247" i="6"/>
  <c r="K121" i="6"/>
  <c r="L121" i="6" s="1"/>
  <c r="K124" i="6"/>
  <c r="L124" i="6" s="1"/>
  <c r="K128" i="6"/>
  <c r="L128" i="6" s="1"/>
  <c r="K108" i="6"/>
  <c r="L108" i="6" s="1"/>
  <c r="K98" i="6"/>
  <c r="L98" i="6" s="1"/>
  <c r="K102" i="6"/>
  <c r="L102" i="6" s="1"/>
  <c r="K109" i="6"/>
  <c r="L109" i="6" s="1"/>
  <c r="K120" i="6"/>
  <c r="L120" i="6" s="1"/>
  <c r="K86" i="6"/>
  <c r="L86" i="6" s="1"/>
  <c r="K127" i="6"/>
  <c r="L127" i="6" s="1"/>
  <c r="K96" i="6"/>
  <c r="L96" i="6" s="1"/>
  <c r="K97" i="6"/>
  <c r="L97" i="6" s="1"/>
  <c r="K100" i="6"/>
  <c r="L100" i="6" s="1"/>
  <c r="K105" i="6"/>
  <c r="L105" i="6" s="1"/>
  <c r="K130" i="6"/>
  <c r="L130" i="6" s="1"/>
  <c r="K62" i="6"/>
  <c r="L62" i="6" s="1"/>
  <c r="K61" i="6"/>
  <c r="L61" i="6" s="1"/>
  <c r="K63" i="6"/>
  <c r="L63" i="6" s="1"/>
  <c r="K58" i="6"/>
  <c r="L58" i="6" s="1"/>
  <c r="I27" i="2"/>
  <c r="I28" i="2" s="1"/>
  <c r="L371" i="6" l="1"/>
  <c r="M455" i="6"/>
  <c r="M813" i="6"/>
  <c r="M248" i="6"/>
  <c r="M615" i="6"/>
  <c r="I29" i="2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R14" i="3"/>
  <c r="L615" i="6"/>
  <c r="K747" i="6"/>
  <c r="R19" i="3" s="1"/>
  <c r="K197" i="6"/>
  <c r="R11" i="3" s="1"/>
  <c r="K535" i="6"/>
  <c r="R16" i="3" s="1"/>
  <c r="L455" i="6"/>
  <c r="L813" i="6"/>
  <c r="L723" i="6"/>
  <c r="K694" i="6"/>
  <c r="R18" i="3" s="1"/>
  <c r="K615" i="6"/>
  <c r="R17" i="3" s="1"/>
  <c r="K813" i="6"/>
  <c r="R20" i="3" s="1"/>
  <c r="K455" i="6"/>
  <c r="R15" i="3" s="1"/>
  <c r="K307" i="6"/>
  <c r="R13" i="3" s="1"/>
  <c r="K248" i="6"/>
  <c r="R12" i="3" s="1"/>
  <c r="L137" i="6"/>
  <c r="L197" i="6" s="1"/>
  <c r="L248" i="6"/>
  <c r="L694" i="6" l="1"/>
  <c r="M694" i="6"/>
  <c r="L535" i="6"/>
  <c r="M535" i="6"/>
  <c r="L307" i="6"/>
  <c r="M307" i="6"/>
  <c r="L747" i="6"/>
  <c r="M747" i="6"/>
  <c r="I54" i="2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K34" i="15"/>
  <c r="F24" i="15"/>
  <c r="M16" i="15"/>
  <c r="F55" i="14"/>
  <c r="F54" i="14"/>
  <c r="F48" i="14"/>
  <c r="A2" i="14"/>
  <c r="A1" i="14"/>
  <c r="F12" i="1"/>
  <c r="E12" i="1"/>
  <c r="D12" i="1"/>
  <c r="F12" i="15"/>
  <c r="F16" i="15" s="1"/>
  <c r="N11" i="1"/>
  <c r="F10" i="14" s="1"/>
  <c r="I74" i="2" l="1"/>
  <c r="I75" i="2" s="1"/>
  <c r="I77" i="2" s="1"/>
  <c r="I78" i="2" s="1"/>
  <c r="I79" i="2" s="1"/>
  <c r="I80" i="2" s="1"/>
  <c r="I81" i="2" s="1"/>
  <c r="I82" i="2" s="1"/>
  <c r="F27" i="15"/>
  <c r="F29" i="15" s="1"/>
  <c r="I83" i="2" l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l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l="1"/>
  <c r="I157" i="2" s="1"/>
  <c r="I159" i="2" l="1"/>
  <c r="I158" i="2"/>
  <c r="F11" i="1"/>
  <c r="I160" i="2" l="1"/>
  <c r="D11" i="1"/>
  <c r="C11" i="1"/>
  <c r="I161" i="2" l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E11" i="1"/>
  <c r="I190" i="2" l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125" i="7"/>
  <c r="J125" i="7" s="1"/>
  <c r="I124" i="7"/>
  <c r="J124" i="7" s="1"/>
  <c r="I123" i="7"/>
  <c r="J123" i="7" s="1"/>
  <c r="I122" i="7"/>
  <c r="J122" i="7" s="1"/>
  <c r="I121" i="7"/>
  <c r="J121" i="7" s="1"/>
  <c r="I120" i="7"/>
  <c r="J120" i="7" s="1"/>
  <c r="I119" i="7"/>
  <c r="J119" i="7" s="1"/>
  <c r="I118" i="7"/>
  <c r="J118" i="7" s="1"/>
  <c r="I117" i="7"/>
  <c r="J117" i="7" s="1"/>
  <c r="I116" i="7"/>
  <c r="J116" i="7" s="1"/>
  <c r="I115" i="7"/>
  <c r="J115" i="7" s="1"/>
  <c r="I114" i="7"/>
  <c r="J114" i="7" s="1"/>
  <c r="I113" i="7"/>
  <c r="J113" i="7" s="1"/>
  <c r="I112" i="7"/>
  <c r="J112" i="7" s="1"/>
  <c r="I111" i="7"/>
  <c r="J111" i="7" s="1"/>
  <c r="I110" i="7"/>
  <c r="J110" i="7" s="1"/>
  <c r="I109" i="7"/>
  <c r="J109" i="7" s="1"/>
  <c r="I127" i="7"/>
  <c r="J127" i="7" s="1"/>
  <c r="I126" i="7"/>
  <c r="J126" i="7" s="1"/>
  <c r="I138" i="7"/>
  <c r="J138" i="7" s="1"/>
  <c r="I137" i="7"/>
  <c r="J137" i="7" s="1"/>
  <c r="I136" i="7"/>
  <c r="J136" i="7" s="1"/>
  <c r="I135" i="7"/>
  <c r="J135" i="7" s="1"/>
  <c r="I134" i="7"/>
  <c r="J134" i="7" s="1"/>
  <c r="I133" i="7"/>
  <c r="J133" i="7" s="1"/>
  <c r="I132" i="7"/>
  <c r="J132" i="7" s="1"/>
  <c r="I131" i="7"/>
  <c r="J131" i="7" s="1"/>
  <c r="I130" i="7"/>
  <c r="J130" i="7" s="1"/>
  <c r="I129" i="7"/>
  <c r="J129" i="7" s="1"/>
  <c r="I128" i="7"/>
  <c r="J128" i="7" s="1"/>
  <c r="I213" i="2" l="1"/>
  <c r="I108" i="7"/>
  <c r="J108" i="7" s="1"/>
  <c r="I107" i="7"/>
  <c r="J107" i="7" s="1"/>
  <c r="I106" i="7"/>
  <c r="J106" i="7" s="1"/>
  <c r="I221" i="2" l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214" i="2"/>
  <c r="I216" i="2"/>
  <c r="I217" i="2" s="1"/>
  <c r="I218" i="2" s="1"/>
  <c r="I215" i="2"/>
  <c r="I194" i="7"/>
  <c r="J194" i="7" s="1"/>
  <c r="I193" i="7"/>
  <c r="J193" i="7" s="1"/>
  <c r="I192" i="7"/>
  <c r="J192" i="7" s="1"/>
  <c r="I141" i="7"/>
  <c r="J141" i="7" s="1"/>
  <c r="I140" i="7"/>
  <c r="J140" i="7" s="1"/>
  <c r="I139" i="7"/>
  <c r="J139" i="7" s="1"/>
  <c r="J31" i="6" l="1"/>
  <c r="K31" i="6" l="1"/>
  <c r="L31" i="6" s="1"/>
  <c r="K118" i="6" l="1"/>
  <c r="L118" i="6" s="1"/>
  <c r="J76" i="6" l="1"/>
  <c r="J75" i="6"/>
  <c r="K75" i="6" s="1"/>
  <c r="J74" i="6"/>
  <c r="K74" i="6" s="1"/>
  <c r="J69" i="6"/>
  <c r="J25" i="6"/>
  <c r="K25" i="6" s="1"/>
  <c r="L25" i="6" s="1"/>
  <c r="J32" i="6"/>
  <c r="K32" i="6" s="1"/>
  <c r="L32" i="6" s="1"/>
  <c r="K91" i="6"/>
  <c r="K7" i="6"/>
  <c r="K95" i="6"/>
  <c r="J77" i="6"/>
  <c r="J35" i="6"/>
  <c r="J34" i="6"/>
  <c r="K34" i="6" s="1"/>
  <c r="K80" i="6"/>
  <c r="J55" i="6"/>
  <c r="K55" i="6" s="1"/>
  <c r="L55" i="6" s="1"/>
  <c r="J33" i="6"/>
  <c r="K33" i="6" s="1"/>
  <c r="L33" i="6" s="1"/>
  <c r="K115" i="6" l="1"/>
  <c r="L115" i="6" s="1"/>
  <c r="L91" i="6"/>
  <c r="L75" i="6"/>
  <c r="L7" i="6"/>
  <c r="K114" i="6"/>
  <c r="L114" i="6" s="1"/>
  <c r="L80" i="6"/>
  <c r="L74" i="6"/>
  <c r="K6" i="6"/>
  <c r="K90" i="6"/>
  <c r="L90" i="6" s="1"/>
  <c r="K69" i="6"/>
  <c r="L69" i="6" s="1"/>
  <c r="K76" i="6"/>
  <c r="L76" i="6" s="1"/>
  <c r="L34" i="6"/>
  <c r="K92" i="6"/>
  <c r="L92" i="6" s="1"/>
  <c r="L95" i="6"/>
  <c r="K77" i="6"/>
  <c r="L77" i="6" s="1"/>
  <c r="K35" i="6"/>
  <c r="L35" i="6" s="1"/>
  <c r="K79" i="6"/>
  <c r="K81" i="6"/>
  <c r="L81" i="6" s="1"/>
  <c r="K59" i="6"/>
  <c r="L59" i="6" s="1"/>
  <c r="L79" i="6" l="1"/>
  <c r="L6" i="6"/>
  <c r="J56" i="6"/>
  <c r="K56" i="6" s="1"/>
  <c r="J8" i="6"/>
  <c r="K93" i="6"/>
  <c r="L93" i="6" s="1"/>
  <c r="K8" i="6" l="1"/>
  <c r="L56" i="6"/>
  <c r="L8" i="6" l="1"/>
  <c r="M11" i="1"/>
  <c r="L11" i="1" l="1"/>
  <c r="L39" i="1"/>
  <c r="L44" i="1" s="1"/>
  <c r="L45" i="1"/>
  <c r="L50" i="1" s="1"/>
  <c r="K45" i="1" l="1"/>
  <c r="J9" i="3" l="1"/>
  <c r="J10" i="3"/>
  <c r="L9" i="3"/>
  <c r="L10" i="3"/>
  <c r="N9" i="3"/>
  <c r="L12" i="3"/>
  <c r="N10" i="3"/>
  <c r="N11" i="3"/>
  <c r="N12" i="3"/>
  <c r="H6" i="1" l="1"/>
  <c r="F6" i="1" l="1"/>
  <c r="U20" i="11" l="1"/>
  <c r="V20" i="11" s="1"/>
  <c r="U19" i="11"/>
  <c r="V19" i="11" s="1"/>
  <c r="V38" i="11"/>
  <c r="X36" i="11"/>
  <c r="W36" i="11"/>
  <c r="AA34" i="11"/>
  <c r="AA36" i="11" s="1"/>
  <c r="T34" i="11"/>
  <c r="V33" i="11"/>
  <c r="W32" i="11"/>
  <c r="U32" i="11"/>
  <c r="V32" i="11" s="1"/>
  <c r="W31" i="11"/>
  <c r="U31" i="11"/>
  <c r="V31" i="11" s="1"/>
  <c r="W30" i="11"/>
  <c r="U30" i="11"/>
  <c r="V30" i="11" s="1"/>
  <c r="W29" i="11"/>
  <c r="U29" i="11"/>
  <c r="V29" i="11" s="1"/>
  <c r="W28" i="11"/>
  <c r="U28" i="11"/>
  <c r="V28" i="11" s="1"/>
  <c r="W27" i="11"/>
  <c r="U27" i="11"/>
  <c r="V27" i="11" s="1"/>
  <c r="W26" i="11"/>
  <c r="U26" i="11"/>
  <c r="V26" i="11" s="1"/>
  <c r="W25" i="11"/>
  <c r="U25" i="11"/>
  <c r="V25" i="11" s="1"/>
  <c r="W24" i="11"/>
  <c r="U24" i="11"/>
  <c r="W23" i="11"/>
  <c r="U23" i="11"/>
  <c r="W16" i="11"/>
  <c r="S34" i="11"/>
  <c r="S36" i="11" s="1"/>
  <c r="M20" i="1" s="1"/>
  <c r="R34" i="11"/>
  <c r="R36" i="11" s="1"/>
  <c r="L20" i="1" s="1"/>
  <c r="Q34" i="11"/>
  <c r="Q36" i="11" s="1"/>
  <c r="K20" i="1" s="1"/>
  <c r="P34" i="11"/>
  <c r="P36" i="11" s="1"/>
  <c r="J20" i="1" s="1"/>
  <c r="O34" i="11"/>
  <c r="O36" i="11" s="1"/>
  <c r="N34" i="11"/>
  <c r="N36" i="11" s="1"/>
  <c r="M34" i="11"/>
  <c r="M36" i="11" s="1"/>
  <c r="G20" i="1" s="1"/>
  <c r="L34" i="11"/>
  <c r="L36" i="11" s="1"/>
  <c r="F20" i="1" s="1"/>
  <c r="K34" i="11"/>
  <c r="K36" i="11" s="1"/>
  <c r="E20" i="1" s="1"/>
  <c r="E19" i="1" s="1"/>
  <c r="J34" i="11"/>
  <c r="J36" i="11" s="1"/>
  <c r="D20" i="1" s="1"/>
  <c r="I34" i="11"/>
  <c r="I36" i="11" s="1"/>
  <c r="C20" i="1" s="1"/>
  <c r="W22" i="11"/>
  <c r="U22" i="11"/>
  <c r="V22" i="11" s="1"/>
  <c r="W21" i="11"/>
  <c r="W20" i="11"/>
  <c r="W19" i="11"/>
  <c r="W18" i="11"/>
  <c r="U18" i="11"/>
  <c r="V18" i="11" s="1"/>
  <c r="W17" i="11"/>
  <c r="U17" i="11"/>
  <c r="V17" i="11" s="1"/>
  <c r="W15" i="11"/>
  <c r="U15" i="11"/>
  <c r="V15" i="11" s="1"/>
  <c r="W14" i="11"/>
  <c r="U14" i="11"/>
  <c r="V14" i="11" s="1"/>
  <c r="W13" i="11"/>
  <c r="U13" i="11"/>
  <c r="V13" i="11" s="1"/>
  <c r="W11" i="11"/>
  <c r="U11" i="11"/>
  <c r="V11" i="11" s="1"/>
  <c r="W12" i="11"/>
  <c r="U12" i="11"/>
  <c r="V12" i="11" s="1"/>
  <c r="W10" i="11"/>
  <c r="U10" i="11"/>
  <c r="V10" i="11" s="1"/>
  <c r="W9" i="11"/>
  <c r="U9" i="11"/>
  <c r="V9" i="11" s="1"/>
  <c r="W8" i="11"/>
  <c r="U8" i="11"/>
  <c r="I20" i="1" l="1"/>
  <c r="I19" i="1" s="1"/>
  <c r="I38" i="1" s="1"/>
  <c r="I51" i="1" s="1"/>
  <c r="H20" i="1"/>
  <c r="H19" i="1" s="1"/>
  <c r="T36" i="11"/>
  <c r="H34" i="11"/>
  <c r="H36" i="11" s="1"/>
  <c r="B20" i="1" s="1"/>
  <c r="U21" i="11"/>
  <c r="V21" i="11" s="1"/>
  <c r="X10" i="11"/>
  <c r="Y10" i="11" s="1"/>
  <c r="Z10" i="11" s="1"/>
  <c r="AB10" i="11" s="1"/>
  <c r="AC10" i="11" s="1"/>
  <c r="X11" i="11"/>
  <c r="Y11" i="11" s="1"/>
  <c r="Z11" i="11" s="1"/>
  <c r="AB11" i="11" s="1"/>
  <c r="AC11" i="11" s="1"/>
  <c r="X9" i="11"/>
  <c r="Y9" i="11" s="1"/>
  <c r="Z9" i="11" s="1"/>
  <c r="AB9" i="11" s="1"/>
  <c r="AC9" i="11" s="1"/>
  <c r="X20" i="11"/>
  <c r="Y20" i="11" s="1"/>
  <c r="Z20" i="11" s="1"/>
  <c r="AB20" i="11" s="1"/>
  <c r="AC20" i="11" s="1"/>
  <c r="X18" i="11"/>
  <c r="Y18" i="11" s="1"/>
  <c r="Z18" i="11" s="1"/>
  <c r="AB18" i="11" s="1"/>
  <c r="AC18" i="11" s="1"/>
  <c r="X14" i="11"/>
  <c r="Y14" i="11" s="1"/>
  <c r="Z14" i="11" s="1"/>
  <c r="AB14" i="11" s="1"/>
  <c r="AC14" i="11" s="1"/>
  <c r="X17" i="11"/>
  <c r="Y17" i="11" s="1"/>
  <c r="Z17" i="11" s="1"/>
  <c r="AB17" i="11" s="1"/>
  <c r="AC17" i="11" s="1"/>
  <c r="X13" i="11"/>
  <c r="Y13" i="11" s="1"/>
  <c r="Z13" i="11" s="1"/>
  <c r="AB13" i="11" s="1"/>
  <c r="AC13" i="11" s="1"/>
  <c r="V24" i="11"/>
  <c r="X24" i="11" s="1"/>
  <c r="Y24" i="11" s="1"/>
  <c r="Z24" i="11" s="1"/>
  <c r="AB24" i="11" s="1"/>
  <c r="AC24" i="11" s="1"/>
  <c r="V23" i="11"/>
  <c r="X23" i="11" s="1"/>
  <c r="Y23" i="11" s="1"/>
  <c r="Z23" i="11" s="1"/>
  <c r="AB23" i="11" s="1"/>
  <c r="AC23" i="11" s="1"/>
  <c r="V8" i="11"/>
  <c r="X8" i="11" s="1"/>
  <c r="Y8" i="11" s="1"/>
  <c r="X25" i="11"/>
  <c r="Y25" i="11" s="1"/>
  <c r="Z25" i="11" s="1"/>
  <c r="AB25" i="11" s="1"/>
  <c r="AC25" i="11" s="1"/>
  <c r="X26" i="11"/>
  <c r="Y26" i="11" s="1"/>
  <c r="Z26" i="11" s="1"/>
  <c r="AB26" i="11" s="1"/>
  <c r="AC26" i="11" s="1"/>
  <c r="X27" i="11"/>
  <c r="Y27" i="11" s="1"/>
  <c r="Z27" i="11" s="1"/>
  <c r="AB27" i="11" s="1"/>
  <c r="AC27" i="11" s="1"/>
  <c r="X28" i="11"/>
  <c r="Y28" i="11" s="1"/>
  <c r="Z28" i="11" s="1"/>
  <c r="AB28" i="11" s="1"/>
  <c r="AC28" i="11" s="1"/>
  <c r="X29" i="11"/>
  <c r="Y29" i="11" s="1"/>
  <c r="Z29" i="11" s="1"/>
  <c r="AB29" i="11" s="1"/>
  <c r="AC29" i="11" s="1"/>
  <c r="X30" i="11"/>
  <c r="Y30" i="11" s="1"/>
  <c r="Z30" i="11" s="1"/>
  <c r="AB30" i="11" s="1"/>
  <c r="AC30" i="11" s="1"/>
  <c r="X31" i="11"/>
  <c r="Y31" i="11" s="1"/>
  <c r="Z31" i="11" s="1"/>
  <c r="AB31" i="11" s="1"/>
  <c r="AC31" i="11" s="1"/>
  <c r="X32" i="11"/>
  <c r="Y32" i="11" s="1"/>
  <c r="Z32" i="11" s="1"/>
  <c r="AB32" i="11" s="1"/>
  <c r="AC32" i="11" s="1"/>
  <c r="X12" i="11"/>
  <c r="Y12" i="11" s="1"/>
  <c r="Z12" i="11" s="1"/>
  <c r="AB12" i="11" s="1"/>
  <c r="AC12" i="11" s="1"/>
  <c r="X15" i="11"/>
  <c r="Y15" i="11" s="1"/>
  <c r="Z15" i="11" s="1"/>
  <c r="AB15" i="11" s="1"/>
  <c r="AC15" i="11" s="1"/>
  <c r="X19" i="11"/>
  <c r="Y19" i="11" s="1"/>
  <c r="Z19" i="11" s="1"/>
  <c r="AB19" i="11" s="1"/>
  <c r="AC19" i="11" s="1"/>
  <c r="X22" i="11"/>
  <c r="Y22" i="11" s="1"/>
  <c r="Z22" i="11" s="1"/>
  <c r="AB22" i="11" s="1"/>
  <c r="AC22" i="11" s="1"/>
  <c r="U16" i="11"/>
  <c r="U34" i="11" l="1"/>
  <c r="U36" i="11" s="1"/>
  <c r="X21" i="11"/>
  <c r="Y21" i="11" s="1"/>
  <c r="Z21" i="11" s="1"/>
  <c r="AB21" i="11" s="1"/>
  <c r="AC21" i="11" s="1"/>
  <c r="Z8" i="11"/>
  <c r="V16" i="11"/>
  <c r="X16" i="11" s="1"/>
  <c r="Y16" i="11" s="1"/>
  <c r="Z16" i="11" s="1"/>
  <c r="AB16" i="11" s="1"/>
  <c r="AC16" i="11" s="1"/>
  <c r="V34" i="11" l="1"/>
  <c r="V36" i="11" s="1"/>
  <c r="Y34" i="11"/>
  <c r="Y36" i="11" s="1"/>
  <c r="Z34" i="11"/>
  <c r="Z36" i="11" s="1"/>
  <c r="AB8" i="11"/>
  <c r="AB34" i="11" l="1"/>
  <c r="AB36" i="11" s="1"/>
  <c r="AC8" i="11"/>
  <c r="AC34" i="11" l="1"/>
  <c r="AC36" i="11" s="1"/>
  <c r="L6" i="1" l="1"/>
  <c r="H28" i="2" l="1"/>
  <c r="H333" i="2" s="1"/>
  <c r="H331" i="2" l="1"/>
  <c r="I56" i="7" l="1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J105" i="7" l="1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28" i="6" l="1"/>
  <c r="K28" i="6" l="1"/>
  <c r="K60" i="6"/>
  <c r="L60" i="6" s="1"/>
  <c r="L28" i="6" l="1"/>
  <c r="J72" i="6" l="1"/>
  <c r="J73" i="6"/>
  <c r="J57" i="6"/>
  <c r="J135" i="6" l="1"/>
  <c r="Q10" i="3" s="1"/>
  <c r="C12" i="1" s="1"/>
  <c r="K133" i="6"/>
  <c r="L133" i="6" s="1"/>
  <c r="K113" i="6"/>
  <c r="L113" i="6" s="1"/>
  <c r="K87" i="6"/>
  <c r="L87" i="6" s="1"/>
  <c r="K72" i="6"/>
  <c r="K73" i="6"/>
  <c r="L73" i="6" s="1"/>
  <c r="K94" i="6"/>
  <c r="L94" i="6" s="1"/>
  <c r="K57" i="6"/>
  <c r="L57" i="6" s="1"/>
  <c r="K135" i="6" l="1"/>
  <c r="R10" i="3" s="1"/>
  <c r="L72" i="6"/>
  <c r="L89" i="6"/>
  <c r="L135" i="6" l="1"/>
  <c r="M24" i="1"/>
  <c r="T20" i="3" l="1"/>
  <c r="H14" i="1" l="1"/>
  <c r="H16" i="1" s="1"/>
  <c r="H17" i="1" s="1"/>
  <c r="G24" i="1" l="1"/>
  <c r="T18" i="3" l="1"/>
  <c r="T13" i="3"/>
  <c r="T19" i="3" l="1"/>
  <c r="L14" i="1" l="1"/>
  <c r="L16" i="1" s="1"/>
  <c r="L17" i="1" s="1"/>
  <c r="D24" i="1" l="1"/>
  <c r="E24" i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19" i="1" l="1"/>
  <c r="C39" i="1"/>
  <c r="C44" i="1" s="1"/>
  <c r="C45" i="1"/>
  <c r="C50" i="1" s="1"/>
  <c r="D14" i="1"/>
  <c r="D16" i="1" s="1"/>
  <c r="F14" i="1"/>
  <c r="F16" i="1" s="1"/>
  <c r="D19" i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D38" i="1"/>
  <c r="K38" i="1"/>
  <c r="C38" i="1"/>
  <c r="F17" i="1"/>
  <c r="M38" i="1"/>
  <c r="C14" i="1" l="1"/>
  <c r="C16" i="1" s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K51" i="1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M21" i="3"/>
  <c r="N13" i="3"/>
  <c r="N14" i="3"/>
  <c r="N15" i="3"/>
  <c r="N16" i="3"/>
  <c r="N17" i="3"/>
  <c r="N18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N21" i="3"/>
  <c r="B21" i="3"/>
  <c r="C6" i="1" l="1"/>
  <c r="C17" i="1" s="1"/>
  <c r="C51" i="1" s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51" i="7" l="1"/>
  <c r="J51" i="7" s="1"/>
  <c r="I16" i="7"/>
  <c r="J16" i="7" s="1"/>
  <c r="I46" i="7"/>
  <c r="J46" i="7" s="1"/>
  <c r="I35" i="7"/>
  <c r="J35" i="7" s="1"/>
  <c r="I31" i="7"/>
  <c r="J31" i="7" s="1"/>
  <c r="I47" i="7"/>
  <c r="J47" i="7" s="1"/>
  <c r="I21" i="7"/>
  <c r="J21" i="7" s="1"/>
  <c r="I28" i="7"/>
  <c r="J28" i="7" s="1"/>
  <c r="I32" i="7"/>
  <c r="J32" i="7" s="1"/>
  <c r="I19" i="7"/>
  <c r="J19" i="7" s="1"/>
  <c r="I18" i="7"/>
  <c r="J18" i="7" s="1"/>
  <c r="I24" i="7"/>
  <c r="J24" i="7" s="1"/>
  <c r="I50" i="7"/>
  <c r="J50" i="7" s="1"/>
  <c r="I54" i="7"/>
  <c r="J54" i="7" s="1"/>
  <c r="I45" i="7"/>
  <c r="J45" i="7" s="1"/>
  <c r="I22" i="7"/>
  <c r="J22" i="7" s="1"/>
  <c r="I36" i="7"/>
  <c r="J36" i="7" s="1"/>
  <c r="I55" i="7"/>
  <c r="J55" i="7" s="1"/>
  <c r="I38" i="7"/>
  <c r="J38" i="7" s="1"/>
  <c r="I41" i="7"/>
  <c r="J41" i="7" s="1"/>
  <c r="I34" i="7"/>
  <c r="J34" i="7" s="1"/>
  <c r="I44" i="7"/>
  <c r="J44" i="7" s="1"/>
  <c r="I23" i="7"/>
  <c r="J23" i="7" s="1"/>
  <c r="I17" i="7" l="1"/>
  <c r="J17" i="7" s="1"/>
  <c r="I13" i="7"/>
  <c r="J13" i="7" s="1"/>
  <c r="I39" i="7"/>
  <c r="J39" i="7" s="1"/>
  <c r="I49" i="7"/>
  <c r="J49" i="7" s="1"/>
  <c r="I48" i="7"/>
  <c r="J48" i="7" s="1"/>
  <c r="I43" i="7"/>
  <c r="J43" i="7" s="1"/>
  <c r="I25" i="7"/>
  <c r="J25" i="7" s="1"/>
  <c r="I15" i="7"/>
  <c r="J15" i="7" s="1"/>
  <c r="I30" i="7"/>
  <c r="J30" i="7" s="1"/>
  <c r="I33" i="7"/>
  <c r="J33" i="7" s="1"/>
  <c r="I26" i="7"/>
  <c r="J26" i="7" s="1"/>
  <c r="I42" i="7"/>
  <c r="J42" i="7" s="1"/>
  <c r="I27" i="7"/>
  <c r="J27" i="7" s="1"/>
  <c r="I52" i="7"/>
  <c r="J52" i="7" s="1"/>
  <c r="I14" i="7"/>
  <c r="J14" i="7" s="1"/>
  <c r="I29" i="7"/>
  <c r="J29" i="7" s="1"/>
  <c r="I53" i="7"/>
  <c r="J53" i="7" s="1"/>
  <c r="I40" i="7"/>
  <c r="J40" i="7" s="1"/>
  <c r="I37" i="7"/>
  <c r="J37" i="7" s="1"/>
  <c r="I20" i="7"/>
  <c r="I12" i="7" l="1"/>
  <c r="J12" i="7" s="1"/>
  <c r="J20" i="7"/>
  <c r="I8" i="7" l="1"/>
  <c r="J8" i="7" s="1"/>
  <c r="I9" i="7"/>
  <c r="J9" i="7" s="1"/>
  <c r="I11" i="7"/>
  <c r="J11" i="7" s="1"/>
  <c r="I7" i="7"/>
  <c r="J7" i="7" s="1"/>
  <c r="I10" i="7"/>
  <c r="J10" i="7" s="1"/>
  <c r="I6" i="7" l="1"/>
  <c r="I200" i="7" s="1"/>
  <c r="O9" i="3" s="1"/>
  <c r="B7" i="1" s="1"/>
  <c r="K200" i="7"/>
  <c r="J6" i="7" l="1"/>
  <c r="J200" i="7" l="1"/>
  <c r="P9" i="3" s="1"/>
  <c r="B6" i="1"/>
  <c r="H335" i="2" l="1"/>
  <c r="T16" i="3" l="1"/>
  <c r="H64" i="6" l="1"/>
  <c r="L64" i="6"/>
  <c r="E815" i="6" s="1"/>
  <c r="K64" i="6"/>
  <c r="R9" i="3" s="1"/>
  <c r="J64" i="6"/>
  <c r="Q9" i="3" s="1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K400" i="7" l="1"/>
  <c r="K559" i="7" s="1"/>
  <c r="I400" i="7" l="1"/>
  <c r="J400" i="7" l="1"/>
  <c r="I559" i="7"/>
  <c r="O11" i="3" s="1"/>
  <c r="J559" i="7" l="1"/>
  <c r="P11" i="3" s="1"/>
  <c r="D7" i="1"/>
  <c r="T11" i="3" l="1"/>
  <c r="D6" i="1"/>
  <c r="D17" i="1" l="1"/>
  <c r="D51" i="1" s="1"/>
  <c r="K581" i="7" l="1"/>
  <c r="I581" i="7" l="1"/>
  <c r="K711" i="7"/>
  <c r="J581" i="7" l="1"/>
  <c r="J711" i="7" s="1"/>
  <c r="P12" i="3" s="1"/>
  <c r="I711" i="7"/>
  <c r="O12" i="3" s="1"/>
  <c r="E7" i="1" l="1"/>
  <c r="T12" i="3"/>
  <c r="E6" i="1" l="1"/>
  <c r="E17" i="1" l="1"/>
  <c r="E51" i="1" s="1"/>
  <c r="I944" i="7" l="1"/>
  <c r="J944" i="7" s="1"/>
  <c r="I943" i="7"/>
  <c r="J943" i="7" l="1"/>
  <c r="I945" i="7" l="1"/>
  <c r="J945" i="7" s="1"/>
  <c r="I937" i="7" l="1"/>
  <c r="K1123" i="7"/>
  <c r="J937" i="7" l="1"/>
  <c r="J1123" i="7" s="1"/>
  <c r="P14" i="3" s="1"/>
  <c r="I1123" i="7"/>
  <c r="O14" i="3" s="1"/>
  <c r="G7" i="1" l="1"/>
  <c r="T14" i="3"/>
  <c r="G6" i="1" l="1"/>
  <c r="G17" i="1" l="1"/>
  <c r="G51" i="1" s="1"/>
  <c r="K1621" i="7" l="1"/>
  <c r="I1621" i="7" s="1"/>
  <c r="J1621" i="7" s="1"/>
  <c r="K1623" i="7"/>
  <c r="I1623" i="7" s="1"/>
  <c r="J1623" i="7" s="1"/>
  <c r="K1602" i="7"/>
  <c r="I1602" i="7" s="1"/>
  <c r="J1602" i="7" s="1"/>
  <c r="K1618" i="7"/>
  <c r="I1618" i="7" s="1"/>
  <c r="J1618" i="7" s="1"/>
  <c r="K1606" i="7"/>
  <c r="I1606" i="7" s="1"/>
  <c r="J1606" i="7" s="1"/>
  <c r="K1612" i="7"/>
  <c r="I1612" i="7" s="1"/>
  <c r="J1612" i="7" s="1"/>
  <c r="K1604" i="7"/>
  <c r="I1604" i="7" s="1"/>
  <c r="J1604" i="7" s="1"/>
  <c r="K1609" i="7"/>
  <c r="I1609" i="7" s="1"/>
  <c r="J1609" i="7" s="1"/>
  <c r="K1611" i="7"/>
  <c r="I1611" i="7" s="1"/>
  <c r="J1611" i="7" s="1"/>
  <c r="K1600" i="7"/>
  <c r="I1600" i="7" s="1"/>
  <c r="J1600" i="7" s="1"/>
  <c r="K1601" i="7"/>
  <c r="I1601" i="7" s="1"/>
  <c r="J1601" i="7" s="1"/>
  <c r="K1596" i="7"/>
  <c r="I1596" i="7" s="1"/>
  <c r="J1596" i="7" s="1"/>
  <c r="K1595" i="7"/>
  <c r="I1595" i="7" s="1"/>
  <c r="J1595" i="7" s="1"/>
  <c r="K1622" i="7" l="1"/>
  <c r="I1622" i="7" s="1"/>
  <c r="J1622" i="7" s="1"/>
  <c r="K1624" i="7"/>
  <c r="I1624" i="7" s="1"/>
  <c r="J1624" i="7" s="1"/>
  <c r="K1625" i="7"/>
  <c r="I1625" i="7" s="1"/>
  <c r="J1625" i="7" s="1"/>
  <c r="K1619" i="7"/>
  <c r="I1619" i="7" s="1"/>
  <c r="J1619" i="7" s="1"/>
  <c r="K1613" i="7"/>
  <c r="I1613" i="7" s="1"/>
  <c r="J1613" i="7" s="1"/>
  <c r="K1614" i="7"/>
  <c r="I1614" i="7" s="1"/>
  <c r="J1614" i="7" s="1"/>
  <c r="K1607" i="7"/>
  <c r="I1607" i="7" s="1"/>
  <c r="J1607" i="7" s="1"/>
  <c r="K1603" i="7"/>
  <c r="I1603" i="7" s="1"/>
  <c r="J1603" i="7" s="1"/>
  <c r="K1598" i="7"/>
  <c r="I1598" i="7" s="1"/>
  <c r="J1598" i="7" s="1"/>
  <c r="K1620" i="7"/>
  <c r="I1620" i="7" s="1"/>
  <c r="J1620" i="7" s="1"/>
  <c r="K1617" i="7"/>
  <c r="I1617" i="7" s="1"/>
  <c r="J1617" i="7" s="1"/>
  <c r="K1615" i="7"/>
  <c r="I1615" i="7" s="1"/>
  <c r="J1615" i="7" s="1"/>
  <c r="K1605" i="7"/>
  <c r="I1605" i="7" s="1"/>
  <c r="J1605" i="7" s="1"/>
  <c r="K1608" i="7"/>
  <c r="I1608" i="7" s="1"/>
  <c r="J1608" i="7" s="1"/>
  <c r="K1599" i="7"/>
  <c r="I1599" i="7" s="1"/>
  <c r="J1599" i="7" s="1"/>
  <c r="K1597" i="7"/>
  <c r="I1597" i="7" s="1"/>
  <c r="J1597" i="7" s="1"/>
  <c r="K1626" i="7" l="1"/>
  <c r="I1626" i="7" s="1"/>
  <c r="J1626" i="7" s="1"/>
  <c r="K1616" i="7"/>
  <c r="I1616" i="7" s="1"/>
  <c r="J1616" i="7" s="1"/>
  <c r="K1610" i="7"/>
  <c r="I1610" i="7" s="1"/>
  <c r="J1610" i="7" s="1"/>
  <c r="K1593" i="7" l="1"/>
  <c r="I1593" i="7" s="1"/>
  <c r="J1593" i="7" s="1"/>
  <c r="K1592" i="7"/>
  <c r="I1592" i="7" s="1"/>
  <c r="J1592" i="7" s="1"/>
  <c r="K1589" i="7"/>
  <c r="I1589" i="7" s="1"/>
  <c r="J1589" i="7" s="1"/>
  <c r="K1590" i="7" l="1"/>
  <c r="I1590" i="7" s="1"/>
  <c r="J1590" i="7" s="1"/>
  <c r="K1594" i="7"/>
  <c r="I1594" i="7" s="1"/>
  <c r="J1594" i="7" s="1"/>
  <c r="K1591" i="7"/>
  <c r="I1591" i="7" s="1"/>
  <c r="J1591" i="7" s="1"/>
  <c r="K1588" i="7" l="1"/>
  <c r="I1588" i="7" l="1"/>
  <c r="K1804" i="7"/>
  <c r="E2262" i="7" s="1"/>
  <c r="J1588" i="7" l="1"/>
  <c r="J1804" i="7" s="1"/>
  <c r="P17" i="3" s="1"/>
  <c r="I1804" i="7"/>
  <c r="O17" i="3" s="1"/>
  <c r="J7" i="1" l="1"/>
  <c r="O21" i="3"/>
  <c r="T17" i="3"/>
  <c r="T21" i="3" s="1"/>
  <c r="P21" i="3"/>
  <c r="J6" i="1" l="1"/>
  <c r="N7" i="1"/>
  <c r="H7" i="14" s="1"/>
  <c r="H16" i="14" s="1"/>
  <c r="H37" i="14" s="1"/>
  <c r="H44" i="14" s="1"/>
  <c r="M24" i="15" s="1"/>
  <c r="M27" i="15" s="1"/>
  <c r="M29" i="15" s="1"/>
  <c r="J17" i="1" l="1"/>
  <c r="J51" i="1" s="1"/>
  <c r="N6" i="1"/>
  <c r="N17" i="1" s="1"/>
  <c r="N51" i="1" l="1"/>
  <c r="O51" i="1" s="1"/>
  <c r="O17" i="1"/>
</calcChain>
</file>

<file path=xl/sharedStrings.xml><?xml version="1.0" encoding="utf-8"?>
<sst xmlns="http://schemas.openxmlformats.org/spreadsheetml/2006/main" count="12577" uniqueCount="6113">
  <si>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</si>
  <si>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</si>
  <si>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</si>
  <si>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</si>
  <si>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</si>
  <si>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</si>
  <si>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</si>
  <si>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</si>
  <si>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</si>
  <si>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</si>
  <si>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</si>
  <si>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</si>
  <si>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</si>
  <si>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</si>
  <si>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</si>
  <si>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</si>
  <si>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</si>
  <si>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</si>
  <si>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</si>
  <si>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</si>
  <si>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</si>
  <si>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</si>
  <si>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</si>
  <si>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</si>
  <si>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</si>
  <si>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</si>
  <si>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</si>
  <si>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</si>
  <si>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</si>
  <si>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</si>
  <si>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</si>
  <si>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</si>
  <si>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</si>
  <si>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</si>
  <si>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</si>
  <si>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</si>
  <si>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</si>
  <si>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</si>
  <si>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</si>
  <si>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</si>
  <si>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</si>
  <si>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</si>
  <si>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</si>
  <si>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</si>
  <si>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</si>
  <si>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</si>
  <si>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</si>
  <si>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</si>
  <si>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</si>
  <si>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</si>
  <si>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</si>
  <si>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</si>
  <si>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</si>
  <si>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</si>
  <si>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</si>
  <si>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</si>
  <si>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</si>
  <si>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</si>
  <si>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</si>
  <si>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</si>
  <si>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</si>
  <si>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</si>
  <si>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</si>
  <si>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</si>
  <si>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</si>
  <si>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</si>
  <si>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</si>
  <si>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</si>
  <si>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</si>
  <si>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</si>
  <si>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</si>
  <si>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</si>
  <si>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</si>
  <si>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</si>
  <si>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</si>
  <si>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</si>
  <si>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</si>
  <si>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</si>
  <si>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</si>
  <si>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</si>
  <si>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</si>
  <si>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</si>
  <si>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</si>
  <si>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</si>
  <si>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</si>
  <si>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</si>
  <si>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</si>
  <si>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</si>
  <si>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</si>
  <si>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</si>
  <si>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</si>
  <si>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</si>
  <si>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</si>
  <si>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</si>
  <si>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</si>
  <si>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</si>
  <si>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</si>
  <si>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</si>
  <si>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</si>
  <si>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</si>
  <si>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</si>
  <si>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</si>
  <si>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</si>
  <si>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</si>
  <si>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</si>
  <si>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</si>
  <si>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</si>
  <si>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</si>
  <si>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</si>
  <si>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</si>
  <si>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</si>
  <si>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</si>
  <si>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</si>
  <si>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</si>
  <si>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</si>
  <si>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</si>
  <si>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</si>
  <si>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</si>
  <si>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</si>
  <si>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</si>
  <si>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</si>
  <si>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</si>
  <si>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</si>
  <si>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</si>
  <si>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</si>
  <si>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</si>
  <si>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</si>
  <si>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</si>
  <si>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</si>
  <si>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</si>
  <si>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</si>
  <si>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</si>
  <si>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</si>
  <si>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</si>
  <si>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</si>
  <si>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</si>
  <si>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</si>
  <si>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</si>
  <si>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</si>
  <si>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</si>
  <si>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</si>
  <si>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</si>
  <si>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</si>
  <si>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</si>
  <si>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</si>
  <si>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</si>
  <si>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</si>
  <si>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</si>
  <si>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</si>
  <si>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</si>
  <si>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</si>
  <si>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</si>
  <si>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</si>
  <si>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</si>
  <si>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</si>
  <si>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</si>
  <si>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</si>
  <si>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</si>
  <si>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</si>
  <si>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</si>
  <si>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</si>
  <si>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</si>
  <si>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</si>
  <si>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</si>
  <si>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</si>
  <si>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</si>
  <si>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</si>
  <si>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</si>
  <si>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</si>
  <si>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</si>
  <si>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</si>
  <si>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</si>
  <si>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</si>
  <si>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</si>
  <si>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</si>
  <si>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</si>
  <si>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</si>
  <si>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</si>
  <si>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</si>
  <si>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</si>
  <si>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</si>
  <si>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</si>
  <si>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</si>
  <si>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</si>
  <si>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</si>
  <si>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</si>
  <si>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</si>
  <si>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</si>
  <si>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</si>
  <si>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</si>
  <si>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</si>
  <si>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</si>
  <si>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EDY SUTRISNO</t>
  </si>
  <si>
    <t>3374082011790006</t>
  </si>
  <si>
    <t>DRVER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</si>
  <si>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</si>
  <si>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</si>
  <si>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</si>
  <si>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</si>
  <si>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</si>
  <si>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</si>
  <si>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</si>
  <si>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</si>
  <si>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</si>
  <si>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</si>
  <si>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</si>
  <si>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</si>
  <si>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</si>
  <si>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</si>
  <si>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</si>
  <si>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</si>
  <si>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</si>
  <si>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</si>
  <si>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</si>
  <si>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</si>
  <si>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</si>
  <si>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</si>
  <si>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</si>
  <si>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</si>
  <si>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</si>
  <si>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</si>
  <si>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</si>
  <si>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</si>
  <si>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</si>
  <si>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</si>
  <si>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</si>
  <si>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</si>
  <si>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</si>
  <si>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</si>
  <si>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TANDANG SELATAN RT. 07/RW. X JOMBLANG, CANDISARI</t>
  </si>
  <si>
    <t>SUB TOTAL</t>
  </si>
  <si>
    <t>DISKON</t>
  </si>
  <si>
    <t>PPN (10%)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</si>
  <si>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</si>
  <si>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</si>
  <si>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</si>
  <si>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</si>
  <si>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</si>
  <si>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</si>
  <si>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</si>
  <si>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</si>
  <si>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</si>
  <si>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</si>
  <si>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</si>
  <si>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</si>
  <si>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</si>
  <si>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</si>
  <si>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</si>
  <si>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</si>
  <si>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</si>
  <si>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</si>
  <si>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</si>
  <si>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</si>
  <si>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</si>
  <si>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</si>
  <si>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</si>
  <si>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</si>
  <si>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</si>
  <si>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</si>
  <si>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</si>
  <si>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</si>
  <si>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</si>
  <si>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</si>
  <si>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</si>
  <si>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</si>
  <si>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</si>
  <si>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</si>
  <si>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</si>
  <si>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</si>
  <si>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</si>
  <si>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</si>
  <si>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</si>
  <si>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</si>
  <si>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</si>
  <si>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</si>
  <si>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</si>
  <si>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</si>
  <si>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</si>
  <si>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</si>
  <si>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</si>
  <si>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</si>
  <si>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</si>
  <si>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</si>
  <si>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</si>
  <si>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</si>
  <si>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</si>
  <si>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</si>
  <si>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</si>
  <si>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</si>
  <si>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</si>
  <si>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</si>
  <si>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</si>
  <si>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</si>
  <si>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</si>
  <si>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</si>
  <si>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</si>
  <si>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</si>
  <si>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</si>
  <si>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</si>
  <si>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</si>
  <si>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</si>
  <si>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</si>
  <si>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</si>
  <si>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</si>
  <si>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</si>
  <si>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</si>
  <si>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JAN</t>
  </si>
  <si>
    <t>FEB</t>
  </si>
  <si>
    <t>MAR</t>
  </si>
  <si>
    <t>APR</t>
  </si>
  <si>
    <t>JUN</t>
  </si>
  <si>
    <t>AGT</t>
  </si>
  <si>
    <t>SEP</t>
  </si>
  <si>
    <t>OKT</t>
  </si>
  <si>
    <t>NOV</t>
  </si>
  <si>
    <t>DES</t>
  </si>
  <si>
    <t>JL. PLAMPITAN KP.MALANG NO. 160-A RT. 05/RW. V KRANGGAN, SEMARANG TENGAH</t>
  </si>
  <si>
    <t>03.262.318.3-047.000</t>
  </si>
  <si>
    <t>Saldo Awal :</t>
  </si>
  <si>
    <t>TOTAL PENJUALAN DALAM 1 TAHUN   =</t>
  </si>
  <si>
    <t>TAHUN 2021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</si>
  <si>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</si>
  <si>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</si>
  <si>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</si>
  <si>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</si>
  <si>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</si>
  <si>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</si>
  <si>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</si>
  <si>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</si>
  <si>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</si>
  <si>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</si>
  <si>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</si>
  <si>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</si>
  <si>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</si>
  <si>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</si>
  <si>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</si>
  <si>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</si>
  <si>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</si>
  <si>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</si>
  <si>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</si>
  <si>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</si>
  <si>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</si>
  <si>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</si>
  <si>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</si>
  <si>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</si>
  <si>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</si>
  <si>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</si>
  <si>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</si>
  <si>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</si>
  <si>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</si>
  <si>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</si>
  <si>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</si>
  <si>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</si>
  <si>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</si>
  <si>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</si>
  <si>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</si>
  <si>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</si>
  <si>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</si>
  <si>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</si>
  <si>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</si>
  <si>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</si>
  <si>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</si>
  <si>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</si>
  <si>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</si>
  <si>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</si>
  <si>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</si>
  <si>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</si>
  <si>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</si>
  <si>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</si>
  <si>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</si>
  <si>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</si>
  <si>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</si>
  <si>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</si>
  <si>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</si>
  <si>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</si>
  <si>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</si>
  <si>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</si>
  <si>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</si>
  <si>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</si>
  <si>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</si>
  <si>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</si>
  <si>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</si>
  <si>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</si>
  <si>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</si>
  <si>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</si>
  <si>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</si>
  <si>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</si>
  <si>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TAHUN 2022</t>
  </si>
  <si>
    <t>01 JAN 2022 s/d 01 FEB 2022</t>
  </si>
  <si>
    <t>JUL</t>
  </si>
  <si>
    <t>SEPT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</si>
  <si>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</si>
  <si>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</si>
  <si>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</si>
  <si>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</si>
  <si>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</si>
  <si>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</si>
  <si>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</si>
  <si>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</si>
  <si>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</si>
  <si>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</si>
  <si>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</si>
  <si>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</si>
  <si>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</si>
  <si>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</si>
  <si>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</si>
  <si>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</si>
  <si>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TUNJANGAN ABSENSI</t>
  </si>
  <si>
    <t>PERJALANAN DINAS</t>
  </si>
  <si>
    <t>PENGELUARAN KAS 2022</t>
  </si>
  <si>
    <t>JANUARI 2022</t>
  </si>
  <si>
    <t>FEBRUARI 2022</t>
  </si>
  <si>
    <t>MARET 2022</t>
  </si>
  <si>
    <t>APRIL 2022</t>
  </si>
  <si>
    <t>MEI 2022</t>
  </si>
  <si>
    <t>JUNI 2022</t>
  </si>
  <si>
    <t>JULI 2022</t>
  </si>
  <si>
    <t>AGUSTUS 2022</t>
  </si>
  <si>
    <t>SEPTEMBER 2022</t>
  </si>
  <si>
    <t>OKTOBER 2022</t>
  </si>
  <si>
    <t>NOVEMBER 2022</t>
  </si>
  <si>
    <t>DESEMBER 2022</t>
  </si>
  <si>
    <t>Tunjangan Kehadiran/Absensi</t>
  </si>
  <si>
    <t>Per 31 Desember 2022</t>
  </si>
  <si>
    <t>04.021.035.3-602.000</t>
  </si>
  <si>
    <t>LILY JULIAWATI  ( REJO AGUNG )</t>
  </si>
  <si>
    <t>JOMBANG</t>
  </si>
  <si>
    <t>G 1585</t>
  </si>
  <si>
    <t>AM 22010001</t>
  </si>
  <si>
    <t>AM 22010002</t>
  </si>
  <si>
    <t>AM 22010003</t>
  </si>
  <si>
    <t>AM 22010004</t>
  </si>
  <si>
    <t>AM 22010005</t>
  </si>
  <si>
    <t>AM 22010006</t>
  </si>
  <si>
    <t>AM 22010007</t>
  </si>
  <si>
    <t>AM 22010008</t>
  </si>
  <si>
    <t>AM 22010009</t>
  </si>
  <si>
    <t>AM 22010010</t>
  </si>
  <si>
    <t>AM 22010011</t>
  </si>
  <si>
    <t>AM 22010012</t>
  </si>
  <si>
    <t>AM 22010013</t>
  </si>
  <si>
    <t>AM 22010014</t>
  </si>
  <si>
    <t>AM 22010015</t>
  </si>
  <si>
    <t>AM 22010016</t>
  </si>
  <si>
    <t>AM 22010017</t>
  </si>
  <si>
    <t>AM 22010018</t>
  </si>
  <si>
    <t>AM 22010019</t>
  </si>
  <si>
    <t>AM 22010020</t>
  </si>
  <si>
    <t>AM 22010021</t>
  </si>
  <si>
    <t>AM 22010022</t>
  </si>
  <si>
    <t>AM 22010023</t>
  </si>
  <si>
    <t>AM 22010024</t>
  </si>
  <si>
    <t>AM 22010025</t>
  </si>
  <si>
    <t>AM 22010026</t>
  </si>
  <si>
    <t>AM 22010027</t>
  </si>
  <si>
    <t>AM 22010028</t>
  </si>
  <si>
    <t>AM 22010029</t>
  </si>
  <si>
    <t>AM 22010030</t>
  </si>
  <si>
    <t>AM 22010031</t>
  </si>
  <si>
    <t>AM 22010032</t>
  </si>
  <si>
    <t>AM 22010033</t>
  </si>
  <si>
    <t>AM 22010034</t>
  </si>
  <si>
    <t>AM 22010035</t>
  </si>
  <si>
    <t>AM 22010036</t>
  </si>
  <si>
    <t>AM 22010037</t>
  </si>
  <si>
    <t>AM 22010038</t>
  </si>
  <si>
    <t>AM 22010039</t>
  </si>
  <si>
    <t>AM 22010040</t>
  </si>
  <si>
    <t>AM 22010041</t>
  </si>
  <si>
    <t>AM 22010042</t>
  </si>
  <si>
    <t>AM 22010043</t>
  </si>
  <si>
    <t>AM 22010044</t>
  </si>
  <si>
    <t>AM 22010045</t>
  </si>
  <si>
    <t>AM 22010046</t>
  </si>
  <si>
    <t>AM 22010047</t>
  </si>
  <si>
    <t>AM 22010048</t>
  </si>
  <si>
    <t>AM 22010049</t>
  </si>
  <si>
    <t>AM 22010050</t>
  </si>
  <si>
    <t>AM 22010051</t>
  </si>
  <si>
    <t>AM 22010052</t>
  </si>
  <si>
    <t>AM 22010053</t>
  </si>
  <si>
    <t>AM 22010054</t>
  </si>
  <si>
    <t>AM 22010055</t>
  </si>
  <si>
    <t>AM 22010056</t>
  </si>
  <si>
    <t>AM 22010057</t>
  </si>
  <si>
    <t>AM 22010058</t>
  </si>
  <si>
    <t>AM 22010059</t>
  </si>
  <si>
    <t>AM 22010060</t>
  </si>
  <si>
    <t>AM 22010061</t>
  </si>
  <si>
    <t>AM 22010062</t>
  </si>
  <si>
    <t>AM 22010063</t>
  </si>
  <si>
    <t>AM 22010064</t>
  </si>
  <si>
    <t>AM 22010065</t>
  </si>
  <si>
    <t>AM 22010066</t>
  </si>
  <si>
    <t>AM 22010067</t>
  </si>
  <si>
    <t>AM 22010068</t>
  </si>
  <si>
    <t>AM 22010069</t>
  </si>
  <si>
    <t>AM 22010070</t>
  </si>
  <si>
    <t>AM 22010071</t>
  </si>
  <si>
    <t>AM 22010072</t>
  </si>
  <si>
    <t>AM 22010073</t>
  </si>
  <si>
    <t>AM 22010074</t>
  </si>
  <si>
    <t>AM 22010075</t>
  </si>
  <si>
    <t>AM 22010076</t>
  </si>
  <si>
    <t>AM 22010077</t>
  </si>
  <si>
    <t>AM 22010078</t>
  </si>
  <si>
    <t>AM 22010079</t>
  </si>
  <si>
    <t>AM 22010080</t>
  </si>
  <si>
    <t>AM 22010081</t>
  </si>
  <si>
    <t>AM 22010082</t>
  </si>
  <si>
    <t>AM 22010083</t>
  </si>
  <si>
    <t>AM 22010084</t>
  </si>
  <si>
    <t>AM 22010085</t>
  </si>
  <si>
    <t>AM 22010086</t>
  </si>
  <si>
    <t>AM 22010087</t>
  </si>
  <si>
    <t>AM 22010088</t>
  </si>
  <si>
    <t>AM 22010089</t>
  </si>
  <si>
    <t>AM 22010090</t>
  </si>
  <si>
    <t>AM 22010091</t>
  </si>
  <si>
    <t>AM 22010092</t>
  </si>
  <si>
    <t>AM 22010093</t>
  </si>
  <si>
    <t>AM 22010094</t>
  </si>
  <si>
    <t>AM 22010095</t>
  </si>
  <si>
    <t>AM 22010096</t>
  </si>
  <si>
    <t>AM 22010097</t>
  </si>
  <si>
    <t>AM 22010098</t>
  </si>
  <si>
    <t>AM 22010099</t>
  </si>
  <si>
    <t>AM 22010100</t>
  </si>
  <si>
    <t>AM 22010101</t>
  </si>
  <si>
    <t>AM 22010102</t>
  </si>
  <si>
    <t>AM 22010103</t>
  </si>
  <si>
    <t>AM 22010104</t>
  </si>
  <si>
    <t>AM 22010105</t>
  </si>
  <si>
    <t>AM 22010106</t>
  </si>
  <si>
    <t>AM 22010107</t>
  </si>
  <si>
    <t>AM 22010108</t>
  </si>
  <si>
    <t>AM 22010109</t>
  </si>
  <si>
    <t>AM 22010110</t>
  </si>
  <si>
    <t>AM 22010111</t>
  </si>
  <si>
    <t>AM 22010112</t>
  </si>
  <si>
    <t>AM 22010113</t>
  </si>
  <si>
    <t>AM 22010114</t>
  </si>
  <si>
    <t>AM 22010115</t>
  </si>
  <si>
    <t>AM 22010116</t>
  </si>
  <si>
    <t>AM 22010117</t>
  </si>
  <si>
    <t>AM 22010118</t>
  </si>
  <si>
    <t>AM 22010119</t>
  </si>
  <si>
    <t>AM 22010120</t>
  </si>
  <si>
    <t>AM 22010121</t>
  </si>
  <si>
    <t>AM 22010122</t>
  </si>
  <si>
    <t>AM 22010123</t>
  </si>
  <si>
    <t>AM 22010124</t>
  </si>
  <si>
    <t>AM 22010125</t>
  </si>
  <si>
    <t>AM 22010126</t>
  </si>
  <si>
    <t>AM 22010127</t>
  </si>
  <si>
    <t>AM 22010128</t>
  </si>
  <si>
    <t>AM 22010129</t>
  </si>
  <si>
    <t>AM 22010130</t>
  </si>
  <si>
    <t>AM 22010131</t>
  </si>
  <si>
    <t>AM 22010132</t>
  </si>
  <si>
    <t>AM 22010133</t>
  </si>
  <si>
    <t>AM 22010134</t>
  </si>
  <si>
    <t>AM 22010135</t>
  </si>
  <si>
    <t>AM 22010136</t>
  </si>
  <si>
    <t>AM 22010137</t>
  </si>
  <si>
    <t>AM 22010138</t>
  </si>
  <si>
    <t>AM 22010139</t>
  </si>
  <si>
    <t>AM 22010140</t>
  </si>
  <si>
    <t>AM 22010141</t>
  </si>
  <si>
    <t>AM 22010142</t>
  </si>
  <si>
    <t>AM 22010143</t>
  </si>
  <si>
    <t>AM 22010144</t>
  </si>
  <si>
    <t>AM 22010145</t>
  </si>
  <si>
    <t>AM 22010146</t>
  </si>
  <si>
    <t>AM 22010147</t>
  </si>
  <si>
    <t>AM 22010148</t>
  </si>
  <si>
    <t>AM 22010149</t>
  </si>
  <si>
    <t>AM 22010150</t>
  </si>
  <si>
    <t>KO 1594</t>
  </si>
  <si>
    <t>PURWOKERTO</t>
  </si>
  <si>
    <t>01.706.181.3-521.000</t>
  </si>
  <si>
    <t>82.982.280.8-521.000</t>
  </si>
  <si>
    <t>HARNOYO  ( BENDAN )</t>
  </si>
  <si>
    <t>PEKALONGAN</t>
  </si>
  <si>
    <t>04.017.931.9-502.000</t>
  </si>
  <si>
    <t>KO 1595</t>
  </si>
  <si>
    <t>G 1615</t>
  </si>
  <si>
    <t>SIDOARJO</t>
  </si>
  <si>
    <t>82.986.844.7-603.000</t>
  </si>
  <si>
    <t>KO 4412</t>
  </si>
  <si>
    <t>BREBES</t>
  </si>
  <si>
    <t>42.884.805.5-501.000</t>
  </si>
  <si>
    <t>KO 1599</t>
  </si>
  <si>
    <t>G 1625</t>
  </si>
  <si>
    <t>CV ARTO MORO</t>
  </si>
  <si>
    <t>CV PELITA JAYA  ( ANUGERAH SEJAHTERA )</t>
  </si>
  <si>
    <t>CV TRINITY CENTRAAL</t>
  </si>
  <si>
    <t>CV RAINBOW NUSANTARA ( PELANGI )</t>
  </si>
  <si>
    <t>CV TIARA</t>
  </si>
  <si>
    <t>SOLO</t>
  </si>
  <si>
    <t>03.338.317.5-526.000</t>
  </si>
  <si>
    <t>N 1628</t>
  </si>
  <si>
    <t>KEBUMEN</t>
  </si>
  <si>
    <t>83.694.842.2-523.000</t>
  </si>
  <si>
    <t>N 1629</t>
  </si>
  <si>
    <t>CV UTAMA PUTRA</t>
  </si>
  <si>
    <t>TULUNGAGUNG</t>
  </si>
  <si>
    <t>91.924.273.5-629.000</t>
  </si>
  <si>
    <t>CV FM. 90 (FAMILY / RENI JATIMULYO)</t>
  </si>
  <si>
    <t>G 1632</t>
  </si>
  <si>
    <t>G 1659</t>
  </si>
  <si>
    <t>KO 1661</t>
  </si>
  <si>
    <t>KO 1677</t>
  </si>
  <si>
    <t>KO 1683</t>
  </si>
  <si>
    <t>G 1685</t>
  </si>
  <si>
    <t>G 1693</t>
  </si>
  <si>
    <t>CV WISUDA</t>
  </si>
  <si>
    <t>01.848.507.8-521.000</t>
  </si>
  <si>
    <t>KO 1778</t>
  </si>
  <si>
    <t>CV DWI JAYA</t>
  </si>
  <si>
    <t>YOGYAKARTA</t>
  </si>
  <si>
    <t>02.683.580.1-542.000</t>
  </si>
  <si>
    <t>KO 1724</t>
  </si>
  <si>
    <t>G 1698</t>
  </si>
  <si>
    <t>G 1786</t>
  </si>
  <si>
    <t>N 1744</t>
  </si>
  <si>
    <t>G 1745</t>
  </si>
  <si>
    <t>N 1853</t>
  </si>
  <si>
    <t>G 1854</t>
  </si>
  <si>
    <t>Semarang, 20 Januari 2022</t>
  </si>
  <si>
    <t>Per 31 Desember 2021</t>
  </si>
  <si>
    <t>010.001-22.12288035</t>
  </si>
  <si>
    <t>010.001-22.12288043</t>
  </si>
  <si>
    <t>010.001-22.12288136</t>
  </si>
  <si>
    <t>010.001-22.12288225</t>
  </si>
  <si>
    <t>010.001-22.12288371</t>
  </si>
  <si>
    <t>010.001-22.12288372</t>
  </si>
  <si>
    <t>010.001-22.12288373</t>
  </si>
  <si>
    <t>010.001-22.12288412</t>
  </si>
  <si>
    <t>010.001-22.12288469</t>
  </si>
  <si>
    <t>010.001-22.12288616</t>
  </si>
  <si>
    <t>010.001-22.12288719</t>
  </si>
  <si>
    <t>010.001-22.12288985</t>
  </si>
  <si>
    <t>010.001-22.12289125</t>
  </si>
  <si>
    <t>010.001-22.12289246</t>
  </si>
  <si>
    <t>010.001-22.12289367</t>
  </si>
  <si>
    <t>KO 1875</t>
  </si>
  <si>
    <t>JUA045/22</t>
  </si>
  <si>
    <t>L101050</t>
  </si>
  <si>
    <t>SN22010076</t>
  </si>
  <si>
    <t>SN22010077</t>
  </si>
  <si>
    <t>N 1907</t>
  </si>
  <si>
    <t>KO 1911</t>
  </si>
  <si>
    <t>010.009-21.35814208</t>
  </si>
  <si>
    <t>010.009-21.35814361</t>
  </si>
  <si>
    <t>KO 1593</t>
  </si>
  <si>
    <t>G 1917</t>
  </si>
  <si>
    <t>KO 1921</t>
  </si>
  <si>
    <t>010.001-22.12289518</t>
  </si>
  <si>
    <t>010.001-22.12289538</t>
  </si>
  <si>
    <t>010.001-22.12289567</t>
  </si>
  <si>
    <t>010.001-22.12289575</t>
  </si>
  <si>
    <t>010.001-22.12289653</t>
  </si>
  <si>
    <t>010.001-22.12289666</t>
  </si>
  <si>
    <t>KO 1935</t>
  </si>
  <si>
    <t>KO 1936</t>
  </si>
  <si>
    <t>KO 1893</t>
  </si>
  <si>
    <t>G 1897</t>
  </si>
  <si>
    <t>KO 1899</t>
  </si>
  <si>
    <t>KO 1953</t>
  </si>
  <si>
    <t>KO 1942</t>
  </si>
  <si>
    <t>01.454.876.2-533.000</t>
  </si>
  <si>
    <t>CV GANESHA</t>
  </si>
  <si>
    <t>WONOSOBO</t>
  </si>
  <si>
    <t>010.003-22.62942585</t>
  </si>
  <si>
    <t>010.003-22.62942586</t>
  </si>
  <si>
    <t>010.003-22.62942587</t>
  </si>
  <si>
    <t>010.003-22.62942588</t>
  </si>
  <si>
    <t>010.003-22.62942589</t>
  </si>
  <si>
    <t>010.003-22.62942590</t>
  </si>
  <si>
    <t>010.003-22.62942591</t>
  </si>
  <si>
    <t>010.003-22.62942592</t>
  </si>
  <si>
    <t>010.003-22.62942593</t>
  </si>
  <si>
    <t>010.003-22.62942594</t>
  </si>
  <si>
    <t>010.003-22.62942595</t>
  </si>
  <si>
    <t>010.003-22.62942596</t>
  </si>
  <si>
    <t>010.003-22.62942597</t>
  </si>
  <si>
    <t>010.003-22.62942598</t>
  </si>
  <si>
    <t>010.003-22.62942599</t>
  </si>
  <si>
    <t>010.003-22.62942600</t>
  </si>
  <si>
    <t>010.003-22.62942601</t>
  </si>
  <si>
    <t>010.003-22.62942602</t>
  </si>
  <si>
    <t>010.003-22.62942603</t>
  </si>
  <si>
    <t>010.003-22.62942604</t>
  </si>
  <si>
    <t>010.003-22.62942605</t>
  </si>
  <si>
    <t>010.003-22.62942606</t>
  </si>
  <si>
    <t>010.003-22.62942607</t>
  </si>
  <si>
    <t>010.003-22.62942608</t>
  </si>
  <si>
    <t>010.003-22.62942609</t>
  </si>
  <si>
    <t>010.003-22.62942610</t>
  </si>
  <si>
    <t>010.003-22.62942611</t>
  </si>
  <si>
    <t>010.003-22.62942612</t>
  </si>
  <si>
    <t>010.003-22.62942613</t>
  </si>
  <si>
    <t>010.003-22.62942614</t>
  </si>
  <si>
    <t>010.003-22.62942615</t>
  </si>
  <si>
    <t>010.003-22.62942616</t>
  </si>
  <si>
    <t>010.003-22.62942617</t>
  </si>
  <si>
    <t>010.003-22.62942618</t>
  </si>
  <si>
    <t>010.003-22.62942619</t>
  </si>
  <si>
    <t>010.003-22.62942620</t>
  </si>
  <si>
    <t>010.003-22.62942621</t>
  </si>
  <si>
    <t>010.001-22.12289760</t>
  </si>
  <si>
    <t>010.001-22.12289824</t>
  </si>
  <si>
    <t>010.001-22.12289836</t>
  </si>
  <si>
    <t>010.001-22.12289980</t>
  </si>
  <si>
    <t>010.001-22.12290189</t>
  </si>
  <si>
    <t>96.673.957.5-034.000</t>
  </si>
  <si>
    <t>PT ERA LARIS ABADI</t>
  </si>
  <si>
    <t>010.003-22.68967124</t>
  </si>
  <si>
    <t>034.22</t>
  </si>
  <si>
    <t>KO 1816</t>
  </si>
  <si>
    <t>010.003-22.62942622</t>
  </si>
  <si>
    <t>INSENTIVE KARYAWAN MINGGUAN (PERIODE : 03 - 08 JANUARI 2022)</t>
  </si>
  <si>
    <t>KO 1958</t>
  </si>
  <si>
    <t>010.003-22.62942623</t>
  </si>
  <si>
    <t>KO 1960</t>
  </si>
  <si>
    <t>010.003-22.62942624</t>
  </si>
  <si>
    <t>SLAMET RIYANTO</t>
  </si>
  <si>
    <t>DRIVER</t>
  </si>
  <si>
    <t>INSENTIVE KARYAWAN MINGGUAN (PERIODE : 10 - 15 JANUARI 2022)</t>
  </si>
  <si>
    <t>INSENTIVE KARYAWAN MINGGUAN (PERIODE : 17 - 22 JANUARI 2022)</t>
  </si>
  <si>
    <t>INSENTIVE KARYAWAN MINGGUAN (PERIODE : 24 - 29 JANUARI 2022)</t>
  </si>
  <si>
    <t>GAJI KARYAWAN HARIAN TETAP (PERIODE 03 - 15 JANUARI 2022)</t>
  </si>
  <si>
    <t>GAJI KARYAWAN BULANAN</t>
  </si>
  <si>
    <t>BONUS KARYAWAN BULANAN</t>
  </si>
  <si>
    <t>UANG MAKAN KARYAWAN BULANAN</t>
  </si>
  <si>
    <t>TRIONO</t>
  </si>
  <si>
    <t>G 1962</t>
  </si>
  <si>
    <t>KO 1967</t>
  </si>
  <si>
    <t>KO 1968</t>
  </si>
  <si>
    <t>SANTOSO BUDIONO (ARMADA)</t>
  </si>
  <si>
    <t>08.887.807.9-521.000</t>
  </si>
  <si>
    <t>KO 1970</t>
  </si>
  <si>
    <t>010.003-22.62942625</t>
  </si>
  <si>
    <t>010.003-22.62942626</t>
  </si>
  <si>
    <t>010.003-22.62942627</t>
  </si>
  <si>
    <t>010.003-22.62942628</t>
  </si>
  <si>
    <t>010.002-22.82099100</t>
  </si>
  <si>
    <t>SA220100036</t>
  </si>
  <si>
    <t>010.002-22.82099101</t>
  </si>
  <si>
    <t>SA220100037</t>
  </si>
  <si>
    <t>010.002-22.82099354</t>
  </si>
  <si>
    <t>SA220100118</t>
  </si>
  <si>
    <t>010.002-22.82099355</t>
  </si>
  <si>
    <t>SA220100119</t>
  </si>
  <si>
    <t>010.002-22.82099356</t>
  </si>
  <si>
    <t>SA220100120</t>
  </si>
  <si>
    <t>010.002-22.82100087</t>
  </si>
  <si>
    <t>SA220100373</t>
  </si>
  <si>
    <t>010.002-22.82100408</t>
  </si>
  <si>
    <t>SA220100495</t>
  </si>
  <si>
    <t>010.002-22.82100601</t>
  </si>
  <si>
    <t>SA220100529</t>
  </si>
  <si>
    <t>010.002-22.82100859</t>
  </si>
  <si>
    <t>SA220100623</t>
  </si>
  <si>
    <t>010.002-22.82101107</t>
  </si>
  <si>
    <t>SA220100677</t>
  </si>
  <si>
    <t>010.002-22.82101108</t>
  </si>
  <si>
    <t>SA220100678</t>
  </si>
  <si>
    <t>010.002-22.82101306</t>
  </si>
  <si>
    <t>SA220100727</t>
  </si>
  <si>
    <t>010.002-22.82101566</t>
  </si>
  <si>
    <t>SA220100803</t>
  </si>
  <si>
    <t>010.002-22.82101567</t>
  </si>
  <si>
    <t>SA220100804</t>
  </si>
  <si>
    <t>010.002-22.82101568</t>
  </si>
  <si>
    <t>SA220100805</t>
  </si>
  <si>
    <t>CV SINAR CAHAYA NIRMALA</t>
  </si>
  <si>
    <t>010.001-22.12290305</t>
  </si>
  <si>
    <t>SA220100862</t>
  </si>
  <si>
    <t>SA220100927</t>
  </si>
  <si>
    <t>SA220100926</t>
  </si>
  <si>
    <t>SA220100861</t>
  </si>
  <si>
    <t>SA220100925</t>
  </si>
  <si>
    <t>SA220100958</t>
  </si>
  <si>
    <t>SA220101069</t>
  </si>
  <si>
    <t>SA220101068</t>
  </si>
  <si>
    <t>SA220101036</t>
  </si>
  <si>
    <t>SA220101131</t>
  </si>
  <si>
    <t>SA220101237</t>
  </si>
  <si>
    <t>SA220101236</t>
  </si>
  <si>
    <t>SA220101235</t>
  </si>
  <si>
    <t>SA220101321</t>
  </si>
  <si>
    <t>SA220101340</t>
  </si>
  <si>
    <t>JUA044/22</t>
  </si>
  <si>
    <t>JUA353/22</t>
  </si>
  <si>
    <t>JUA354/22</t>
  </si>
  <si>
    <t>L201006</t>
  </si>
  <si>
    <t>L201011</t>
  </si>
  <si>
    <t>SN22010132</t>
  </si>
  <si>
    <t>010.000-22.48605385</t>
  </si>
  <si>
    <t>010.000-22.48605386</t>
  </si>
  <si>
    <t>010.000-22.48605440</t>
  </si>
  <si>
    <t>010.000-22.48605535</t>
  </si>
  <si>
    <t>SN22010227</t>
  </si>
  <si>
    <t>010.000-22.70365515</t>
  </si>
  <si>
    <t>010.000-22.70365516</t>
  </si>
  <si>
    <t>010.000-22.70365788</t>
  </si>
  <si>
    <t>010.000-22.70365789</t>
  </si>
  <si>
    <t>010.000-22.70365841</t>
  </si>
  <si>
    <t>JUA426/22</t>
  </si>
  <si>
    <t>76.801.082.9-033.000</t>
  </si>
  <si>
    <t>PT LAUTAN MAS ASIA</t>
  </si>
  <si>
    <t>AM 22020001</t>
  </si>
  <si>
    <t>AM 22020003</t>
  </si>
  <si>
    <t>AM 22020004</t>
  </si>
  <si>
    <t>AM 22020005</t>
  </si>
  <si>
    <t>AM 22020006</t>
  </si>
  <si>
    <t>AM 22020007</t>
  </si>
  <si>
    <t>AM 22020008</t>
  </si>
  <si>
    <t>AM 22020009</t>
  </si>
  <si>
    <t>AM 22020002</t>
  </si>
  <si>
    <t>AM 22020010</t>
  </si>
  <si>
    <t>AM 22020011</t>
  </si>
  <si>
    <t>AM 22020012</t>
  </si>
  <si>
    <t>AM 22020013</t>
  </si>
  <si>
    <t>AM 22020014</t>
  </si>
  <si>
    <t>AM 22020015</t>
  </si>
  <si>
    <t>AM 22020016</t>
  </si>
  <si>
    <t>AM 22020017</t>
  </si>
  <si>
    <t>AM 22020018</t>
  </si>
  <si>
    <t>AM 22020019</t>
  </si>
  <si>
    <t>AM 22020020</t>
  </si>
  <si>
    <t>AM 22020021</t>
  </si>
  <si>
    <t>AM 22020022</t>
  </si>
  <si>
    <t>AM 22020023</t>
  </si>
  <si>
    <t>AM 22020024</t>
  </si>
  <si>
    <t>AM 22020025</t>
  </si>
  <si>
    <t>AM 22020026</t>
  </si>
  <si>
    <t>AM 22020027</t>
  </si>
  <si>
    <t>AM 22020028</t>
  </si>
  <si>
    <t>AM 22020029</t>
  </si>
  <si>
    <t>AM 22020030</t>
  </si>
  <si>
    <t>AM 22020031</t>
  </si>
  <si>
    <t>AM 22020032</t>
  </si>
  <si>
    <t>AM 22020033</t>
  </si>
  <si>
    <t>AM 22020034</t>
  </si>
  <si>
    <t>AM 22020035</t>
  </si>
  <si>
    <t>AM 22020036</t>
  </si>
  <si>
    <t>AM 22020037</t>
  </si>
  <si>
    <t>AM 22020038</t>
  </si>
  <si>
    <t>AM 22020039</t>
  </si>
  <si>
    <t>AM 22020040</t>
  </si>
  <si>
    <t>AM 22020041</t>
  </si>
  <si>
    <t>AM 22020042</t>
  </si>
  <si>
    <t>AM 22020043</t>
  </si>
  <si>
    <t>AM 22020044</t>
  </si>
  <si>
    <t>AM 22020045</t>
  </si>
  <si>
    <t>AM 22020046</t>
  </si>
  <si>
    <t>AM 22020047</t>
  </si>
  <si>
    <t>AM 22020048</t>
  </si>
  <si>
    <t>AM 22020049</t>
  </si>
  <si>
    <t>AM 22020050</t>
  </si>
  <si>
    <t>AM 22020051</t>
  </si>
  <si>
    <t>AM 22020052</t>
  </si>
  <si>
    <t>AM 22020053</t>
  </si>
  <si>
    <t>AM 22020054</t>
  </si>
  <si>
    <t>AM 22020055</t>
  </si>
  <si>
    <t>AM 22020056</t>
  </si>
  <si>
    <t>AM 22020057</t>
  </si>
  <si>
    <t>AM 22020058</t>
  </si>
  <si>
    <t>AM 22020059</t>
  </si>
  <si>
    <t>AM 22020060</t>
  </si>
  <si>
    <t>AM 22020061</t>
  </si>
  <si>
    <t>AM 22020062</t>
  </si>
  <si>
    <t>AM 22020063</t>
  </si>
  <si>
    <t>AM 22020064</t>
  </si>
  <si>
    <t>AM 22020065</t>
  </si>
  <si>
    <t>AM 22020066</t>
  </si>
  <si>
    <t>AM 22020067</t>
  </si>
  <si>
    <t>AM 22020068</t>
  </si>
  <si>
    <t>AM 22020069</t>
  </si>
  <si>
    <t>AM 22020070</t>
  </si>
  <si>
    <t>AM 22020071</t>
  </si>
  <si>
    <t>AM 22020072</t>
  </si>
  <si>
    <t>AM 22020073</t>
  </si>
  <si>
    <t>AM 22020074</t>
  </si>
  <si>
    <t>AM 22020075</t>
  </si>
  <si>
    <t>AM 22020076</t>
  </si>
  <si>
    <t>AM 22020077</t>
  </si>
  <si>
    <t>AM 22020078</t>
  </si>
  <si>
    <t>AM 22020079</t>
  </si>
  <si>
    <t>AM 22020080</t>
  </si>
  <si>
    <t>AM 22020081</t>
  </si>
  <si>
    <t>AM 22020082</t>
  </si>
  <si>
    <t>AM 22020083</t>
  </si>
  <si>
    <t>AM 22020084</t>
  </si>
  <si>
    <t>AM 22020085</t>
  </si>
  <si>
    <t>AM 22020086</t>
  </si>
  <si>
    <t>AM 22020087</t>
  </si>
  <si>
    <t>AM 22020088</t>
  </si>
  <si>
    <t>AM 22020089</t>
  </si>
  <si>
    <t>AM 22020090</t>
  </si>
  <si>
    <t>AM 22020091</t>
  </si>
  <si>
    <t>AM 22020092</t>
  </si>
  <si>
    <t>AM 22020093</t>
  </si>
  <si>
    <t>AM 22020094</t>
  </si>
  <si>
    <t>AM 22020095</t>
  </si>
  <si>
    <t>AM 22020096</t>
  </si>
  <si>
    <t>AM 22020097</t>
  </si>
  <si>
    <t>AM 22020098</t>
  </si>
  <si>
    <t>AM 22020099</t>
  </si>
  <si>
    <t>AM 22020100</t>
  </si>
  <si>
    <t>AM 22020101</t>
  </si>
  <si>
    <t>AM 22020102</t>
  </si>
  <si>
    <t>AM 22020103</t>
  </si>
  <si>
    <t>AM 22020104</t>
  </si>
  <si>
    <t>AM 22020105</t>
  </si>
  <si>
    <t>AM 22020106</t>
  </si>
  <si>
    <t>AM 22020107</t>
  </si>
  <si>
    <t>AM 22020108</t>
  </si>
  <si>
    <t>AM 22020109</t>
  </si>
  <si>
    <t>AM 22020110</t>
  </si>
  <si>
    <t>AM 22020111</t>
  </si>
  <si>
    <t>AM 22020112</t>
  </si>
  <si>
    <t>AM 22020113</t>
  </si>
  <si>
    <t>AM 22020114</t>
  </si>
  <si>
    <t>AM 22020115</t>
  </si>
  <si>
    <t>AM 22020116</t>
  </si>
  <si>
    <t>AM 22020117</t>
  </si>
  <si>
    <t>AM 22020118</t>
  </si>
  <si>
    <t>AM 22020119</t>
  </si>
  <si>
    <t>AM 22020120</t>
  </si>
  <si>
    <t>AM 22020121</t>
  </si>
  <si>
    <t>AM 22020122</t>
  </si>
  <si>
    <t>AM 22020123</t>
  </si>
  <si>
    <t>AM 22020124</t>
  </si>
  <si>
    <t>AM 22020125</t>
  </si>
  <si>
    <t>AM 22020126</t>
  </si>
  <si>
    <t>AM 22020127</t>
  </si>
  <si>
    <t>AM 22020128</t>
  </si>
  <si>
    <t>AM 22020129</t>
  </si>
  <si>
    <t>AM 22020130</t>
  </si>
  <si>
    <t>AM 22020131</t>
  </si>
  <si>
    <t>AM 22020132</t>
  </si>
  <si>
    <t>AM 22020133</t>
  </si>
  <si>
    <t>AM 22020134</t>
  </si>
  <si>
    <t>AM 22020135</t>
  </si>
  <si>
    <t>AM 22020136</t>
  </si>
  <si>
    <t>AM 22020137</t>
  </si>
  <si>
    <t>AM 22020138</t>
  </si>
  <si>
    <t>AM 22020139</t>
  </si>
  <si>
    <t>AM 22020140</t>
  </si>
  <si>
    <t>AM 22020141</t>
  </si>
  <si>
    <t>AM 22020142</t>
  </si>
  <si>
    <t>AM 22020143</t>
  </si>
  <si>
    <t>AM 22020144</t>
  </si>
  <si>
    <t>AM 22020145</t>
  </si>
  <si>
    <t>AM 22020146</t>
  </si>
  <si>
    <t>AM 22020147</t>
  </si>
  <si>
    <t>AM 22020148</t>
  </si>
  <si>
    <t>AM 22020149</t>
  </si>
  <si>
    <t>AM 22020150</t>
  </si>
  <si>
    <t>JL-14361</t>
  </si>
  <si>
    <t>JL-14208</t>
  </si>
  <si>
    <t>ANEKA</t>
  </si>
  <si>
    <t>MALANG</t>
  </si>
  <si>
    <t>KO 4316</t>
  </si>
  <si>
    <t>KHARISMA MEDIA ATK</t>
  </si>
  <si>
    <t>MANGGALA SAKTI</t>
  </si>
  <si>
    <t>MEDIA</t>
  </si>
  <si>
    <t>CILACAP</t>
  </si>
  <si>
    <t>SIANA (PECINAN)</t>
  </si>
  <si>
    <t>KO 3100</t>
  </si>
  <si>
    <t>BINA ILMU</t>
  </si>
  <si>
    <t>BATU</t>
  </si>
  <si>
    <t>SUKSES MAKMUR</t>
  </si>
  <si>
    <t>COMAL</t>
  </si>
  <si>
    <t>PERDANA</t>
  </si>
  <si>
    <t>SINAR KONDANG</t>
  </si>
  <si>
    <t>PURWOREJO</t>
  </si>
  <si>
    <t>SINKONG</t>
  </si>
  <si>
    <t>G 1583</t>
  </si>
  <si>
    <t>CAHAYA</t>
  </si>
  <si>
    <t>TEGAL</t>
  </si>
  <si>
    <t>AL ULYA</t>
  </si>
  <si>
    <t>MUDA JAYA</t>
  </si>
  <si>
    <t>KENDAL</t>
  </si>
  <si>
    <t>G 1558</t>
  </si>
  <si>
    <t>SALAM SARI</t>
  </si>
  <si>
    <t>WELERI</t>
  </si>
  <si>
    <t>G 1597 1600</t>
  </si>
  <si>
    <t>SISWA</t>
  </si>
  <si>
    <t>MUNTILAN</t>
  </si>
  <si>
    <t>KO 4346 4310 4314</t>
  </si>
  <si>
    <t>ENAM</t>
  </si>
  <si>
    <t>CIREBON</t>
  </si>
  <si>
    <t>010.001-22.10694138</t>
  </si>
  <si>
    <t>010.001-22.10694192</t>
  </si>
  <si>
    <t>010.001-22.10694210</t>
  </si>
  <si>
    <t>KO 1618 1620 1622</t>
  </si>
  <si>
    <t>MINI</t>
  </si>
  <si>
    <t>KO 1614 1621 1624</t>
  </si>
  <si>
    <t>M O I</t>
  </si>
  <si>
    <t>KO 1652</t>
  </si>
  <si>
    <t>TERMINAL II</t>
  </si>
  <si>
    <t>TELADAN</t>
  </si>
  <si>
    <t>SUMBER BUKIT</t>
  </si>
  <si>
    <t>SALATIGA</t>
  </si>
  <si>
    <t>SUKSES</t>
  </si>
  <si>
    <t>MAKMUR</t>
  </si>
  <si>
    <t>N 1658</t>
  </si>
  <si>
    <t>HAPPY SUMPIUH</t>
  </si>
  <si>
    <t>BANYUMAS</t>
  </si>
  <si>
    <t>TRISNO</t>
  </si>
  <si>
    <t>PURWODADI</t>
  </si>
  <si>
    <t>MEMORY</t>
  </si>
  <si>
    <t>BATANG</t>
  </si>
  <si>
    <t>INDOBARU</t>
  </si>
  <si>
    <t>TEMANGGUNG</t>
  </si>
  <si>
    <t>BANJARAN PERMAI</t>
  </si>
  <si>
    <t>INDOFOTOCOPY</t>
  </si>
  <si>
    <t>PARAKAN</t>
  </si>
  <si>
    <t>IVONE</t>
  </si>
  <si>
    <t>N 1637</t>
  </si>
  <si>
    <t>BUMIAYU</t>
  </si>
  <si>
    <t>MEGARIA</t>
  </si>
  <si>
    <t>N 1638</t>
  </si>
  <si>
    <t>KO 4347 4319 4321</t>
  </si>
  <si>
    <t>LANCAR</t>
  </si>
  <si>
    <t>G 1639</t>
  </si>
  <si>
    <t>ACHFI</t>
  </si>
  <si>
    <t>BRUK MENCENG</t>
  </si>
  <si>
    <t>PURBALINGGA</t>
  </si>
  <si>
    <t>ANEKA SISWA BARU</t>
  </si>
  <si>
    <t>G 1666 1667</t>
  </si>
  <si>
    <t>SIDU</t>
  </si>
  <si>
    <t>BAROKAH SWALAYAN</t>
  </si>
  <si>
    <t>SLAWI</t>
  </si>
  <si>
    <t>KO 1663 1670</t>
  </si>
  <si>
    <t>KONDANG</t>
  </si>
  <si>
    <t>DWI JAYA</t>
  </si>
  <si>
    <t>MAGELANG</t>
  </si>
  <si>
    <t>TEJO MULYO</t>
  </si>
  <si>
    <t>KO 1654 1650 1751</t>
  </si>
  <si>
    <t>KO 1613 1630 1672</t>
  </si>
  <si>
    <t>HT JAYA</t>
  </si>
  <si>
    <t>JUWANA</t>
  </si>
  <si>
    <t>KO 1653 1649 1676</t>
  </si>
  <si>
    <t>KO 1678</t>
  </si>
  <si>
    <t>RAKYAT</t>
  </si>
  <si>
    <t>KO 1682</t>
  </si>
  <si>
    <t>SALIKAH</t>
  </si>
  <si>
    <t>PRESTASI</t>
  </si>
  <si>
    <t>PUAS</t>
  </si>
  <si>
    <t>PATI</t>
  </si>
  <si>
    <t>G 1755</t>
  </si>
  <si>
    <t>SURYA</t>
  </si>
  <si>
    <t>KUDUS</t>
  </si>
  <si>
    <t>G 1756</t>
  </si>
  <si>
    <t>INDRASARI</t>
  </si>
  <si>
    <t>MRANGGEN</t>
  </si>
  <si>
    <t>MERPATI</t>
  </si>
  <si>
    <t>LARIS BARU</t>
  </si>
  <si>
    <t>AJIBARANG</t>
  </si>
  <si>
    <t>KO 1617 1645 1687</t>
  </si>
  <si>
    <t>KO 1647 1688</t>
  </si>
  <si>
    <t>KO 1636 1641 1689</t>
  </si>
  <si>
    <t>A R</t>
  </si>
  <si>
    <t>G 1690</t>
  </si>
  <si>
    <t>N 1686 1691</t>
  </si>
  <si>
    <t>G 1692</t>
  </si>
  <si>
    <t>SAHID</t>
  </si>
  <si>
    <t>KO 1694</t>
  </si>
  <si>
    <t>KO 1627 1673 1696</t>
  </si>
  <si>
    <t>KUTOARJO</t>
  </si>
  <si>
    <t>KO 1619 1761</t>
  </si>
  <si>
    <t>G 1675 1762</t>
  </si>
  <si>
    <t>MUBAROK</t>
  </si>
  <si>
    <t>AMY</t>
  </si>
  <si>
    <t>G 1764</t>
  </si>
  <si>
    <t>KARANGAWEN</t>
  </si>
  <si>
    <t>MITRA KAMPUS</t>
  </si>
  <si>
    <t>MERDEKA</t>
  </si>
  <si>
    <t>BOYOLALI</t>
  </si>
  <si>
    <t>HARKAT</t>
  </si>
  <si>
    <t>G 1769</t>
  </si>
  <si>
    <t>TEMMY</t>
  </si>
  <si>
    <t>G 1770</t>
  </si>
  <si>
    <t>REMAJA</t>
  </si>
  <si>
    <t>RINGAN</t>
  </si>
  <si>
    <t>KO 1655 1665 1700</t>
  </si>
  <si>
    <t>N 1771</t>
  </si>
  <si>
    <t>AL HAMIDI</t>
  </si>
  <si>
    <t>JEPARA</t>
  </si>
  <si>
    <t>MAKRO</t>
  </si>
  <si>
    <t>WANGON</t>
  </si>
  <si>
    <t>CAHAYA BUSUR</t>
  </si>
  <si>
    <t>G 1775</t>
  </si>
  <si>
    <t>BOJONEGORO</t>
  </si>
  <si>
    <t>AL MIFTAH</t>
  </si>
  <si>
    <t>WONOGIRI</t>
  </si>
  <si>
    <t>KO 1603 1591 1777</t>
  </si>
  <si>
    <t>PUSTAKA BARU</t>
  </si>
  <si>
    <t>TUBAN</t>
  </si>
  <si>
    <t>WINARTI</t>
  </si>
  <si>
    <t>G 1783</t>
  </si>
  <si>
    <t>N 1784</t>
  </si>
  <si>
    <t>DUTA ILAHI</t>
  </si>
  <si>
    <t>LASEM</t>
  </si>
  <si>
    <t>G 1662 1757 1785</t>
  </si>
  <si>
    <t>KO 1760 1779 1729</t>
  </si>
  <si>
    <t>G 1768 1730</t>
  </si>
  <si>
    <t>KO 1664 1671 1732</t>
  </si>
  <si>
    <t>KO 1635 1752 1733</t>
  </si>
  <si>
    <t>KO 1772 1734</t>
  </si>
  <si>
    <t>KO 1626 1774 1736</t>
  </si>
  <si>
    <t>G 1766 1739</t>
  </si>
  <si>
    <t>G 1669 1741</t>
  </si>
  <si>
    <t>G 1746</t>
  </si>
  <si>
    <t>SASA</t>
  </si>
  <si>
    <t>G 1748</t>
  </si>
  <si>
    <t>PRIMA JAYA</t>
  </si>
  <si>
    <t>UNGARAN</t>
  </si>
  <si>
    <t>IHSAN</t>
  </si>
  <si>
    <t>N 1749</t>
  </si>
  <si>
    <t>AL FAIZ</t>
  </si>
  <si>
    <t>MADIUN</t>
  </si>
  <si>
    <t>G 1791</t>
  </si>
  <si>
    <t>BOBO</t>
  </si>
  <si>
    <t>KLATEN</t>
  </si>
  <si>
    <t>LIEZ</t>
  </si>
  <si>
    <t>G 1792</t>
  </si>
  <si>
    <t>KO 1592 1634 1793</t>
  </si>
  <si>
    <t>G 1648 1795</t>
  </si>
  <si>
    <t>ERLANGGA</t>
  </si>
  <si>
    <t>G 1796</t>
  </si>
  <si>
    <t>KO 1797</t>
  </si>
  <si>
    <t>AM 22010151</t>
  </si>
  <si>
    <t>AM 22010152</t>
  </si>
  <si>
    <t>AM 22010153</t>
  </si>
  <si>
    <t>AM 22010154</t>
  </si>
  <si>
    <t>AM 22010155</t>
  </si>
  <si>
    <t>AM 22010156</t>
  </si>
  <si>
    <t>AM 22010157</t>
  </si>
  <si>
    <t>AM 22010158</t>
  </si>
  <si>
    <t>AM 22010159</t>
  </si>
  <si>
    <t>AM 22010160</t>
  </si>
  <si>
    <t>AM 22010161</t>
  </si>
  <si>
    <t>AM 22010162</t>
  </si>
  <si>
    <t>AM 22010163</t>
  </si>
  <si>
    <t>AM 22010164</t>
  </si>
  <si>
    <t>AM 22010165</t>
  </si>
  <si>
    <t>AM 22010166</t>
  </si>
  <si>
    <t>AM 22010167</t>
  </si>
  <si>
    <t>AM 22010168</t>
  </si>
  <si>
    <t>AM 22010169</t>
  </si>
  <si>
    <t>AM 22010170</t>
  </si>
  <si>
    <t>AM 22010171</t>
  </si>
  <si>
    <t>AM 22010172</t>
  </si>
  <si>
    <t>AM 22010173</t>
  </si>
  <si>
    <t>AM 22010174</t>
  </si>
  <si>
    <t>AM 22010175</t>
  </si>
  <si>
    <t>AM 22010176</t>
  </si>
  <si>
    <t>AM 22010177</t>
  </si>
  <si>
    <t>AM 22010178</t>
  </si>
  <si>
    <t>AM 22010179</t>
  </si>
  <si>
    <t>AM 22010180</t>
  </si>
  <si>
    <t>AM 22010181</t>
  </si>
  <si>
    <t>AM 22010182</t>
  </si>
  <si>
    <t>AM 22010183</t>
  </si>
  <si>
    <t>AM 22010184</t>
  </si>
  <si>
    <t>AM 22010185</t>
  </si>
  <si>
    <t>AM 22010186</t>
  </si>
  <si>
    <t>AM 22010187</t>
  </si>
  <si>
    <t>AM 22010188</t>
  </si>
  <si>
    <t>AM 22010189</t>
  </si>
  <si>
    <t>AM 22010190</t>
  </si>
  <si>
    <t>AM 22010191</t>
  </si>
  <si>
    <t>AM 22010192</t>
  </si>
  <si>
    <t>AM 22010193</t>
  </si>
  <si>
    <t>N 1776 1852</t>
  </si>
  <si>
    <t>G 1754 1740 1859</t>
  </si>
  <si>
    <t>G 1763 1860</t>
  </si>
  <si>
    <t>KO 1616 1789 1861</t>
  </si>
  <si>
    <t>KO 1651 1674 1862</t>
  </si>
  <si>
    <t>KO 1788 1750 1863</t>
  </si>
  <si>
    <t>G 1866</t>
  </si>
  <si>
    <t>TRIO PLASA</t>
  </si>
  <si>
    <t>MENARA</t>
  </si>
  <si>
    <t>G 1867</t>
  </si>
  <si>
    <t>BLORA</t>
  </si>
  <si>
    <t>G 1868</t>
  </si>
  <si>
    <t>BAHTERA</t>
  </si>
  <si>
    <t>REJEKI (WINDA)</t>
  </si>
  <si>
    <t>G 1869</t>
  </si>
  <si>
    <t>G 1870</t>
  </si>
  <si>
    <t>REJEKI (KYAI MOJO)</t>
  </si>
  <si>
    <t>G 1753 1800 1902</t>
  </si>
  <si>
    <t>KO 1904</t>
  </si>
  <si>
    <t>MURNI SPORT</t>
  </si>
  <si>
    <t>BESTOP</t>
  </si>
  <si>
    <t>G 1864</t>
  </si>
  <si>
    <t>KO 1747 1787 1871</t>
  </si>
  <si>
    <t>G 1872</t>
  </si>
  <si>
    <t>KURNIA</t>
  </si>
  <si>
    <t>BANTUL</t>
  </si>
  <si>
    <t>KO 1735 1865 1874</t>
  </si>
  <si>
    <t>KO 1798 1799 1877</t>
  </si>
  <si>
    <t>KO 1643 1679 1857</t>
  </si>
  <si>
    <t>BERKAH</t>
  </si>
  <si>
    <t>G 1878</t>
  </si>
  <si>
    <t>G 1623 1906</t>
  </si>
  <si>
    <t>N 1668 1738 1910</t>
  </si>
  <si>
    <t>G 1790 1912</t>
  </si>
  <si>
    <t>KO 1633 1699 1913</t>
  </si>
  <si>
    <t>G 1914</t>
  </si>
  <si>
    <t>ATLANTIK</t>
  </si>
  <si>
    <t>PONOROGO</t>
  </si>
  <si>
    <t>KO 1903 1905 1879</t>
  </si>
  <si>
    <t>METRO JAYA</t>
  </si>
  <si>
    <t>KROYA</t>
  </si>
  <si>
    <t>ARUM BARU 2</t>
  </si>
  <si>
    <t>G 1885</t>
  </si>
  <si>
    <t>KO 1886</t>
  </si>
  <si>
    <t>PANTES</t>
  </si>
  <si>
    <t>PRIMA</t>
  </si>
  <si>
    <t>KO 1888</t>
  </si>
  <si>
    <t>BARU CUTE</t>
  </si>
  <si>
    <t>G 1590 1680 1916</t>
  </si>
  <si>
    <t>KO 1773 1781 1919</t>
  </si>
  <si>
    <t>KO 1782 1731 1920</t>
  </si>
  <si>
    <t>KO 1908 1884 1922</t>
  </si>
  <si>
    <t>G 1858 1880 1923</t>
  </si>
  <si>
    <t>G 1925</t>
  </si>
  <si>
    <t>AGUNG JAYA</t>
  </si>
  <si>
    <t>G 1780 1737 1926</t>
  </si>
  <si>
    <t>N 1928</t>
  </si>
  <si>
    <t>MADONA</t>
  </si>
  <si>
    <t>KO 1794 1901 1929</t>
  </si>
  <si>
    <t>N 1640 1933</t>
  </si>
  <si>
    <t>KO 1934</t>
  </si>
  <si>
    <t>G 1894</t>
  </si>
  <si>
    <t>AULIA</t>
  </si>
  <si>
    <t>CARUBAN</t>
  </si>
  <si>
    <t>KO 1924 1895</t>
  </si>
  <si>
    <t>EKARIA</t>
  </si>
  <si>
    <t>KO 1918 1889 1900</t>
  </si>
  <si>
    <t>G 1881</t>
  </si>
  <si>
    <t>KO 1937</t>
  </si>
  <si>
    <t>010.002-22.82101765</t>
  </si>
  <si>
    <t>010.002-22.82101766</t>
  </si>
  <si>
    <t>010.002-22.82101829</t>
  </si>
  <si>
    <t>010.002-22.82101830</t>
  </si>
  <si>
    <t>010.002-22.82101831</t>
  </si>
  <si>
    <t>010.002-22.82101996</t>
  </si>
  <si>
    <t>010.002-22.82102224</t>
  </si>
  <si>
    <t>010.002-22.82102256</t>
  </si>
  <si>
    <t>010.002-22.82102257</t>
  </si>
  <si>
    <t>010.002-22.82102455</t>
  </si>
  <si>
    <t>010.002-22.82102711</t>
  </si>
  <si>
    <t>010.002-22.82102712</t>
  </si>
  <si>
    <t>010.002-22.82102713</t>
  </si>
  <si>
    <t>010.002-22.82103067</t>
  </si>
  <si>
    <t>010.002-22.82103208</t>
  </si>
  <si>
    <t>010.002-22.82103485</t>
  </si>
  <si>
    <t>SA220101441</t>
  </si>
  <si>
    <t>010.002-22.82103665</t>
  </si>
  <si>
    <t>SA220101483</t>
  </si>
  <si>
    <t>010.002-22.82103666</t>
  </si>
  <si>
    <t>SA220101484</t>
  </si>
  <si>
    <t>010.002-22.82103849</t>
  </si>
  <si>
    <t>SA220101527</t>
  </si>
  <si>
    <t>010.002-22.82104145</t>
  </si>
  <si>
    <t>SA220101635</t>
  </si>
  <si>
    <t>KO 1891 1896 1940</t>
  </si>
  <si>
    <t>N 1941</t>
  </si>
  <si>
    <t>DOREMI</t>
  </si>
  <si>
    <t>KO 1915 1890 1951</t>
  </si>
  <si>
    <t>KO 1952</t>
  </si>
  <si>
    <t>KO 1930 1954</t>
  </si>
  <si>
    <t>G 1697 1882 1943</t>
  </si>
  <si>
    <t>G 1944</t>
  </si>
  <si>
    <t>KO 1938 1945</t>
  </si>
  <si>
    <t>N 1767 1946</t>
  </si>
  <si>
    <t>N 1947</t>
  </si>
  <si>
    <t>TIRTA AYU</t>
  </si>
  <si>
    <t>KO 1948</t>
  </si>
  <si>
    <t>KADAR BUDHI</t>
  </si>
  <si>
    <t>KO 1646 1955</t>
  </si>
  <si>
    <t>KO 1956</t>
  </si>
  <si>
    <t>G 1684 1909 1957</t>
  </si>
  <si>
    <t>KO 1656 1959</t>
  </si>
  <si>
    <t>KO 1939 1961</t>
  </si>
  <si>
    <t>KO 1873 1963</t>
  </si>
  <si>
    <t>KO 1964</t>
  </si>
  <si>
    <t>IKA</t>
  </si>
  <si>
    <t>G 1965</t>
  </si>
  <si>
    <t>LANTIKYA</t>
  </si>
  <si>
    <t>KO 1966</t>
  </si>
  <si>
    <t>KO 1898 1969</t>
  </si>
  <si>
    <t>G 1887 1971</t>
  </si>
  <si>
    <t>KO 1657 1856 1972</t>
  </si>
  <si>
    <t>KO 1883 1927 1973</t>
  </si>
  <si>
    <t>G 1974 1975</t>
  </si>
  <si>
    <t>N 1976</t>
  </si>
  <si>
    <t>PENAMAS</t>
  </si>
  <si>
    <t>KO 4349 4345 4401</t>
  </si>
  <si>
    <t>KO 4322 4326 4406</t>
  </si>
  <si>
    <t>KO 3099 4402 4410</t>
  </si>
  <si>
    <t>KO 4323 4404 4413</t>
  </si>
  <si>
    <t>KO 4414 4407 4411</t>
  </si>
  <si>
    <t>KO 4415 4405 4408</t>
  </si>
  <si>
    <t>KO 4416 4419 4420</t>
  </si>
  <si>
    <t>KO 4421</t>
  </si>
  <si>
    <t>DIAN ILMU</t>
  </si>
  <si>
    <t>KO 4418 4423 4424</t>
  </si>
  <si>
    <t>SCORPIO</t>
  </si>
  <si>
    <t>KO 4425 4403 4409</t>
  </si>
  <si>
    <t>KO 4429</t>
  </si>
  <si>
    <t>KO 4348 4350 4430</t>
  </si>
  <si>
    <t>KO 4422 4427 4431</t>
  </si>
  <si>
    <t>KO 4428 4432</t>
  </si>
  <si>
    <t>KO 4426 4433</t>
  </si>
  <si>
    <t>KO 4001</t>
  </si>
  <si>
    <t>RITA</t>
  </si>
  <si>
    <t>MIDANGAN</t>
  </si>
  <si>
    <t>N 4003</t>
  </si>
  <si>
    <t>BANJARNEGARA</t>
  </si>
  <si>
    <t>KO 4013</t>
  </si>
  <si>
    <t>FOTOCOPY STOCK MINGGUAN</t>
  </si>
  <si>
    <t>GANTI DINAMO STARTER H 8308 HA</t>
  </si>
  <si>
    <t>TAMBAL BAN</t>
  </si>
  <si>
    <t>SOLAR H 8385 AQ</t>
  </si>
  <si>
    <t>BPJS BADAN USAHA</t>
  </si>
  <si>
    <t>SOLAR H 8308 HA</t>
  </si>
  <si>
    <t>KARDUS PACKING</t>
  </si>
  <si>
    <t>AIR MINUM GALON ISI ULANG</t>
  </si>
  <si>
    <t>SOLAR H 1240 IH</t>
  </si>
  <si>
    <t>PELUNASAN SERVICE KARTIKA</t>
  </si>
  <si>
    <t>- 001614 | 27/12/2021 | H 9425 QW</t>
  </si>
  <si>
    <t>BBM JENSET</t>
  </si>
  <si>
    <t>PLASTIK PACKING</t>
  </si>
  <si>
    <t>PERBAIKAN MOBIL H 1240 IH</t>
  </si>
  <si>
    <t>OBAT-OBATAN P3K</t>
  </si>
  <si>
    <t>PEMBELIAN BAN/RODA BARU</t>
  </si>
  <si>
    <t>AIR MINERAL CUP/GELAS</t>
  </si>
  <si>
    <t>SOLAR H 1745 H</t>
  </si>
  <si>
    <t>PAJAK STNK TAHUNAN H 5458 AS</t>
  </si>
  <si>
    <t>PULSA HP KANTOR</t>
  </si>
  <si>
    <t>ISI KARTU TOL</t>
  </si>
  <si>
    <t>TOKEN PLN PRABAYAR 523030124422</t>
  </si>
  <si>
    <t>MESIN KLEM / ALAT PACKING</t>
  </si>
  <si>
    <t>PELUNASAN SERVICE KUDA MAS</t>
  </si>
  <si>
    <t>- 001460 | 03/01/2022 | H 8308 HA</t>
  </si>
  <si>
    <t>TINTA PRINTER</t>
  </si>
  <si>
    <t>GANTI PEER MOBIL</t>
  </si>
  <si>
    <t>KAIN LAP PERCA</t>
  </si>
  <si>
    <t>SOLAR H 8366 CQ</t>
  </si>
  <si>
    <t>ONGKOS SALES (G) 23 - 25 NOV 2021</t>
  </si>
  <si>
    <t>ONGKOS SALES (G) 24 NOV - 04 DES 21</t>
  </si>
  <si>
    <t>ONGKOS SALES (G) 07 - 10 DES 2021</t>
  </si>
  <si>
    <t>ONGKOS SALES (G) 13 - 18 DES 2021</t>
  </si>
  <si>
    <t>ONGKOS SALES (G) 22 - 24 DES 2021</t>
  </si>
  <si>
    <t>ONGKOS SALES (G) 03 - 06 JAN 2022</t>
  </si>
  <si>
    <t>ONGKOS SALES (G) 11 - 15 JAN 2022</t>
  </si>
  <si>
    <t>ONGKOS SALES (G) 18 - 21 JAN 2022</t>
  </si>
  <si>
    <t>0009</t>
  </si>
  <si>
    <t>BUNGA GIRO</t>
  </si>
  <si>
    <t>0010</t>
  </si>
  <si>
    <t>PAJAK BUNGA GIRO</t>
  </si>
  <si>
    <t>0008</t>
  </si>
  <si>
    <t>BIAYA ADMINISTRASI</t>
  </si>
  <si>
    <t>5081</t>
  </si>
  <si>
    <t>LLG - 1</t>
  </si>
  <si>
    <t>0872467</t>
  </si>
  <si>
    <t>RTGS BCA JKT</t>
  </si>
  <si>
    <t>7921</t>
  </si>
  <si>
    <t>BEA MTR RK PER DES21 (AKHIR TAHUN)</t>
  </si>
  <si>
    <t>9531</t>
  </si>
  <si>
    <t>0001488</t>
  </si>
  <si>
    <t>TRF KR 360 38200</t>
  </si>
  <si>
    <t>2251</t>
  </si>
  <si>
    <t>F6815</t>
  </si>
  <si>
    <t>TRINITY CENTRAAL CV</t>
  </si>
  <si>
    <t>F6807</t>
  </si>
  <si>
    <t>dari SCN</t>
  </si>
  <si>
    <t>SINAR CAHAYA NIRMALA</t>
  </si>
  <si>
    <t>PEMBAYARAN KE PT KENKO SINAR INDONESIA JAKARTA</t>
  </si>
  <si>
    <t>PEMBAYARAN DARI CV TRINITY CENTRAAL PURWOKERTO</t>
  </si>
  <si>
    <t>PEMBAYARAN DARI CV SINAR CAHAYA NIRMALA BREBES</t>
  </si>
  <si>
    <t>F6794</t>
  </si>
  <si>
    <t>F6801</t>
  </si>
  <si>
    <t>F6804</t>
  </si>
  <si>
    <t>1011</t>
  </si>
  <si>
    <t>SETORAN TUNAI</t>
  </si>
  <si>
    <t>TRANSFER DANA JENNY RUSTIN W</t>
  </si>
  <si>
    <t>PEMBAYARAN DARI LILY JULIAWATI (REJO AGUNG) JOMBANG</t>
  </si>
  <si>
    <t>Dari SCN</t>
  </si>
  <si>
    <t>TRANSFER DANA TIARA CV</t>
  </si>
  <si>
    <t>PEMBAYARAN DARI CV TIARA SOLO</t>
  </si>
  <si>
    <t>9551</t>
  </si>
  <si>
    <t>0294713</t>
  </si>
  <si>
    <t>TRF KR 014 ROBIN SUSANTO</t>
  </si>
  <si>
    <t>PEMBAYARAN DARI ROBIN SUSANTO (HIDUP BARU) JOMBANG</t>
  </si>
  <si>
    <t>2151</t>
  </si>
  <si>
    <t>231032-BCA-SETORAN-KLIRING</t>
  </si>
  <si>
    <t>KO 4008</t>
  </si>
  <si>
    <t>N 1983</t>
  </si>
  <si>
    <t>G 4004</t>
  </si>
  <si>
    <t>08.529.177.1-602.000</t>
  </si>
  <si>
    <t>ROBIN SUSANTO ( HIDUP BARU )</t>
  </si>
  <si>
    <t>KO 4012</t>
  </si>
  <si>
    <t>KO 4016</t>
  </si>
  <si>
    <t>KO 1988</t>
  </si>
  <si>
    <t>KO 4020</t>
  </si>
  <si>
    <t>G 1990</t>
  </si>
  <si>
    <t>G 1991</t>
  </si>
  <si>
    <t>G 1993</t>
  </si>
  <si>
    <t>G 1995</t>
  </si>
  <si>
    <t>KO 2000</t>
  </si>
  <si>
    <t>G 4055</t>
  </si>
  <si>
    <t>KO 4058</t>
  </si>
  <si>
    <t>G 4028</t>
  </si>
  <si>
    <t>G 4071</t>
  </si>
  <si>
    <t>G 4073</t>
  </si>
  <si>
    <t>G 4085</t>
  </si>
  <si>
    <t>04.021.035.3-602.001</t>
  </si>
  <si>
    <t>KO 4089</t>
  </si>
  <si>
    <t>G 4100</t>
  </si>
  <si>
    <t>KO 4117 4118</t>
  </si>
  <si>
    <t>KO 4167</t>
  </si>
  <si>
    <t>KO 4120</t>
  </si>
  <si>
    <t>KO 4125</t>
  </si>
  <si>
    <t>KO 4130</t>
  </si>
  <si>
    <t>KO 4180</t>
  </si>
  <si>
    <t>KO 4190</t>
  </si>
  <si>
    <t>KO 4189</t>
  </si>
  <si>
    <t>KO 4199</t>
  </si>
  <si>
    <t>GAJI KARYAWAN HARIAN TETAP (PERIODE 17 - 29 JANUARI 2022)</t>
  </si>
  <si>
    <t>GAJI KARYAWAN HARIAN TETAP (PERIODE 07 - 19 FEBRUARI 2022)</t>
  </si>
  <si>
    <t>GAJI KARYAWAN HARIAN TETAP (PERIODE 31 JANUARI - 05 FEBRUARI 2022)</t>
  </si>
  <si>
    <t>INSENTIVE KARYAWAN MINGGUAN (PERIODE 31 JANUARI - 05 FEBRUARI 2022)</t>
  </si>
  <si>
    <t>INSENTIVE KARYAWAN MINGGUAN (PERIODE 07 - 12 FEBRUARI 2022)</t>
  </si>
  <si>
    <t>INSENTIVE KARYAWAN MINGGUAN (PERIODE 14 - 19 FEBRUARI 2022)</t>
  </si>
  <si>
    <t>INSENTIVE KARYAWAN MINGGUAN (PERIODE 21 - 26 FEBRUARI 2022)</t>
  </si>
  <si>
    <t>G 4251</t>
  </si>
  <si>
    <t>G 4153</t>
  </si>
  <si>
    <t>KO 4253</t>
  </si>
  <si>
    <t>KO 4206</t>
  </si>
  <si>
    <t>SURABAYA</t>
  </si>
  <si>
    <t>010.003-22.62942629</t>
  </si>
  <si>
    <t>010.003-22.62942630</t>
  </si>
  <si>
    <t>010.003-22.62942631</t>
  </si>
  <si>
    <t>010.003-22.62942632</t>
  </si>
  <si>
    <t>010.003-22.62942633</t>
  </si>
  <si>
    <t>010.003-22.62942634</t>
  </si>
  <si>
    <t>010.003-22.62942635</t>
  </si>
  <si>
    <t>010.003-22.62942636</t>
  </si>
  <si>
    <t>010.003-22.62942637</t>
  </si>
  <si>
    <t>010.003-22.62942638</t>
  </si>
  <si>
    <t>010.003-22.62942639</t>
  </si>
  <si>
    <t>010.003-22.62942640</t>
  </si>
  <si>
    <t>010.003-22.62942641</t>
  </si>
  <si>
    <t>010.003-22.62942642</t>
  </si>
  <si>
    <t>010.003-22.62942643</t>
  </si>
  <si>
    <t>010.003-22.62942644</t>
  </si>
  <si>
    <t>010.003-22.62942645</t>
  </si>
  <si>
    <t>010.003-22.62942646</t>
  </si>
  <si>
    <t>010.003-22.62942647</t>
  </si>
  <si>
    <t>010.003-22.62942648</t>
  </si>
  <si>
    <t>010.003-22.62942649</t>
  </si>
  <si>
    <t>010.003-22.62942650</t>
  </si>
  <si>
    <t>010.003-22.62942651</t>
  </si>
  <si>
    <t>010.003-22.62942652</t>
  </si>
  <si>
    <t>010.003-22.62942653</t>
  </si>
  <si>
    <t>010.003-22.62942654</t>
  </si>
  <si>
    <t>010.003-22.62942655</t>
  </si>
  <si>
    <t>010.003-22.62942656</t>
  </si>
  <si>
    <t>010.003-22.62942657</t>
  </si>
  <si>
    <t>010.003-22.62942658</t>
  </si>
  <si>
    <t>010.003-22.62942659</t>
  </si>
  <si>
    <t>G 4148</t>
  </si>
  <si>
    <t>G 4303</t>
  </si>
  <si>
    <t>KO 4306</t>
  </si>
  <si>
    <t>KO 4312</t>
  </si>
  <si>
    <t>G 4313</t>
  </si>
  <si>
    <t>KO 4314</t>
  </si>
  <si>
    <t>G 4316</t>
  </si>
  <si>
    <t>KO 4267</t>
  </si>
  <si>
    <t>KO 4322</t>
  </si>
  <si>
    <t>KO 4280</t>
  </si>
  <si>
    <t>KO 4278</t>
  </si>
  <si>
    <t>010.004-22.53776887</t>
  </si>
  <si>
    <t>010.004-22.53776888</t>
  </si>
  <si>
    <t>010.004-22.53776889</t>
  </si>
  <si>
    <t>010.004-22.53776890</t>
  </si>
  <si>
    <t>010.004-22.53776891</t>
  </si>
  <si>
    <t>010.004-22.53776892</t>
  </si>
  <si>
    <t>010.004-22.53776893</t>
  </si>
  <si>
    <t>010.004-22.53776894</t>
  </si>
  <si>
    <t>010.004-22.53776895</t>
  </si>
  <si>
    <t>010.004-22.53776896</t>
  </si>
  <si>
    <t>010.004-22.53776897</t>
  </si>
  <si>
    <t>010.004-22.53776898</t>
  </si>
  <si>
    <t>010.004-22.53776899</t>
  </si>
  <si>
    <t>010.004-22.53776900</t>
  </si>
  <si>
    <t>010.004-22.53776902</t>
  </si>
  <si>
    <t>010.004-22.53776903</t>
  </si>
  <si>
    <t>010.004-22.53776904</t>
  </si>
  <si>
    <t>010.004-22.53776905</t>
  </si>
  <si>
    <t>010.004-22.53776906</t>
  </si>
  <si>
    <t>010.004-22.53776907</t>
  </si>
  <si>
    <t>010.004-22.53776909</t>
  </si>
  <si>
    <t>010.004-22.53776910</t>
  </si>
  <si>
    <t>010.004-22.53776911</t>
  </si>
  <si>
    <t>010.004-22.53776912</t>
  </si>
  <si>
    <t>010.004-22.53776913</t>
  </si>
  <si>
    <t>010.004-22.53776914</t>
  </si>
  <si>
    <t>010.004-22.53776915</t>
  </si>
  <si>
    <t>010.004-22.53776916</t>
  </si>
  <si>
    <t>010.004-22.53776917</t>
  </si>
  <si>
    <t>010.004-22.53776918</t>
  </si>
  <si>
    <t>010.004-22.53776919</t>
  </si>
  <si>
    <t>010.004-22.53776920</t>
  </si>
  <si>
    <t>010.004-22.53776921</t>
  </si>
  <si>
    <t>010.004-22.53776922</t>
  </si>
  <si>
    <t>010.004-22.53776923</t>
  </si>
  <si>
    <t>010.004-22.53776924</t>
  </si>
  <si>
    <t>010.004-22.53776925</t>
  </si>
  <si>
    <t>010.004-22.53776926</t>
  </si>
  <si>
    <t>010.004-22.53776927</t>
  </si>
  <si>
    <t>KO 4284</t>
  </si>
  <si>
    <t>010.000-22.70366101</t>
  </si>
  <si>
    <t>010.000-22.70366197</t>
  </si>
  <si>
    <t>010.002-22.89162088</t>
  </si>
  <si>
    <t>SINV99-220200000294</t>
  </si>
  <si>
    <t>010.001-22.10694374</t>
  </si>
  <si>
    <t>010.002-22.82104442</t>
  </si>
  <si>
    <t>SA220201727</t>
  </si>
  <si>
    <t>010.002-22.82104712</t>
  </si>
  <si>
    <t>SA220201841</t>
  </si>
  <si>
    <t>010.002-22.82104713</t>
  </si>
  <si>
    <t>SA220201842</t>
  </si>
  <si>
    <t>010.002-22.82104714</t>
  </si>
  <si>
    <t>SA220201843</t>
  </si>
  <si>
    <t>010.002-22.82105441</t>
  </si>
  <si>
    <t>SA220202066</t>
  </si>
  <si>
    <t>010.002-22.82105648</t>
  </si>
  <si>
    <t>SA220202153</t>
  </si>
  <si>
    <t>010.002-22.82105838</t>
  </si>
  <si>
    <t>SA220202181</t>
  </si>
  <si>
    <t>010.002-22.82106130</t>
  </si>
  <si>
    <t>SA220202289</t>
  </si>
  <si>
    <t>010.002-22.82106403</t>
  </si>
  <si>
    <t>SA220202400</t>
  </si>
  <si>
    <t>010.002-22.82106404</t>
  </si>
  <si>
    <t>SA220202401</t>
  </si>
  <si>
    <t>010.001-22.12290412</t>
  </si>
  <si>
    <t>010.001-22.12290511</t>
  </si>
  <si>
    <t>010.001-22.12290512</t>
  </si>
  <si>
    <t>010.001-22.12290586</t>
  </si>
  <si>
    <t>010.001-22.12290812</t>
  </si>
  <si>
    <t>010.001-22.12290820</t>
  </si>
  <si>
    <t>010.001-22.12290835</t>
  </si>
  <si>
    <t>010.001-22.12290878</t>
  </si>
  <si>
    <t>010.001-22.12291189</t>
  </si>
  <si>
    <t>010.001-22.12291205</t>
  </si>
  <si>
    <t>010.001-22.12291534</t>
  </si>
  <si>
    <t>010.001-22.12291701</t>
  </si>
  <si>
    <t>010.001-22.12291723</t>
  </si>
  <si>
    <t>010.004-22.53776928</t>
  </si>
  <si>
    <t>010.004-22.53776929</t>
  </si>
  <si>
    <t>010.004-22.53776930</t>
  </si>
  <si>
    <t>010.004-22.53776931</t>
  </si>
  <si>
    <t>010.004-22.53776932</t>
  </si>
  <si>
    <t>010.004-22.53776933</t>
  </si>
  <si>
    <t>010.004-22.53776934</t>
  </si>
  <si>
    <t>010.004-22.53776935</t>
  </si>
  <si>
    <t>010.004-22.53776936</t>
  </si>
  <si>
    <t>010.004-22.53776937</t>
  </si>
  <si>
    <t>010.004-22.53776938</t>
  </si>
  <si>
    <t>010.004-22.53776939</t>
  </si>
  <si>
    <t>010.004-22.53776940</t>
  </si>
  <si>
    <t>010.004-22.53776941</t>
  </si>
  <si>
    <t>010.004-22.53776942</t>
  </si>
  <si>
    <t>010.004-22.53776943</t>
  </si>
  <si>
    <t>010.004-22.53776945</t>
  </si>
  <si>
    <t>010.004-22.53776946</t>
  </si>
  <si>
    <t>010.004-22.53776947</t>
  </si>
  <si>
    <t>010.004-22.53776948</t>
  </si>
  <si>
    <t>010.004-22.53776949</t>
  </si>
  <si>
    <t>010.004-22.53776950</t>
  </si>
  <si>
    <t>010.004-22.53776951</t>
  </si>
  <si>
    <t>010.004-22.53776952</t>
  </si>
  <si>
    <t>010.004-22.53776953</t>
  </si>
  <si>
    <t>010.004-22.53776954</t>
  </si>
  <si>
    <t>010.004-22.53776955</t>
  </si>
  <si>
    <t>010.004-22.53776956</t>
  </si>
  <si>
    <t>010.004-22.53776957</t>
  </si>
  <si>
    <t>010.004-22.53776958</t>
  </si>
  <si>
    <t>010.004-22.53776959</t>
  </si>
  <si>
    <t>010.004-22.53776960</t>
  </si>
  <si>
    <t>010.004-22.53776961</t>
  </si>
  <si>
    <t>010.004-22.53776962</t>
  </si>
  <si>
    <t>010.004-22.53776963</t>
  </si>
  <si>
    <t>010.004-22.53776964</t>
  </si>
  <si>
    <t>010.004-22.53776965</t>
  </si>
  <si>
    <t>010.004-22.53776966</t>
  </si>
  <si>
    <t>010.004-22.53776967</t>
  </si>
  <si>
    <t>010.004-22.53776968</t>
  </si>
  <si>
    <t>010.004-22.53776969</t>
  </si>
  <si>
    <t>010.004-22.53776970</t>
  </si>
  <si>
    <t>010.004-22.53776971</t>
  </si>
  <si>
    <t>010.004-22.53776972</t>
  </si>
  <si>
    <t>010.004-22.53776973</t>
  </si>
  <si>
    <t>010.004-22.53776974</t>
  </si>
  <si>
    <t>010.004-22.53776975</t>
  </si>
  <si>
    <t>010.004-22.53776976</t>
  </si>
  <si>
    <t>010.004-22.53776977</t>
  </si>
  <si>
    <t>010.004-22.53776978</t>
  </si>
  <si>
    <t>010.004-22.53776979</t>
  </si>
  <si>
    <t>010.004-22.53776980</t>
  </si>
  <si>
    <t>010.004-22.53776981</t>
  </si>
  <si>
    <t>010.004-22.53776982</t>
  </si>
  <si>
    <t>010.004-22.53776983</t>
  </si>
  <si>
    <t>010.004-22.53776984</t>
  </si>
  <si>
    <t>010.004-22.53776985</t>
  </si>
  <si>
    <t>010.004-22.53776986</t>
  </si>
  <si>
    <t>010.004-22.53776987</t>
  </si>
  <si>
    <t>010.004-22.53776988</t>
  </si>
  <si>
    <t>010.004-22.53776989</t>
  </si>
  <si>
    <t>010.004-22.53776990</t>
  </si>
  <si>
    <t>010.004-22.53776991</t>
  </si>
  <si>
    <t>010.004-22.53776992</t>
  </si>
  <si>
    <t>010.004-22.53776993</t>
  </si>
  <si>
    <t>010.004-22.53776995</t>
  </si>
  <si>
    <t>010.004-22.53777030</t>
  </si>
  <si>
    <t>010.004-22.53777031</t>
  </si>
  <si>
    <t>010.004-22.53777032</t>
  </si>
  <si>
    <t>010.004-22.53777033</t>
  </si>
  <si>
    <t>010.004-22.53777034</t>
  </si>
  <si>
    <t>010.004-22.53777035</t>
  </si>
  <si>
    <t>010.004-22.53777036</t>
  </si>
  <si>
    <t>010.004-22.53777037</t>
  </si>
  <si>
    <t>010.004-22.53777038</t>
  </si>
  <si>
    <t>010.004-22.53777039</t>
  </si>
  <si>
    <t>010.004-22.53777040</t>
  </si>
  <si>
    <t>010.004-22.53777041</t>
  </si>
  <si>
    <t>010.004-22.53777042</t>
  </si>
  <si>
    <t>010.004-22.53777043</t>
  </si>
  <si>
    <t>010.004-22.53777044</t>
  </si>
  <si>
    <t>010.004-22.53777045</t>
  </si>
  <si>
    <t>010.004-22.53777046</t>
  </si>
  <si>
    <t>010.004-22.53777047</t>
  </si>
  <si>
    <t>010.004-22.53777048</t>
  </si>
  <si>
    <t>010.004-22.53777049</t>
  </si>
  <si>
    <t>010.004-22.53777050</t>
  </si>
  <si>
    <t>010.004-22.53777051</t>
  </si>
  <si>
    <t>010.001-22.12291832</t>
  </si>
  <si>
    <t>010.001-22.12291895</t>
  </si>
  <si>
    <t>010.001-22.12292002</t>
  </si>
  <si>
    <t>010.001-22.12292021</t>
  </si>
  <si>
    <t>010.001-22.12292094</t>
  </si>
  <si>
    <t>010.001-22.12292155</t>
  </si>
  <si>
    <t>010.001-22.12292261</t>
  </si>
  <si>
    <t>010.000-22.48605781</t>
  </si>
  <si>
    <t>SN22020266</t>
  </si>
  <si>
    <t>010.000-22.48605819</t>
  </si>
  <si>
    <t>SN22020308</t>
  </si>
  <si>
    <t>G 4337</t>
  </si>
  <si>
    <t>KO 4455</t>
  </si>
  <si>
    <t>KO 4457</t>
  </si>
  <si>
    <t>SA220202630</t>
  </si>
  <si>
    <t>SA220202662</t>
  </si>
  <si>
    <t>SA220202821</t>
  </si>
  <si>
    <t>SA220202822</t>
  </si>
  <si>
    <t>SA220202842</t>
  </si>
  <si>
    <t>SA220202912</t>
  </si>
  <si>
    <t>SA220202933</t>
  </si>
  <si>
    <t>JUB015/22</t>
  </si>
  <si>
    <t>JUB161/22</t>
  </si>
  <si>
    <t>L202021</t>
  </si>
  <si>
    <t>L202041</t>
  </si>
  <si>
    <t>LMA 2022-02-106</t>
  </si>
  <si>
    <t>010.001-22.10694412</t>
  </si>
  <si>
    <t>KO 4347</t>
  </si>
  <si>
    <t>(INTAN)</t>
  </si>
  <si>
    <t>HIPPO</t>
  </si>
  <si>
    <t>MAGETAN</t>
  </si>
  <si>
    <t>G 4007</t>
  </si>
  <si>
    <t>SISWA BARU</t>
  </si>
  <si>
    <t>KO 4009</t>
  </si>
  <si>
    <t>KO 1978</t>
  </si>
  <si>
    <t>KO 4404</t>
  </si>
  <si>
    <t>010.002-22.82107129</t>
  </si>
  <si>
    <t>010.002-22.82107324</t>
  </si>
  <si>
    <t>010.002-22.82107697</t>
  </si>
  <si>
    <t>010.002-22.82107698</t>
  </si>
  <si>
    <t>010.002-22.82107718</t>
  </si>
  <si>
    <t>010.002-22.82107818</t>
  </si>
  <si>
    <t>SA220202859</t>
  </si>
  <si>
    <t>010.002-22.82107986</t>
  </si>
  <si>
    <t>010.002-22.82108007</t>
  </si>
  <si>
    <t>010.002-22.82108168</t>
  </si>
  <si>
    <t>SA220202983</t>
  </si>
  <si>
    <t>010.002-22.82108528</t>
  </si>
  <si>
    <t>SA220203094</t>
  </si>
  <si>
    <t>KO 4407</t>
  </si>
  <si>
    <t>N 1979</t>
  </si>
  <si>
    <t>AMIN</t>
  </si>
  <si>
    <t>SRAGEN</t>
  </si>
  <si>
    <t>NAJIH</t>
  </si>
  <si>
    <t>G 1984</t>
  </si>
  <si>
    <t>SISWA CEMERLANG</t>
  </si>
  <si>
    <t>N 4014</t>
  </si>
  <si>
    <t>PUTRA MURIA</t>
  </si>
  <si>
    <t>N 4015</t>
  </si>
  <si>
    <t>N 4018</t>
  </si>
  <si>
    <t>G 4019</t>
  </si>
  <si>
    <t>PUSPITA</t>
  </si>
  <si>
    <t>KARTOSURO</t>
  </si>
  <si>
    <t>G 1986</t>
  </si>
  <si>
    <t>SAMI LARIS</t>
  </si>
  <si>
    <t>KO 1987</t>
  </si>
  <si>
    <t>KO 4468</t>
  </si>
  <si>
    <t>G 4022</t>
  </si>
  <si>
    <t>AF TOYS</t>
  </si>
  <si>
    <t>G 4023</t>
  </si>
  <si>
    <t>ROYYAN</t>
  </si>
  <si>
    <t>G 4051</t>
  </si>
  <si>
    <t>G 4053</t>
  </si>
  <si>
    <t>KO 1977 4017 4054</t>
  </si>
  <si>
    <t>G 4348</t>
  </si>
  <si>
    <t>KO 4472</t>
  </si>
  <si>
    <t>G 4005 4061</t>
  </si>
  <si>
    <t>G 4062</t>
  </si>
  <si>
    <t>G 4006 4063</t>
  </si>
  <si>
    <t>D R</t>
  </si>
  <si>
    <t>ARTHA JAYA</t>
  </si>
  <si>
    <t>N 4067</t>
  </si>
  <si>
    <t>KO 4068</t>
  </si>
  <si>
    <t>KO 4010 1989 4024</t>
  </si>
  <si>
    <t>N 4025</t>
  </si>
  <si>
    <t>MANGGALAM</t>
  </si>
  <si>
    <t>SUKOHARJO</t>
  </si>
  <si>
    <t>G 4031</t>
  </si>
  <si>
    <t>WIJAYA SIDOMUKTI</t>
  </si>
  <si>
    <t>KO 1982 4027 4075</t>
  </si>
  <si>
    <t>N 4077</t>
  </si>
  <si>
    <t>DHIAN</t>
  </si>
  <si>
    <t>N 4033</t>
  </si>
  <si>
    <t>MELATI</t>
  </si>
  <si>
    <t>MAHKOTA</t>
  </si>
  <si>
    <t>G 4080</t>
  </si>
  <si>
    <t>NABILA</t>
  </si>
  <si>
    <t>RATNA KERTAS</t>
  </si>
  <si>
    <t>N 4036 4037</t>
  </si>
  <si>
    <t>G 4038</t>
  </si>
  <si>
    <t>G 4039</t>
  </si>
  <si>
    <t>NIKI SAE</t>
  </si>
  <si>
    <t>KO 4011 1999 4088</t>
  </si>
  <si>
    <t>N 4040</t>
  </si>
  <si>
    <t>KO 1998 4041</t>
  </si>
  <si>
    <t>KO 4042</t>
  </si>
  <si>
    <t>METRO</t>
  </si>
  <si>
    <t>N 4044</t>
  </si>
  <si>
    <t>KO 4476</t>
  </si>
  <si>
    <t>POJOK BLAURAN</t>
  </si>
  <si>
    <t>N 4045 4091</t>
  </si>
  <si>
    <t>KO 4046</t>
  </si>
  <si>
    <t>G 4057 4049 4050</t>
  </si>
  <si>
    <t>KO 4445</t>
  </si>
  <si>
    <t>PERTIWI</t>
  </si>
  <si>
    <t>LAWANG</t>
  </si>
  <si>
    <t>KO 4436 4439 4448</t>
  </si>
  <si>
    <t>KO 4093</t>
  </si>
  <si>
    <t>KO 1998 4083 4095</t>
  </si>
  <si>
    <t>KO 1981 4029 4099</t>
  </si>
  <si>
    <t>G 4081 4154</t>
  </si>
  <si>
    <t>KO 4104</t>
  </si>
  <si>
    <t>GANESHA</t>
  </si>
  <si>
    <t>N 4108 4109</t>
  </si>
  <si>
    <t>MITRA</t>
  </si>
  <si>
    <t>G 4082 4111</t>
  </si>
  <si>
    <t>G 4156</t>
  </si>
  <si>
    <t>KO 4113</t>
  </si>
  <si>
    <t>WIJAYA KUSUMA</t>
  </si>
  <si>
    <t>SLEMAN</t>
  </si>
  <si>
    <t>G 4114</t>
  </si>
  <si>
    <t>G 4158</t>
  </si>
  <si>
    <t>SARJI</t>
  </si>
  <si>
    <t>G 4159</t>
  </si>
  <si>
    <t>MAKMUR JAYA</t>
  </si>
  <si>
    <t>G 4021 4098 4115</t>
  </si>
  <si>
    <t>G 4030 4076 4116</t>
  </si>
  <si>
    <t>N 4119</t>
  </si>
  <si>
    <t>HOKY</t>
  </si>
  <si>
    <t>GOMBONG</t>
  </si>
  <si>
    <t>KO 4121</t>
  </si>
  <si>
    <t>PROGO</t>
  </si>
  <si>
    <t>KO 4059 4105 4122</t>
  </si>
  <si>
    <t>KO 4079 4096 4160</t>
  </si>
  <si>
    <t>G 4161</t>
  </si>
  <si>
    <t>G 4056 4103 4162</t>
  </si>
  <si>
    <t>KO 4064 4157 4166</t>
  </si>
  <si>
    <t>KO 1994 4102 4168</t>
  </si>
  <si>
    <t>KO 4026 4110 4169</t>
  </si>
  <si>
    <t>KO 1985 4035 4170</t>
  </si>
  <si>
    <t>N 4065 4171</t>
  </si>
  <si>
    <t>G 4172</t>
  </si>
  <si>
    <t>N 1980 4123</t>
  </si>
  <si>
    <t>G 4126 4127</t>
  </si>
  <si>
    <t>TALENTA</t>
  </si>
  <si>
    <t>KO 4165 4128</t>
  </si>
  <si>
    <t>G 4483</t>
  </si>
  <si>
    <t>AM 22020151</t>
  </si>
  <si>
    <t>AM 22020152</t>
  </si>
  <si>
    <t>AM 22020153</t>
  </si>
  <si>
    <t>AM 22020154</t>
  </si>
  <si>
    <t>AM 22020155</t>
  </si>
  <si>
    <t>AM 22020156</t>
  </si>
  <si>
    <t>AM 22020157</t>
  </si>
  <si>
    <t>AM 22020158</t>
  </si>
  <si>
    <t>KO 4002 4072 4129</t>
  </si>
  <si>
    <t>G 4131</t>
  </si>
  <si>
    <t>G 4060 4132</t>
  </si>
  <si>
    <t>N 4090 4047 4133</t>
  </si>
  <si>
    <t>KO 4032 4173</t>
  </si>
  <si>
    <t>KO 4094 4155 4174</t>
  </si>
  <si>
    <t>G 4163 4175</t>
  </si>
  <si>
    <t>KO 4092 4151 4176</t>
  </si>
  <si>
    <t>N 4066 4178</t>
  </si>
  <si>
    <t>KO 4181</t>
  </si>
  <si>
    <t>G 4043 4048 4182</t>
  </si>
  <si>
    <t>KO 4052 4112 4183</t>
  </si>
  <si>
    <t>KO 4184</t>
  </si>
  <si>
    <t>KO 4101 4185</t>
  </si>
  <si>
    <t>KO 4187</t>
  </si>
  <si>
    <t>KO 4188</t>
  </si>
  <si>
    <t>KO 4034 4086 4192</t>
  </si>
  <si>
    <t>KO 4193</t>
  </si>
  <si>
    <t>BIMA</t>
  </si>
  <si>
    <t>N 4078 4194</t>
  </si>
  <si>
    <t>G 4195</t>
  </si>
  <si>
    <t>N 4134</t>
  </si>
  <si>
    <t>HOSANA</t>
  </si>
  <si>
    <t>KO 4135</t>
  </si>
  <si>
    <t>G 4136</t>
  </si>
  <si>
    <t>MUGI</t>
  </si>
  <si>
    <t>KO 4197</t>
  </si>
  <si>
    <t>G 4198</t>
  </si>
  <si>
    <t>SINAR BHAKTI</t>
  </si>
  <si>
    <t>KO 4179 4139</t>
  </si>
  <si>
    <t>G 4140</t>
  </si>
  <si>
    <t>G 4141</t>
  </si>
  <si>
    <t>ANDI STAR</t>
  </si>
  <si>
    <t>PUKAT MAS</t>
  </si>
  <si>
    <t>AMBARAWA</t>
  </si>
  <si>
    <t>KO 4164 4124 4252</t>
  </si>
  <si>
    <t>G 1997 4074 4254</t>
  </si>
  <si>
    <t>KO 4097 4137 4255</t>
  </si>
  <si>
    <t>KO 4069 4087 4256</t>
  </si>
  <si>
    <t>KO 4070 4257</t>
  </si>
  <si>
    <t>TRIO PLAZA</t>
  </si>
  <si>
    <t>G 4258 4259</t>
  </si>
  <si>
    <t>010.001-22.96813872</t>
  </si>
  <si>
    <t>KO 4446 4201</t>
  </si>
  <si>
    <t>KO 4442 4450 4203</t>
  </si>
  <si>
    <t>SAHABAT BARU</t>
  </si>
  <si>
    <t>KO 3242 3207 3208</t>
  </si>
  <si>
    <t>KO 3243</t>
  </si>
  <si>
    <t>KO 4488</t>
  </si>
  <si>
    <t>KO 4202 4204 1811</t>
  </si>
  <si>
    <t>KO 4449 1809 1814</t>
  </si>
  <si>
    <t>KO 1818 1801 1810</t>
  </si>
  <si>
    <t>KO 1819</t>
  </si>
  <si>
    <t>KO 1820</t>
  </si>
  <si>
    <t>KO 1821 1805 1822</t>
  </si>
  <si>
    <t>KO 4435 1823</t>
  </si>
  <si>
    <t>BATU/SINGOSARI</t>
  </si>
  <si>
    <t>KO 4443</t>
  </si>
  <si>
    <t>KO 4441 1802 4447</t>
  </si>
  <si>
    <t>KO 4444</t>
  </si>
  <si>
    <t>KO 4438 1803 1806</t>
  </si>
  <si>
    <t>KO 4437</t>
  </si>
  <si>
    <t>KO 4434 1812 4440</t>
  </si>
  <si>
    <t>KO 1813 1817</t>
  </si>
  <si>
    <t>KO 3211 3212 3213</t>
  </si>
  <si>
    <t>KO 3214 -3218</t>
  </si>
  <si>
    <t>KO 3209 3210 3219</t>
  </si>
  <si>
    <t>KO 3220 - 3223</t>
  </si>
  <si>
    <t>KO 4430</t>
  </si>
  <si>
    <t>KO 4359</t>
  </si>
  <si>
    <t>KO 4371</t>
  </si>
  <si>
    <t>ONGKOS SALES (N) 07 - 09 SEP 2021</t>
  </si>
  <si>
    <t>ONGKOS SALES (N) 05 - 08 OKT 2021</t>
  </si>
  <si>
    <t>ONGKOS SALES (N) 30 SEP - 02 OKT 2021</t>
  </si>
  <si>
    <t>ONGKOS SALES (N) 20 - 22 OKT 2021</t>
  </si>
  <si>
    <t>ONGKOS SALES (N) 26 - 27 OKT 2021</t>
  </si>
  <si>
    <t>ONGKOS SALES (N) 02 - 04 NOV 2021</t>
  </si>
  <si>
    <t>ONGKOS SALES (N) 09 - 11 NOV 2021</t>
  </si>
  <si>
    <t>ONGKOS SALES (N) 16 - 19 NOV 2021</t>
  </si>
  <si>
    <t>ONGKOS SALES (N) 23 - 26 NOV 2021</t>
  </si>
  <si>
    <t>ONGKOS SALES (N) 14 - 17 DES 2021</t>
  </si>
  <si>
    <t>ONGKOS SALES (N) 21 - 23 DES 2021</t>
  </si>
  <si>
    <t>ONGKOS SALES (N) 28 - 30 DES 2021</t>
  </si>
  <si>
    <t>ONGKOS SALES (N) 04 - 07 JAN 2021</t>
  </si>
  <si>
    <t>TELEPON (TELKOM) 024 6584066</t>
  </si>
  <si>
    <t>INTERNET (INDIHOME) 0141424117770</t>
  </si>
  <si>
    <t>SERVICE H 8308 HA</t>
  </si>
  <si>
    <t>SERVICE H 1745 H</t>
  </si>
  <si>
    <t>BAND TAPE</t>
  </si>
  <si>
    <t>KIER H 1745 H</t>
  </si>
  <si>
    <t>PARKIR BULANAN LIK</t>
  </si>
  <si>
    <t>KB-KB TOKO RAMAI</t>
  </si>
  <si>
    <t>- 001659 | 02/02/2022 | H 8427 DP</t>
  </si>
  <si>
    <t>- 001663 | 02/02/2022 | H 9059 FH</t>
  </si>
  <si>
    <t>- 001680 | 05/02/2022 | H 1745 H</t>
  </si>
  <si>
    <t>LAMPU GUDANG</t>
  </si>
  <si>
    <t>GANTI ACCU</t>
  </si>
  <si>
    <t>TALI RAFIA</t>
  </si>
  <si>
    <t>LAP KAIN PERCA</t>
  </si>
  <si>
    <t>TRANSFER DANA UTAMA PUTRA CV</t>
  </si>
  <si>
    <t>0872469</t>
  </si>
  <si>
    <t>KU BCA JKT</t>
  </si>
  <si>
    <t>01 FEB 2022 s/d 01 MAR 2022</t>
  </si>
  <si>
    <t>TRANSFER DANA TRINITY CENTRAAL</t>
  </si>
  <si>
    <t>TRANSFER DANA RAINBOW NUSANTARA</t>
  </si>
  <si>
    <t>0872468</t>
  </si>
  <si>
    <t>231040-BCA-SETORAN KLIRING</t>
  </si>
  <si>
    <t>785136-BANK DANAMON-SETORAN KLIRING</t>
  </si>
  <si>
    <t>PEMBAYARAN DARI CV RAINBOW NUSANTARA SURABAYA</t>
  </si>
  <si>
    <t>PEMBAYARAN DARI CV UTAMA PUTRA TULUNG AGUNG</t>
  </si>
  <si>
    <t>ONGKOS SALES (G) 24 - 29 JAN 2022</t>
  </si>
  <si>
    <t>ONGKOS SALES (G) 03 - 05 FEB 2022</t>
  </si>
  <si>
    <t>KO 4377</t>
  </si>
  <si>
    <t>KO 4378</t>
  </si>
  <si>
    <t>INSENTIVE KARYAWAN MINGGUAN (PERIODE 01 - 05 MARET 2022)</t>
  </si>
  <si>
    <t>GAJI KARYAWAN HARIAN TETAP (PERIODE 21 FEB - 05 MAR 2022)</t>
  </si>
  <si>
    <t>INSENTIVE KARYAWAN MINGGUAN (PERIODE 07 - 12 MARET 2022)</t>
  </si>
  <si>
    <t>GAJI KARYAWAN HARIAN TETAP (PERIODE 07 - 19 MARET 2022)</t>
  </si>
  <si>
    <t>INSENTIVE KARYAWAN MINGGUAN (PERIODE 14 - 19 MARET 2022)</t>
  </si>
  <si>
    <t>INSENTIVE KARYAWAN MINGGUAN (PERIODE 21 - 26 MARET 2022)</t>
  </si>
  <si>
    <t>GAJI KARYAWAN HARIAN TETAP (PERIODE 21 MARET - 02 APRIL 2022)</t>
  </si>
  <si>
    <t>INSENTIVE KARYAWAN MINGGUAN (PERIODE 28 MARET - 02 APRIL 2022)</t>
  </si>
  <si>
    <t>010.001-22.10694494</t>
  </si>
  <si>
    <t>010.001-22.12292316</t>
  </si>
  <si>
    <t>010.001-22.12292388</t>
  </si>
  <si>
    <t>010.001-22.12292475</t>
  </si>
  <si>
    <t>010.001-22.12292503</t>
  </si>
  <si>
    <t>010.001-22.12292628</t>
  </si>
  <si>
    <t>010.001-22.12292701</t>
  </si>
  <si>
    <t>010.001-22.12292967</t>
  </si>
  <si>
    <t>010.001-22.12293006</t>
  </si>
  <si>
    <t>010.001-22.12293007</t>
  </si>
  <si>
    <t>010.001-22.12293144</t>
  </si>
  <si>
    <t>010.001-22.12293332</t>
  </si>
  <si>
    <t>010.001-22.12293349</t>
  </si>
  <si>
    <t>010.001-22.12293466</t>
  </si>
  <si>
    <t>010.001-22.12293572</t>
  </si>
  <si>
    <t>010.001-22.12293699</t>
  </si>
  <si>
    <t>010.001-22.12293762</t>
  </si>
  <si>
    <t>010.001-22.12293867</t>
  </si>
  <si>
    <t>010.001-22.12293998</t>
  </si>
  <si>
    <t>KO 1839</t>
  </si>
  <si>
    <t>G 4387</t>
  </si>
  <si>
    <t>N 0501</t>
  </si>
  <si>
    <t>KO 4394</t>
  </si>
  <si>
    <t>AM 20030001</t>
  </si>
  <si>
    <t>AM 20030002</t>
  </si>
  <si>
    <t>AM 20030003</t>
  </si>
  <si>
    <t>AM 20030004</t>
  </si>
  <si>
    <t>AM 20030005</t>
  </si>
  <si>
    <t>AM 20030006</t>
  </si>
  <si>
    <t>AM 20030007</t>
  </si>
  <si>
    <t>AM 20030008</t>
  </si>
  <si>
    <t>AM 20030009</t>
  </si>
  <si>
    <t>AM 20030010</t>
  </si>
  <si>
    <t>AM 20030011</t>
  </si>
  <si>
    <t>AM 20030012</t>
  </si>
  <si>
    <t>AM 20030013</t>
  </si>
  <si>
    <t>AM 20030014</t>
  </si>
  <si>
    <t>AM 20030015</t>
  </si>
  <si>
    <t>AM 20030016</t>
  </si>
  <si>
    <t>AM 20030017</t>
  </si>
  <si>
    <t>AM 20030018</t>
  </si>
  <si>
    <t>AM 20030019</t>
  </si>
  <si>
    <t>AM 20030020</t>
  </si>
  <si>
    <t>AM 20030021</t>
  </si>
  <si>
    <t>AM 20030022</t>
  </si>
  <si>
    <t>AM 20030023</t>
  </si>
  <si>
    <t>AM 20030024</t>
  </si>
  <si>
    <t>AM 20030025</t>
  </si>
  <si>
    <t>AM 20030026</t>
  </si>
  <si>
    <t>AM 20030027</t>
  </si>
  <si>
    <t>AM 20030028</t>
  </si>
  <si>
    <t>AM 20030029</t>
  </si>
  <si>
    <t>AM 20030030</t>
  </si>
  <si>
    <t>AM 20030031</t>
  </si>
  <si>
    <t>AM 20030032</t>
  </si>
  <si>
    <t>AM 20030033</t>
  </si>
  <si>
    <t>AM 20030034</t>
  </si>
  <si>
    <t>AM 20030035</t>
  </si>
  <si>
    <t>AM 20030036</t>
  </si>
  <si>
    <t>AM 20030037</t>
  </si>
  <si>
    <t>AM 20030038</t>
  </si>
  <si>
    <t>AM 20030039</t>
  </si>
  <si>
    <t>AM 20030040</t>
  </si>
  <si>
    <t>AM 20030041</t>
  </si>
  <si>
    <t>AM 20030042</t>
  </si>
  <si>
    <t>AM 20030043</t>
  </si>
  <si>
    <t>AM 20030044</t>
  </si>
  <si>
    <t>AM 20030045</t>
  </si>
  <si>
    <t>AM 20030046</t>
  </si>
  <si>
    <t>AM 20030047</t>
  </si>
  <si>
    <t>AM 20030048</t>
  </si>
  <si>
    <t>AM 20030049</t>
  </si>
  <si>
    <t>AM 20030050</t>
  </si>
  <si>
    <t>AM 20030051</t>
  </si>
  <si>
    <t>AM 20030052</t>
  </si>
  <si>
    <t>AM 20030053</t>
  </si>
  <si>
    <t>AM 20030054</t>
  </si>
  <si>
    <t>AM 20030055</t>
  </si>
  <si>
    <t>AM 20030056</t>
  </si>
  <si>
    <t>AM 20030057</t>
  </si>
  <si>
    <t>AM 20030058</t>
  </si>
  <si>
    <t>AM 20030059</t>
  </si>
  <si>
    <t>AM 20030060</t>
  </si>
  <si>
    <t>AM 20030061</t>
  </si>
  <si>
    <t>AM 20030062</t>
  </si>
  <si>
    <t>AM 20030063</t>
  </si>
  <si>
    <t>AM 20030064</t>
  </si>
  <si>
    <t>AM 20030065</t>
  </si>
  <si>
    <t>AM 20030066</t>
  </si>
  <si>
    <t>AM 20030067</t>
  </si>
  <si>
    <t>AM 20030068</t>
  </si>
  <si>
    <t>AM 20030069</t>
  </si>
  <si>
    <t>AM 20030070</t>
  </si>
  <si>
    <t>AM 20030071</t>
  </si>
  <si>
    <t>AM 20030072</t>
  </si>
  <si>
    <t>AM 20030073</t>
  </si>
  <si>
    <t>AM 20030074</t>
  </si>
  <si>
    <t>AM 20030075</t>
  </si>
  <si>
    <t>AM 20030076</t>
  </si>
  <si>
    <t>AM 20030077</t>
  </si>
  <si>
    <t>AM 20030078</t>
  </si>
  <si>
    <t>AM 20030079</t>
  </si>
  <si>
    <t>AM 20030080</t>
  </si>
  <si>
    <t>AM 20030081</t>
  </si>
  <si>
    <t>AM 20030082</t>
  </si>
  <si>
    <t>AM 20030083</t>
  </si>
  <si>
    <t>AM 20030084</t>
  </si>
  <si>
    <t>AM 20030085</t>
  </si>
  <si>
    <t>AM 20030086</t>
  </si>
  <si>
    <t>AM 20030087</t>
  </si>
  <si>
    <t>AM 20030088</t>
  </si>
  <si>
    <t>AM 20030089</t>
  </si>
  <si>
    <t>AM 20030090</t>
  </si>
  <si>
    <t>AM 20030091</t>
  </si>
  <si>
    <t>AM 20030092</t>
  </si>
  <si>
    <t>AM 20030093</t>
  </si>
  <si>
    <t>AM 20030094</t>
  </si>
  <si>
    <t>AM 20030095</t>
  </si>
  <si>
    <t>AM 20030096</t>
  </si>
  <si>
    <t>AM 20030097</t>
  </si>
  <si>
    <t>AM 20030098</t>
  </si>
  <si>
    <t>AM 20030099</t>
  </si>
  <si>
    <t>AM 20030100</t>
  </si>
  <si>
    <t>AM 20030101</t>
  </si>
  <si>
    <t>AM 20030102</t>
  </si>
  <si>
    <t>AM 20030103</t>
  </si>
  <si>
    <t>AM 20030104</t>
  </si>
  <si>
    <t>AM 20030105</t>
  </si>
  <si>
    <t>AM 20030106</t>
  </si>
  <si>
    <t>AM 20030107</t>
  </si>
  <si>
    <t>AM 20030108</t>
  </si>
  <si>
    <t>AM 20030109</t>
  </si>
  <si>
    <t>AM 20030110</t>
  </si>
  <si>
    <t>AM 20030111</t>
  </si>
  <si>
    <t>AM 20030112</t>
  </si>
  <si>
    <t>AM 20030113</t>
  </si>
  <si>
    <t>AM 20030114</t>
  </si>
  <si>
    <t>AM 20030115</t>
  </si>
  <si>
    <t>AM 20030116</t>
  </si>
  <si>
    <t>AM 20030117</t>
  </si>
  <si>
    <t>AM 20030118</t>
  </si>
  <si>
    <t>AM 20030119</t>
  </si>
  <si>
    <t>AM 20030120</t>
  </si>
  <si>
    <t>AM 20030121</t>
  </si>
  <si>
    <t>AM 20030122</t>
  </si>
  <si>
    <t>AM 20030123</t>
  </si>
  <si>
    <t>AM 20030124</t>
  </si>
  <si>
    <t>AM 20030125</t>
  </si>
  <si>
    <t>AM 20030126</t>
  </si>
  <si>
    <t>AM 20030127</t>
  </si>
  <si>
    <t>AM 20030128</t>
  </si>
  <si>
    <t>AM 20030129</t>
  </si>
  <si>
    <t>AM 20030130</t>
  </si>
  <si>
    <t>AM 20030131</t>
  </si>
  <si>
    <t>AM 20030132</t>
  </si>
  <si>
    <t>AM 20030133</t>
  </si>
  <si>
    <t>AM 20030134</t>
  </si>
  <si>
    <t>AM 20030135</t>
  </si>
  <si>
    <t>AM 20030136</t>
  </si>
  <si>
    <t>AM 20030137</t>
  </si>
  <si>
    <t>AM 20030138</t>
  </si>
  <si>
    <t>AM 20030139</t>
  </si>
  <si>
    <t>AM 20030140</t>
  </si>
  <si>
    <t>AM 20030141</t>
  </si>
  <si>
    <t>AM 20030142</t>
  </si>
  <si>
    <t>AM 20030143</t>
  </si>
  <si>
    <t>AM 20030144</t>
  </si>
  <si>
    <t>AM 20030145</t>
  </si>
  <si>
    <t>AM 20030146</t>
  </si>
  <si>
    <t>AM 20030147</t>
  </si>
  <si>
    <t>AM 20030148</t>
  </si>
  <si>
    <t>AM 20030149</t>
  </si>
  <si>
    <t>AM 20030150</t>
  </si>
  <si>
    <t>AM 20030151</t>
  </si>
  <si>
    <t>AM 20030152</t>
  </si>
  <si>
    <t>AM 20030153</t>
  </si>
  <si>
    <t>AM 20030154</t>
  </si>
  <si>
    <t>AM 20030155</t>
  </si>
  <si>
    <t>AM 20030156</t>
  </si>
  <si>
    <t>AM 20030157</t>
  </si>
  <si>
    <t>AM 20030158</t>
  </si>
  <si>
    <t>AM 20030159</t>
  </si>
  <si>
    <t>AM 20030160</t>
  </si>
  <si>
    <t>AM 20030161</t>
  </si>
  <si>
    <t>AM 20030162</t>
  </si>
  <si>
    <t>AM 20030163</t>
  </si>
  <si>
    <t>AM 20030164</t>
  </si>
  <si>
    <t>PPN (11%)</t>
  </si>
  <si>
    <t>AM 22040001</t>
  </si>
  <si>
    <t>AM 22040003</t>
  </si>
  <si>
    <t>AM 22040004</t>
  </si>
  <si>
    <t>AM 22040005</t>
  </si>
  <si>
    <t>AM 22040002</t>
  </si>
  <si>
    <t>AM 22040006</t>
  </si>
  <si>
    <t>AM 22040007</t>
  </si>
  <si>
    <t>AM 22040008</t>
  </si>
  <si>
    <t>AM 22040009</t>
  </si>
  <si>
    <t>AM 22040010</t>
  </si>
  <si>
    <t>AM 22040011</t>
  </si>
  <si>
    <t>AM 22040012</t>
  </si>
  <si>
    <t>AM 22040013</t>
  </si>
  <si>
    <t>AM 22040014</t>
  </si>
  <si>
    <t>AM 22040015</t>
  </si>
  <si>
    <t>AM 22040016</t>
  </si>
  <si>
    <t>AM 22040017</t>
  </si>
  <si>
    <t>AM 22040018</t>
  </si>
  <si>
    <t>AM 22040019</t>
  </si>
  <si>
    <t>AM 22040020</t>
  </si>
  <si>
    <t>AM 22040021</t>
  </si>
  <si>
    <t>AM 22040022</t>
  </si>
  <si>
    <t>AM 22040023</t>
  </si>
  <si>
    <t>AM 22040024</t>
  </si>
  <si>
    <t>AM 22040025</t>
  </si>
  <si>
    <t>AM 22040026</t>
  </si>
  <si>
    <t>AM 22040027</t>
  </si>
  <si>
    <t>AM 22040028</t>
  </si>
  <si>
    <t>AM 22040029</t>
  </si>
  <si>
    <t>AM 22040030</t>
  </si>
  <si>
    <t>AM 22040031</t>
  </si>
  <si>
    <t>AM 22040032</t>
  </si>
  <si>
    <t>AM 22040033</t>
  </si>
  <si>
    <t>AM 22040034</t>
  </si>
  <si>
    <t>AM 22040035</t>
  </si>
  <si>
    <t>AM 22040036</t>
  </si>
  <si>
    <t>AM 22040037</t>
  </si>
  <si>
    <t>AM 22040038</t>
  </si>
  <si>
    <t>AM 22040039</t>
  </si>
  <si>
    <t>AM 22040040</t>
  </si>
  <si>
    <t>AM 22040041</t>
  </si>
  <si>
    <t>AM 22040042</t>
  </si>
  <si>
    <t>AM 22040043</t>
  </si>
  <si>
    <t>AM 22040044</t>
  </si>
  <si>
    <t>AM 22040045</t>
  </si>
  <si>
    <t>AM 22040046</t>
  </si>
  <si>
    <t>AM 22040047</t>
  </si>
  <si>
    <t>AM 22040048</t>
  </si>
  <si>
    <t>AM 22040049</t>
  </si>
  <si>
    <t>AM 22040050</t>
  </si>
  <si>
    <t>AM 22040051</t>
  </si>
  <si>
    <t>AM 22040052</t>
  </si>
  <si>
    <t>AM 22040053</t>
  </si>
  <si>
    <t>AM 22040054</t>
  </si>
  <si>
    <t>AM 22040055</t>
  </si>
  <si>
    <t>AM 22040056</t>
  </si>
  <si>
    <t>AM 22040057</t>
  </si>
  <si>
    <t>AM 22040058</t>
  </si>
  <si>
    <t>AM 22040059</t>
  </si>
  <si>
    <t>AM 22040060</t>
  </si>
  <si>
    <t>AM 22040061</t>
  </si>
  <si>
    <t>AM 22040062</t>
  </si>
  <si>
    <t>AM 22040063</t>
  </si>
  <si>
    <t>AM 22040064</t>
  </si>
  <si>
    <t>AM 22040065</t>
  </si>
  <si>
    <t>AM 22040066</t>
  </si>
  <si>
    <t>AM 22040067</t>
  </si>
  <si>
    <t>AM 22040068</t>
  </si>
  <si>
    <t>AM 22040069</t>
  </si>
  <si>
    <t>AM 22040070</t>
  </si>
  <si>
    <t>AM 22040071</t>
  </si>
  <si>
    <t>AM 22040072</t>
  </si>
  <si>
    <t>AM 22040073</t>
  </si>
  <si>
    <t>AM 22040074</t>
  </si>
  <si>
    <t>AM 22040075</t>
  </si>
  <si>
    <t>AM 22040076</t>
  </si>
  <si>
    <t>AM 22040077</t>
  </si>
  <si>
    <t>AM 22040078</t>
  </si>
  <si>
    <t>AM 22040079</t>
  </si>
  <si>
    <t>AM 22040080</t>
  </si>
  <si>
    <t>AM 22040081</t>
  </si>
  <si>
    <t>AM 22040082</t>
  </si>
  <si>
    <t>AM 22040083</t>
  </si>
  <si>
    <t>AM 22040084</t>
  </si>
  <si>
    <t>AM 22040085</t>
  </si>
  <si>
    <t>AM 22040086</t>
  </si>
  <si>
    <t>AM 22040087</t>
  </si>
  <si>
    <t>AM 22040088</t>
  </si>
  <si>
    <t>AM 22040089</t>
  </si>
  <si>
    <t>AM 22040090</t>
  </si>
  <si>
    <t>AM 22040091</t>
  </si>
  <si>
    <t>AM 22040092</t>
  </si>
  <si>
    <t>AM 22040093</t>
  </si>
  <si>
    <t>AM 22040094</t>
  </si>
  <si>
    <t>AM 22040095</t>
  </si>
  <si>
    <t>AM 22040096</t>
  </si>
  <si>
    <t>AM 22040097</t>
  </si>
  <si>
    <t>AM 22040098</t>
  </si>
  <si>
    <t>AM 22040099</t>
  </si>
  <si>
    <t>AM 22040100</t>
  </si>
  <si>
    <t>AM 22040101</t>
  </si>
  <si>
    <t>AM 22040102</t>
  </si>
  <si>
    <t>AM 22040103</t>
  </si>
  <si>
    <t>AM 22040104</t>
  </si>
  <si>
    <t>AM 22040105</t>
  </si>
  <si>
    <t>AM 22040106</t>
  </si>
  <si>
    <t>AM 22040107</t>
  </si>
  <si>
    <t>AM 22040108</t>
  </si>
  <si>
    <t>AM 22040109</t>
  </si>
  <si>
    <t>AM 22040110</t>
  </si>
  <si>
    <t>AM 22040111</t>
  </si>
  <si>
    <t>AM 22040112</t>
  </si>
  <si>
    <t>AM 22040113</t>
  </si>
  <si>
    <t>AM 22040114</t>
  </si>
  <si>
    <t>AM 22040115</t>
  </si>
  <si>
    <t>AM 22040116</t>
  </si>
  <si>
    <t>AM 22040117</t>
  </si>
  <si>
    <t>AM 22040118</t>
  </si>
  <si>
    <t>AM 22040119</t>
  </si>
  <si>
    <t>AM 22040120</t>
  </si>
  <si>
    <t>AM 22040121</t>
  </si>
  <si>
    <t>AM 22040122</t>
  </si>
  <si>
    <t>AM 22040123</t>
  </si>
  <si>
    <t>AM 22040124</t>
  </si>
  <si>
    <t>AM 22040125</t>
  </si>
  <si>
    <t>AM 22040126</t>
  </si>
  <si>
    <t>AM 22040127</t>
  </si>
  <si>
    <t>AM 22040128</t>
  </si>
  <si>
    <t>AM 22040129</t>
  </si>
  <si>
    <t>AM 22040130</t>
  </si>
  <si>
    <t>AM 22040131</t>
  </si>
  <si>
    <t>AM 22040132</t>
  </si>
  <si>
    <t>AM 22040133</t>
  </si>
  <si>
    <t>AM 22040134</t>
  </si>
  <si>
    <t>AM 22040135</t>
  </si>
  <si>
    <t>AM 22040136</t>
  </si>
  <si>
    <t>AM 22040137</t>
  </si>
  <si>
    <t>AM 22040138</t>
  </si>
  <si>
    <t>AM 22040139</t>
  </si>
  <si>
    <t>AM 22040140</t>
  </si>
  <si>
    <t>AM 22040141</t>
  </si>
  <si>
    <t>AM 22040142</t>
  </si>
  <si>
    <t>AM 22040143</t>
  </si>
  <si>
    <t>AM 22040144</t>
  </si>
  <si>
    <t>AM 22040145</t>
  </si>
  <si>
    <t>AM 22040146</t>
  </si>
  <si>
    <t>AM 22040147</t>
  </si>
  <si>
    <t>010.002-22.82108714</t>
  </si>
  <si>
    <t>SA220303156</t>
  </si>
  <si>
    <t>010.002-22.82108715</t>
  </si>
  <si>
    <t>SA220303157</t>
  </si>
  <si>
    <t>010.002-22.82109136</t>
  </si>
  <si>
    <t>SA220303270</t>
  </si>
  <si>
    <t>010.002-22.82109137</t>
  </si>
  <si>
    <t>SA220303271</t>
  </si>
  <si>
    <t>010.002-22.82109324</t>
  </si>
  <si>
    <t>SA220303341</t>
  </si>
  <si>
    <t>010.002-22.82109710</t>
  </si>
  <si>
    <t>SA220303449</t>
  </si>
  <si>
    <t>010.002-22.82109711</t>
  </si>
  <si>
    <t>SA220303450</t>
  </si>
  <si>
    <t>010.002-22.82109942</t>
  </si>
  <si>
    <t>SA220303531</t>
  </si>
  <si>
    <t>010.002-22.82110148</t>
  </si>
  <si>
    <t>SA220303607</t>
  </si>
  <si>
    <t>010.002-22.82110149</t>
  </si>
  <si>
    <t>SA220303608</t>
  </si>
  <si>
    <t>010.002-22.82110383</t>
  </si>
  <si>
    <t>SA220303702</t>
  </si>
  <si>
    <t>010.002-22.82110384</t>
  </si>
  <si>
    <t>SA220303703</t>
  </si>
  <si>
    <t>010.002-22.82110843</t>
  </si>
  <si>
    <t>SA220303813</t>
  </si>
  <si>
    <t>010.002-22.82110844</t>
  </si>
  <si>
    <t>SA220303814</t>
  </si>
  <si>
    <t>010.002-22.82110845</t>
  </si>
  <si>
    <t>SA220303815</t>
  </si>
  <si>
    <t>010.001-22.12294189</t>
  </si>
  <si>
    <t>010.001-22.12294192</t>
  </si>
  <si>
    <t>010.001-22.12294319</t>
  </si>
  <si>
    <t>010.001-22.12294334</t>
  </si>
  <si>
    <t>010.001-22.12294357</t>
  </si>
  <si>
    <t>010.001-22.12294422</t>
  </si>
  <si>
    <t>010.001-22.12294470</t>
  </si>
  <si>
    <t>010.001-22.12294550</t>
  </si>
  <si>
    <t>010.001-22.12294646</t>
  </si>
  <si>
    <t>N 0552</t>
  </si>
  <si>
    <t>N 0553</t>
  </si>
  <si>
    <t>G 0515</t>
  </si>
  <si>
    <t>G 0514</t>
  </si>
  <si>
    <t>010.000-22.70367022</t>
  </si>
  <si>
    <t>010.000-22.70367103</t>
  </si>
  <si>
    <t>N 0579</t>
  </si>
  <si>
    <t>N 0580</t>
  </si>
  <si>
    <t>KO 0587</t>
  </si>
  <si>
    <t>SA220303948</t>
  </si>
  <si>
    <t>SA220304017</t>
  </si>
  <si>
    <t>SA220304160</t>
  </si>
  <si>
    <t>SA220304195</t>
  </si>
  <si>
    <t>SA220304191</t>
  </si>
  <si>
    <t>SA220304267</t>
  </si>
  <si>
    <t>SA220304268</t>
  </si>
  <si>
    <t>SA220304281</t>
  </si>
  <si>
    <t>KO 0590</t>
  </si>
  <si>
    <t>KO 0606</t>
  </si>
  <si>
    <t>L103027</t>
  </si>
  <si>
    <t>KO 0651</t>
  </si>
  <si>
    <t>KO 0654</t>
  </si>
  <si>
    <t>G 0617</t>
  </si>
  <si>
    <t>010.000-22.48606337</t>
  </si>
  <si>
    <t>SN22030564</t>
  </si>
  <si>
    <t>010.003-22.84031969</t>
  </si>
  <si>
    <t>010.002-22.82111268</t>
  </si>
  <si>
    <t>010.002-22.82111495</t>
  </si>
  <si>
    <t>010.002-22.82111869</t>
  </si>
  <si>
    <t>010.002-22.82112003</t>
  </si>
  <si>
    <t>010.002-22.82112007</t>
  </si>
  <si>
    <t>010.002-22.82112213</t>
  </si>
  <si>
    <t>010.002-22.82112214</t>
  </si>
  <si>
    <t>010.002-22.82112227</t>
  </si>
  <si>
    <t>010.002-22.82112906</t>
  </si>
  <si>
    <t>SA220304465</t>
  </si>
  <si>
    <t>010.002-22.82113088</t>
  </si>
  <si>
    <t>SA220304531</t>
  </si>
  <si>
    <t>010.002-22.82113231</t>
  </si>
  <si>
    <t>SA220304560</t>
  </si>
  <si>
    <t>KO 0663</t>
  </si>
  <si>
    <t>JL-31969</t>
  </si>
  <si>
    <t>L303046</t>
  </si>
  <si>
    <t>JUC489/22</t>
  </si>
  <si>
    <t>JUC613/22</t>
  </si>
  <si>
    <t>KO 0666</t>
  </si>
  <si>
    <t>G 0623</t>
  </si>
  <si>
    <t>TRIDAYA</t>
  </si>
  <si>
    <t>SEMARANG</t>
  </si>
  <si>
    <t>N 4143</t>
  </si>
  <si>
    <t>N 4144</t>
  </si>
  <si>
    <t>G 4145</t>
  </si>
  <si>
    <t>KO 4146 4261 4307</t>
  </si>
  <si>
    <t>G 4311</t>
  </si>
  <si>
    <t>KO 4263</t>
  </si>
  <si>
    <t>KO 4270</t>
  </si>
  <si>
    <t>G 0669</t>
  </si>
  <si>
    <t>8 1</t>
  </si>
  <si>
    <t>KO 4301 4268 4451</t>
  </si>
  <si>
    <t>KO 4264 4315 4452</t>
  </si>
  <si>
    <t>KO 1824 1827 1831</t>
  </si>
  <si>
    <t>KO 1829 1833</t>
  </si>
  <si>
    <t>KO 1836</t>
  </si>
  <si>
    <t>KO 1826 1832 1837</t>
  </si>
  <si>
    <t>KO 1835 1840 1841</t>
  </si>
  <si>
    <t>KO 4271 4461 4403</t>
  </si>
  <si>
    <t>KO 0674</t>
  </si>
  <si>
    <t>KO 0660</t>
  </si>
  <si>
    <t>KO 4302 4456 4464</t>
  </si>
  <si>
    <t>G 4466</t>
  </si>
  <si>
    <t>KO 4469</t>
  </si>
  <si>
    <t>KO 4150 4465 4470</t>
  </si>
  <si>
    <t>N 4471</t>
  </si>
  <si>
    <t>BASA</t>
  </si>
  <si>
    <t>G 4325</t>
  </si>
  <si>
    <t>SUMBER REJO</t>
  </si>
  <si>
    <t>KO 4329 4462 4408</t>
  </si>
  <si>
    <t>KO 4369</t>
  </si>
  <si>
    <t>KO 4260 4305 4276</t>
  </si>
  <si>
    <t>G 4308 4463 4281</t>
  </si>
  <si>
    <t>G 4282</t>
  </si>
  <si>
    <t>G 4310 4453 4283</t>
  </si>
  <si>
    <t>N 4285</t>
  </si>
  <si>
    <t>N 4286</t>
  </si>
  <si>
    <t>G 4351</t>
  </si>
  <si>
    <t>ANEKA SERAGAM</t>
  </si>
  <si>
    <t>BLITAR</t>
  </si>
  <si>
    <t>N 4332</t>
  </si>
  <si>
    <t>G 4333</t>
  </si>
  <si>
    <t>GLORY</t>
  </si>
  <si>
    <t>KO 4266 4460 4334</t>
  </si>
  <si>
    <t>N 4317 4335</t>
  </si>
  <si>
    <t>KO 4323 4331 4336</t>
  </si>
  <si>
    <t>G 4288</t>
  </si>
  <si>
    <t>G 4291</t>
  </si>
  <si>
    <t>ANGKASA JAYA</t>
  </si>
  <si>
    <t>G 4292</t>
  </si>
  <si>
    <t>G 4294 4459</t>
  </si>
  <si>
    <t>G 4295</t>
  </si>
  <si>
    <t>PONDOK MODERN GONTOR (MM)</t>
  </si>
  <si>
    <t>NGAWI</t>
  </si>
  <si>
    <t>G 4296</t>
  </si>
  <si>
    <t>KO 4149 4402 4299</t>
  </si>
  <si>
    <t>G 4338</t>
  </si>
  <si>
    <t>G 4327 4275 4340</t>
  </si>
  <si>
    <t>KO4274 4290 4341</t>
  </si>
  <si>
    <t>KO 4297 4342 4350</t>
  </si>
  <si>
    <t>AM 20030165</t>
  </si>
  <si>
    <t>AM 20030166</t>
  </si>
  <si>
    <t>AM 20030167</t>
  </si>
  <si>
    <t>AM 20030168</t>
  </si>
  <si>
    <t>AM 20030169</t>
  </si>
  <si>
    <t>AM 20030170</t>
  </si>
  <si>
    <t>AM 20030171</t>
  </si>
  <si>
    <t>AM 20030172</t>
  </si>
  <si>
    <t>AM 20030173</t>
  </si>
  <si>
    <t>AM 20030174</t>
  </si>
  <si>
    <t>AM 20030175</t>
  </si>
  <si>
    <t>AM 20030176</t>
  </si>
  <si>
    <t>AM 20030177</t>
  </si>
  <si>
    <t>AM 20030178</t>
  </si>
  <si>
    <t>AM 20030179</t>
  </si>
  <si>
    <t>AM 20030180</t>
  </si>
  <si>
    <t>AM 20030181</t>
  </si>
  <si>
    <t>AM 20030182</t>
  </si>
  <si>
    <t>AM 20030183</t>
  </si>
  <si>
    <t>AM 20030184</t>
  </si>
  <si>
    <t>AM 20030185</t>
  </si>
  <si>
    <t>AM 20030186</t>
  </si>
  <si>
    <t>AM 20030187</t>
  </si>
  <si>
    <t>AM 20030188</t>
  </si>
  <si>
    <t>AM 20030189</t>
  </si>
  <si>
    <t>AM 20030190</t>
  </si>
  <si>
    <t>AM 20030191</t>
  </si>
  <si>
    <t>AM 20030192</t>
  </si>
  <si>
    <t>AM 20030193</t>
  </si>
  <si>
    <t>AM 20030194</t>
  </si>
  <si>
    <t>AM 20030195</t>
  </si>
  <si>
    <t>KO 4410</t>
  </si>
  <si>
    <t>N 4415</t>
  </si>
  <si>
    <t>KO 4474</t>
  </si>
  <si>
    <t>SOLAR H 1887 UH</t>
  </si>
  <si>
    <t>SERVICE PEER MOBIL</t>
  </si>
  <si>
    <t>- 001753 | 15/02/2022 | H 8366 CQ</t>
  </si>
  <si>
    <t>- 001787 | 21/02/2022 | H 1887 UH</t>
  </si>
  <si>
    <t>2 BOX HVS F4</t>
  </si>
  <si>
    <t>SERVICE MOBIL DI KUDA MAS</t>
  </si>
  <si>
    <t>BENSIN SEPEDA MOTOR INVENTARIS</t>
  </si>
  <si>
    <t>TINTA PRINTER 1 SET</t>
  </si>
  <si>
    <t>KO 4419</t>
  </si>
  <si>
    <t>KO 4416 4417 4421</t>
  </si>
  <si>
    <t>G 4422</t>
  </si>
  <si>
    <t>TRENGGALEK</t>
  </si>
  <si>
    <t>KO 4480</t>
  </si>
  <si>
    <t>KO 4349 4484</t>
  </si>
  <si>
    <t>KO 4458 4409 4485</t>
  </si>
  <si>
    <t>KO 4289 4481 4486</t>
  </si>
  <si>
    <t>KO 4279 4489</t>
  </si>
  <si>
    <t>KO 4355</t>
  </si>
  <si>
    <t>N 4352 4353 4356</t>
  </si>
  <si>
    <t>G 4423</t>
  </si>
  <si>
    <t>G 4475 4479 4424</t>
  </si>
  <si>
    <t>KO 4477 4357 4425</t>
  </si>
  <si>
    <t>G 4427</t>
  </si>
  <si>
    <t>KO 4343 4414 4490</t>
  </si>
  <si>
    <t>KO 4147 4412 4492</t>
  </si>
  <si>
    <t>N 4473 4418 4493</t>
  </si>
  <si>
    <t>N 4339 4494</t>
  </si>
  <si>
    <t>KO 4496</t>
  </si>
  <si>
    <t>BARU SWALAYAN</t>
  </si>
  <si>
    <t>KO 4497</t>
  </si>
  <si>
    <t>KO 4478 4426 4428</t>
  </si>
  <si>
    <t>N 4431</t>
  </si>
  <si>
    <t>SANDI</t>
  </si>
  <si>
    <t>KOJA</t>
  </si>
  <si>
    <t>KO 4361</t>
  </si>
  <si>
    <t>G 4362</t>
  </si>
  <si>
    <t>G 4406 4345 4364</t>
  </si>
  <si>
    <t>G 4344 4487 4367</t>
  </si>
  <si>
    <t>G 4346 4368</t>
  </si>
  <si>
    <t>G 4370</t>
  </si>
  <si>
    <t>KO 4304 4309 4372</t>
  </si>
  <si>
    <t>KO 4265 4287 4432</t>
  </si>
  <si>
    <t>G 4434</t>
  </si>
  <si>
    <t>KO 4435</t>
  </si>
  <si>
    <t>KO 4438</t>
  </si>
  <si>
    <t>G 4440</t>
  </si>
  <si>
    <t>KO 4500 4363 4374</t>
  </si>
  <si>
    <t>G 4358 4365 4376</t>
  </si>
  <si>
    <t>KO 4411 4495 4379</t>
  </si>
  <si>
    <t>KO 4354 4380</t>
  </si>
  <si>
    <t>N 4381</t>
  </si>
  <si>
    <t>KO 4413 4382</t>
  </si>
  <si>
    <t>KO 4384</t>
  </si>
  <si>
    <t>KO 4491 4386</t>
  </si>
  <si>
    <t>G 4442</t>
  </si>
  <si>
    <t>N 4444</t>
  </si>
  <si>
    <t>G 4142 4321 4446</t>
  </si>
  <si>
    <t>G 4447</t>
  </si>
  <si>
    <t>KO 4448</t>
  </si>
  <si>
    <t>N 4360 4373 4450</t>
  </si>
  <si>
    <t>G 4388</t>
  </si>
  <si>
    <t>G 4389</t>
  </si>
  <si>
    <t>KO 4436 4390</t>
  </si>
  <si>
    <t>KO 4499 4391</t>
  </si>
  <si>
    <t>G 4326 4445 4392</t>
  </si>
  <si>
    <t>G 4420 4437 4393</t>
  </si>
  <si>
    <t>KO 0502</t>
  </si>
  <si>
    <t>G 0503</t>
  </si>
  <si>
    <t>G 0630</t>
  </si>
  <si>
    <t>G 0631</t>
  </si>
  <si>
    <t>G 0632</t>
  </si>
  <si>
    <t>G 0504</t>
  </si>
  <si>
    <t>KO 4330 4293 0505</t>
  </si>
  <si>
    <t>N 4395</t>
  </si>
  <si>
    <t>N 4396</t>
  </si>
  <si>
    <t>N 4429 4397</t>
  </si>
  <si>
    <t>KO 4273 4398</t>
  </si>
  <si>
    <t>G 4383 4399</t>
  </si>
  <si>
    <t>KO 4324 4400</t>
  </si>
  <si>
    <t>G 0507</t>
  </si>
  <si>
    <t>SANTOSO</t>
  </si>
  <si>
    <t>KO 4318 4298 0508</t>
  </si>
  <si>
    <t>KO 4320 0509</t>
  </si>
  <si>
    <t>G 0510</t>
  </si>
  <si>
    <t>G 0511</t>
  </si>
  <si>
    <t>N 0512</t>
  </si>
  <si>
    <t>KO 4269 4467 0513</t>
  </si>
  <si>
    <t>G 0516</t>
  </si>
  <si>
    <t>G 4454 4433 0517</t>
  </si>
  <si>
    <t>G 0518</t>
  </si>
  <si>
    <t>PURWODAADI</t>
  </si>
  <si>
    <t>KO 4385 0519</t>
  </si>
  <si>
    <t>KO 0520</t>
  </si>
  <si>
    <t>G 4439 0521</t>
  </si>
  <si>
    <t>KO 0525</t>
  </si>
  <si>
    <t>ANEKA SWALAYAN</t>
  </si>
  <si>
    <t>KO 0629</t>
  </si>
  <si>
    <t>G 0526</t>
  </si>
  <si>
    <t>G 4482 0551</t>
  </si>
  <si>
    <t>KO 4272 0554</t>
  </si>
  <si>
    <t>KO 4300 4498 0555</t>
  </si>
  <si>
    <t>KO 4366 4375 0556</t>
  </si>
  <si>
    <t>N 4262 0558</t>
  </si>
  <si>
    <t>N 0559</t>
  </si>
  <si>
    <t>CASH</t>
  </si>
  <si>
    <t>A 0104</t>
  </si>
  <si>
    <t>IBU LINA</t>
  </si>
  <si>
    <t>KURNIA  JAYA</t>
  </si>
  <si>
    <t>KHAIRUL</t>
  </si>
  <si>
    <t xml:space="preserve">A 0126 </t>
  </si>
  <si>
    <t>A 0106 0144</t>
  </si>
  <si>
    <t>A</t>
  </si>
  <si>
    <t>COMBI</t>
  </si>
  <si>
    <t>A 0656 0699 0700</t>
  </si>
  <si>
    <t>A 0660</t>
  </si>
  <si>
    <t>SILVIA</t>
  </si>
  <si>
    <t>KO 4207</t>
  </si>
  <si>
    <t>PAK TEGUH</t>
  </si>
  <si>
    <t>SINGOSARI</t>
  </si>
  <si>
    <t>KO 1825 1834 4208</t>
  </si>
  <si>
    <t>KO 1828 1838 4209</t>
  </si>
  <si>
    <t>KO 4210</t>
  </si>
  <si>
    <t>2 4</t>
  </si>
  <si>
    <t>KO 4214</t>
  </si>
  <si>
    <t>SUKSES 2</t>
  </si>
  <si>
    <t>KO 4215</t>
  </si>
  <si>
    <t>KO 4220 4213</t>
  </si>
  <si>
    <t>KO 4222 4212 4216</t>
  </si>
  <si>
    <t>KO 4224 4223 4218</t>
  </si>
  <si>
    <t>KO 4226</t>
  </si>
  <si>
    <t>KO 4217 4227</t>
  </si>
  <si>
    <t>N 090-092</t>
  </si>
  <si>
    <t>N 093</t>
  </si>
  <si>
    <t>N 087 051-060</t>
  </si>
  <si>
    <t>N 088 061-069</t>
  </si>
  <si>
    <t>N 089 071-079</t>
  </si>
  <si>
    <t>N 094-096</t>
  </si>
  <si>
    <t>010.001-22.10694620</t>
  </si>
  <si>
    <t>01 MAR 2022 s/d 04 APR 2022</t>
  </si>
  <si>
    <t>--</t>
  </si>
  <si>
    <t>JENNY RUSTIN WIDJAJA</t>
  </si>
  <si>
    <t>785137-BANK DANAMON-SETORAN KLIRING</t>
  </si>
  <si>
    <t>0352684</t>
  </si>
  <si>
    <t>0031827</t>
  </si>
  <si>
    <t>0664306</t>
  </si>
  <si>
    <t>F2625</t>
  </si>
  <si>
    <t>0018118</t>
  </si>
  <si>
    <t>Saldo Pindahan :</t>
  </si>
  <si>
    <t>231048-BCA-SETORAN KLIRING</t>
  </si>
  <si>
    <t>0872272</t>
  </si>
  <si>
    <t>0072271</t>
  </si>
  <si>
    <t>G 0646</t>
  </si>
  <si>
    <t>ONGKOS SALES (G) 08 - 11 FEB 2022</t>
  </si>
  <si>
    <t>ONGKOS SALES (G) 14 - 18 FEB 2022</t>
  </si>
  <si>
    <t>ONGKOS SALES (G) 21 - 25 FEB 2022</t>
  </si>
  <si>
    <t>ONGKOS SALES (G) 07 - 12 MAR 2022</t>
  </si>
  <si>
    <t>ONGKOS SALES (G) 14 - 18 MAR 2022</t>
  </si>
  <si>
    <t>KO 0753</t>
  </si>
  <si>
    <t>KO 0754</t>
  </si>
  <si>
    <t>KO 0755</t>
  </si>
  <si>
    <t>010.001-22.12294926</t>
  </si>
  <si>
    <t>010.001-22.12295036</t>
  </si>
  <si>
    <t>010.001-22.12295153</t>
  </si>
  <si>
    <t>010.001-22.12295247</t>
  </si>
  <si>
    <t>010.001-22.12295257</t>
  </si>
  <si>
    <t>010.001-22.12295470</t>
  </si>
  <si>
    <t>010.001-22.12295490</t>
  </si>
  <si>
    <t>010.001-22.12309410</t>
  </si>
  <si>
    <t>010.001-22.12309511</t>
  </si>
  <si>
    <t>010.001-22.12309581</t>
  </si>
  <si>
    <t>010.001-22.12309688</t>
  </si>
  <si>
    <t>N 0767</t>
  </si>
  <si>
    <t>INSENTIVE KARYAWAN MINGGUAN (PERIODE 04 - 09 APRIL 2022)</t>
  </si>
  <si>
    <t>GAJI KARYAWAN HARIAN TETAP (PERIODE 04 - 16 APRIL 2022)</t>
  </si>
  <si>
    <t>INSENTIVE KARYAWAN MINGGUAN (PERIODE 11 - 16 APRIL 2022)</t>
  </si>
  <si>
    <t>INSENTIVE KARYAWAN MINGGUAN (PERIODE 18 - 23 APRIL 2022)</t>
  </si>
  <si>
    <t>GAJI KARYAWAN HARIAN TETAP (PERIODE 18 - 30 APRIL 2022)</t>
  </si>
  <si>
    <t>INSENTIVE KARYAWAN MINGGUAN (PERIODE 25 - 30 APRIL 2022)</t>
  </si>
  <si>
    <t>KO 0782</t>
  </si>
  <si>
    <t>G 0784</t>
  </si>
  <si>
    <t>TUNJANGAN HARI RAYA KARYAWAN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</si>
  <si>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</si>
  <si>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</si>
  <si>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</si>
  <si>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</si>
  <si>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SA220404818</t>
  </si>
  <si>
    <t>SA220404931</t>
  </si>
  <si>
    <t>G 0699</t>
  </si>
  <si>
    <t>SA220405080</t>
  </si>
  <si>
    <t>SA220405081</t>
  </si>
  <si>
    <t>SA220405082</t>
  </si>
  <si>
    <t>KO 0791</t>
  </si>
  <si>
    <t>SA220405122</t>
  </si>
  <si>
    <t>L104005</t>
  </si>
  <si>
    <t>SN22040638</t>
  </si>
  <si>
    <t>KO 0795</t>
  </si>
  <si>
    <t>KO 0796</t>
  </si>
  <si>
    <t>JUD123/22</t>
  </si>
  <si>
    <t>010.000-22.70367363</t>
  </si>
  <si>
    <t>010.005-22.28845515</t>
  </si>
  <si>
    <t>010.005-22.28845650</t>
  </si>
  <si>
    <t>010.001-22.12309797</t>
  </si>
  <si>
    <t>010.001-22.12309898</t>
  </si>
  <si>
    <t>010.001-22.12309989</t>
  </si>
  <si>
    <t>010.001-22.12309990</t>
  </si>
  <si>
    <t>010.001-22.12310075</t>
  </si>
  <si>
    <t>010.001-22.12310124</t>
  </si>
  <si>
    <t>SA220405155</t>
  </si>
  <si>
    <t>SA220405204</t>
  </si>
  <si>
    <t>SA220405203</t>
  </si>
  <si>
    <t>SA220405202</t>
  </si>
  <si>
    <t>SA220405201</t>
  </si>
  <si>
    <t>SA220405267</t>
  </si>
  <si>
    <t>SA220405389</t>
  </si>
  <si>
    <t>SA220405402</t>
  </si>
  <si>
    <t>SA220405519</t>
  </si>
  <si>
    <t>SA220405529</t>
  </si>
  <si>
    <t>SN22040706</t>
  </si>
  <si>
    <t>SA220405579</t>
  </si>
  <si>
    <t>SN22040698</t>
  </si>
  <si>
    <t>JUD196/22</t>
  </si>
  <si>
    <t>010.002-22.82114010</t>
  </si>
  <si>
    <t>010.002-22.82114345</t>
  </si>
  <si>
    <t>010.002-22.82114915</t>
  </si>
  <si>
    <t>010.002-22.82114916</t>
  </si>
  <si>
    <t>010.002-22.82114917</t>
  </si>
  <si>
    <t>010.002-22.82115145</t>
  </si>
  <si>
    <t>010.002-22.82115306</t>
  </si>
  <si>
    <t>010.002-22.82115476</t>
  </si>
  <si>
    <t>010.002-22.82115477</t>
  </si>
  <si>
    <t>010.002-22.82115478</t>
  </si>
  <si>
    <t>010.002-22.82115479</t>
  </si>
  <si>
    <t>010.002-22.82115625</t>
  </si>
  <si>
    <t>N 0800</t>
  </si>
  <si>
    <t>AM 22050001</t>
  </si>
  <si>
    <t>SA220405574</t>
  </si>
  <si>
    <t>SA220405553</t>
  </si>
  <si>
    <t>SA220405652</t>
  </si>
  <si>
    <t>SA220405653</t>
  </si>
  <si>
    <t>L204025</t>
  </si>
  <si>
    <t>L304004</t>
  </si>
  <si>
    <t>JUD303/22</t>
  </si>
  <si>
    <t>KO 1842</t>
  </si>
  <si>
    <t>KO 1843</t>
  </si>
  <si>
    <t>AM 22040181</t>
  </si>
  <si>
    <t>AM 22040204</t>
  </si>
  <si>
    <t>KO 4232</t>
  </si>
  <si>
    <t>KO 1845</t>
  </si>
  <si>
    <t>KO 1847</t>
  </si>
  <si>
    <t>KO 0586</t>
  </si>
  <si>
    <t>KO 4236</t>
  </si>
  <si>
    <t>ABC</t>
  </si>
  <si>
    <t>MERAH 2</t>
  </si>
  <si>
    <t>G 0599</t>
  </si>
  <si>
    <t>AWAL MANDIRI</t>
  </si>
  <si>
    <t>N 0610</t>
  </si>
  <si>
    <t>G 0652</t>
  </si>
  <si>
    <t>G 0653</t>
  </si>
  <si>
    <t>A 453</t>
  </si>
  <si>
    <t>G 0655</t>
  </si>
  <si>
    <t>G 0613</t>
  </si>
  <si>
    <t>G 0615</t>
  </si>
  <si>
    <t>G 0616</t>
  </si>
  <si>
    <t>N 0618</t>
  </si>
  <si>
    <t>N 0620</t>
  </si>
  <si>
    <t>A 434</t>
  </si>
  <si>
    <t>SULUNG</t>
  </si>
  <si>
    <t>KO 0703</t>
  </si>
  <si>
    <t>N 0621</t>
  </si>
  <si>
    <t>BAPAK IRAWAN</t>
  </si>
  <si>
    <t>KO 0622</t>
  </si>
  <si>
    <t>G 0624</t>
  </si>
  <si>
    <t>G 0625</t>
  </si>
  <si>
    <t>KO 0706</t>
  </si>
  <si>
    <t>KO 0708</t>
  </si>
  <si>
    <t>N 0670</t>
  </si>
  <si>
    <t>KO 0671</t>
  </si>
  <si>
    <t>G 0673</t>
  </si>
  <si>
    <t>CAHAYA SISWA</t>
  </si>
  <si>
    <t>PARE</t>
  </si>
  <si>
    <t>G 0677 - 0680</t>
  </si>
  <si>
    <t>KO 0600</t>
  </si>
  <si>
    <t>KO 0594</t>
  </si>
  <si>
    <t>KO 0639</t>
  </si>
  <si>
    <t>KO 0644</t>
  </si>
  <si>
    <t>KO 0638</t>
  </si>
  <si>
    <t>N 0682</t>
  </si>
  <si>
    <t>KO 0683 0688 0689</t>
  </si>
  <si>
    <t>KO 0757</t>
  </si>
  <si>
    <t>KO 0686</t>
  </si>
  <si>
    <t>KO 0764</t>
  </si>
  <si>
    <t>BARU</t>
  </si>
  <si>
    <t>N 0765</t>
  </si>
  <si>
    <t>REJO BAROKAH</t>
  </si>
  <si>
    <t>REMBANG</t>
  </si>
  <si>
    <t>KO 4239</t>
  </si>
  <si>
    <t>G 0766</t>
  </si>
  <si>
    <t>ISTANA KADO</t>
  </si>
  <si>
    <t>KO 0768</t>
  </si>
  <si>
    <t>N 0777</t>
  </si>
  <si>
    <t>KO 0690</t>
  </si>
  <si>
    <t>KO 0692</t>
  </si>
  <si>
    <t>KO 0693</t>
  </si>
  <si>
    <t>G 0700</t>
  </si>
  <si>
    <t>G 0794</t>
  </si>
  <si>
    <t>SEPULUH</t>
  </si>
  <si>
    <t>DENY</t>
  </si>
  <si>
    <t>G 0560</t>
  </si>
  <si>
    <t>KO 0612 0561</t>
  </si>
  <si>
    <t>G 0562</t>
  </si>
  <si>
    <t>KO 0661 0523</t>
  </si>
  <si>
    <t>N 0549 0529</t>
  </si>
  <si>
    <t>KO 0751 0531</t>
  </si>
  <si>
    <t>KO 0589 0527 0534</t>
  </si>
  <si>
    <t>KO 0536</t>
  </si>
  <si>
    <t>G 0538</t>
  </si>
  <si>
    <t>G 0563</t>
  </si>
  <si>
    <t>G 0564</t>
  </si>
  <si>
    <t>KO 0668 0539 0565</t>
  </si>
  <si>
    <t>G 0566</t>
  </si>
  <si>
    <t>TAMBAH ILMU</t>
  </si>
  <si>
    <t>KO 0608 0567</t>
  </si>
  <si>
    <t>KO 0588 0568 0569</t>
  </si>
  <si>
    <t>N 0609 0524 0570</t>
  </si>
  <si>
    <t>G 0540</t>
  </si>
  <si>
    <t>N 0770 0541</t>
  </si>
  <si>
    <t>RAHARJO</t>
  </si>
  <si>
    <t>G 0604 0571</t>
  </si>
  <si>
    <t>N 0573</t>
  </si>
  <si>
    <t>WARNA</t>
  </si>
  <si>
    <t>KO 0574</t>
  </si>
  <si>
    <t>SUKSES 1</t>
  </si>
  <si>
    <t>N 0602 0575</t>
  </si>
  <si>
    <t>N 0572</t>
  </si>
  <si>
    <t>N 0547</t>
  </si>
  <si>
    <t>N 0576</t>
  </si>
  <si>
    <t>KO 0601 0528 0577</t>
  </si>
  <si>
    <t>N 0640 0535 0578</t>
  </si>
  <si>
    <t>G 0582</t>
  </si>
  <si>
    <t>G 0583</t>
  </si>
  <si>
    <t>G 0584</t>
  </si>
  <si>
    <t>KO 4231 4205 4233</t>
  </si>
  <si>
    <t>KO 1844 1846</t>
  </si>
  <si>
    <t>KO 4230 1848</t>
  </si>
  <si>
    <t>KO 4228 1849</t>
  </si>
  <si>
    <t>KO 4234 1850 0707</t>
  </si>
  <si>
    <t>KO 4235 0702 0705</t>
  </si>
  <si>
    <t>N 097 098 099 100</t>
  </si>
  <si>
    <t>G 0603 0672 0780</t>
  </si>
  <si>
    <t>N 0605 0530 0769</t>
  </si>
  <si>
    <t>G 0585 0522 0619</t>
  </si>
  <si>
    <t>KO 0591 0656 0685</t>
  </si>
  <si>
    <t>KO 0592 0760 0773</t>
  </si>
  <si>
    <t>KO 0593 0662 0649</t>
  </si>
  <si>
    <t>KO 0595 0581 0626</t>
  </si>
  <si>
    <t>KO 0596 0533 0647</t>
  </si>
  <si>
    <t>KO 0597 0676 0641</t>
  </si>
  <si>
    <t>G 0607 0532 0771</t>
  </si>
  <si>
    <t>KO 0611 0667</t>
  </si>
  <si>
    <t>KO 3249 3250</t>
  </si>
  <si>
    <t>KO 0657 0627 0645</t>
  </si>
  <si>
    <t>G 0614 0665 0675</t>
  </si>
  <si>
    <t>KO 0659 0542 0633</t>
  </si>
  <si>
    <t>KO 0704 0711 0714</t>
  </si>
  <si>
    <t>KO 0658 0697 0786</t>
  </si>
  <si>
    <t>G 0628 0762 0695</t>
  </si>
  <si>
    <t>KO 0635 0801</t>
  </si>
  <si>
    <t>KO 0709 0710 0715</t>
  </si>
  <si>
    <t>AM 22050002</t>
  </si>
  <si>
    <t>AM 22050003</t>
  </si>
  <si>
    <t>AM 22050004</t>
  </si>
  <si>
    <t>AM 22050005</t>
  </si>
  <si>
    <t>AM 22050006</t>
  </si>
  <si>
    <t>AM 22050007</t>
  </si>
  <si>
    <t>AM 22050008</t>
  </si>
  <si>
    <t>AM 22050009</t>
  </si>
  <si>
    <t>AM 22050010</t>
  </si>
  <si>
    <t>AM 22050011</t>
  </si>
  <si>
    <t>AM 22050012</t>
  </si>
  <si>
    <t>AM 22050013</t>
  </si>
  <si>
    <t>AM 22050014</t>
  </si>
  <si>
    <t>AM 22050015</t>
  </si>
  <si>
    <t>AM 22050016</t>
  </si>
  <si>
    <t>AM 22050017</t>
  </si>
  <si>
    <t>AM 22050018</t>
  </si>
  <si>
    <t>AM 22050019</t>
  </si>
  <si>
    <t>AM 22050020</t>
  </si>
  <si>
    <t>AM 22050021</t>
  </si>
  <si>
    <t>AM 22050022</t>
  </si>
  <si>
    <t>AM 22050023</t>
  </si>
  <si>
    <t>AM 22050024</t>
  </si>
  <si>
    <t>AM 22050025</t>
  </si>
  <si>
    <t>AM 22050026</t>
  </si>
  <si>
    <t>AM 22050027</t>
  </si>
  <si>
    <t>AM 22050028</t>
  </si>
  <si>
    <t>AM 22050029</t>
  </si>
  <si>
    <t>AM 22050030</t>
  </si>
  <si>
    <t>AM 22050031</t>
  </si>
  <si>
    <t>AM 22050032</t>
  </si>
  <si>
    <t>AM 22050033</t>
  </si>
  <si>
    <t>AM 22050034</t>
  </si>
  <si>
    <t>AM 22050035</t>
  </si>
  <si>
    <t>AM 22050036</t>
  </si>
  <si>
    <t>AM 22050037</t>
  </si>
  <si>
    <t>AM 22050038</t>
  </si>
  <si>
    <t>AM 22050039</t>
  </si>
  <si>
    <t>AM 22050040</t>
  </si>
  <si>
    <t>AM 22050041</t>
  </si>
  <si>
    <t>AM 22050042</t>
  </si>
  <si>
    <t>AM 22050043</t>
  </si>
  <si>
    <t>AM 22050044</t>
  </si>
  <si>
    <t>AM 22050045</t>
  </si>
  <si>
    <t>AM 22050046</t>
  </si>
  <si>
    <t>AM 22050047</t>
  </si>
  <si>
    <t>AM 22050048</t>
  </si>
  <si>
    <t>AM 22050049</t>
  </si>
  <si>
    <t>AM 22050050</t>
  </si>
  <si>
    <t>AM 22050051</t>
  </si>
  <si>
    <t>AM 22050052</t>
  </si>
  <si>
    <t>AM 22050053</t>
  </si>
  <si>
    <t>AM 22050054</t>
  </si>
  <si>
    <t>AM 22050055</t>
  </si>
  <si>
    <t>AM 22050056</t>
  </si>
  <si>
    <t>AM 22050057</t>
  </si>
  <si>
    <t>AM 22050058</t>
  </si>
  <si>
    <t>AM 22050059</t>
  </si>
  <si>
    <t>AM 22050060</t>
  </si>
  <si>
    <t>AM 22050061</t>
  </si>
  <si>
    <t>AM 22050062</t>
  </si>
  <si>
    <t>AM 22050063</t>
  </si>
  <si>
    <t>AM 22050064</t>
  </si>
  <si>
    <t>AM 22050065</t>
  </si>
  <si>
    <t>AM 22050066</t>
  </si>
  <si>
    <t>AM 22050067</t>
  </si>
  <si>
    <t>AM 22050068</t>
  </si>
  <si>
    <t>AM 22050069</t>
  </si>
  <si>
    <t>AM 22050070</t>
  </si>
  <si>
    <t>AM 22050071</t>
  </si>
  <si>
    <t>AM 22050072</t>
  </si>
  <si>
    <t>AM 22050073</t>
  </si>
  <si>
    <t>AM 22050074</t>
  </si>
  <si>
    <t>AM 22050075</t>
  </si>
  <si>
    <t>AM 22050076</t>
  </si>
  <si>
    <t>AM 22050077</t>
  </si>
  <si>
    <t>AM 22050078</t>
  </si>
  <si>
    <t>AM 22050079</t>
  </si>
  <si>
    <t>AM 22050080</t>
  </si>
  <si>
    <t>AM 22050081</t>
  </si>
  <si>
    <t>AM 22050082</t>
  </si>
  <si>
    <t>AM 22050083</t>
  </si>
  <si>
    <t>AM 22050084</t>
  </si>
  <si>
    <t>AM 22050085</t>
  </si>
  <si>
    <t>AM 22050086</t>
  </si>
  <si>
    <t>AM 22050087</t>
  </si>
  <si>
    <t>AM 22050088</t>
  </si>
  <si>
    <t>AM 22050089</t>
  </si>
  <si>
    <t>AM 22050090</t>
  </si>
  <si>
    <t>AM 22050091</t>
  </si>
  <si>
    <t>AM 22050092</t>
  </si>
  <si>
    <t>AM 22050093</t>
  </si>
  <si>
    <t>AM 22050094</t>
  </si>
  <si>
    <t>AM 22050095</t>
  </si>
  <si>
    <t>AM 22050096</t>
  </si>
  <si>
    <t>AM 22050097</t>
  </si>
  <si>
    <t>AM 22050098</t>
  </si>
  <si>
    <t>AM 22050099</t>
  </si>
  <si>
    <t>AM 22050100</t>
  </si>
  <si>
    <t>AM 22050101</t>
  </si>
  <si>
    <t>AM 22050102</t>
  </si>
  <si>
    <t>AM 22050103</t>
  </si>
  <si>
    <t>AM 22050104</t>
  </si>
  <si>
    <t>AM 22050105</t>
  </si>
  <si>
    <t>AM 22050106</t>
  </si>
  <si>
    <t>AM 22050107</t>
  </si>
  <si>
    <t>AM 22050108</t>
  </si>
  <si>
    <t>AM 22050109</t>
  </si>
  <si>
    <t>AM 22050110</t>
  </si>
  <si>
    <t>AM 22050111</t>
  </si>
  <si>
    <t>AM 22050112</t>
  </si>
  <si>
    <t>AM 22050113</t>
  </si>
  <si>
    <t>AM 22050114</t>
  </si>
  <si>
    <t>AM 22050115</t>
  </si>
  <si>
    <t>AM 22050116</t>
  </si>
  <si>
    <t>AM 22050117</t>
  </si>
  <si>
    <t>AM 22050118</t>
  </si>
  <si>
    <t>AM 22050119</t>
  </si>
  <si>
    <t>AM 22050120</t>
  </si>
  <si>
    <t>AM 22050121</t>
  </si>
  <si>
    <t>AM 22050122</t>
  </si>
  <si>
    <t>AM 22050123</t>
  </si>
  <si>
    <t>AM 22050124</t>
  </si>
  <si>
    <t>AM 22050125</t>
  </si>
  <si>
    <t>AM 22050126</t>
  </si>
  <si>
    <t>AM 22050127</t>
  </si>
  <si>
    <t>AM 22050128</t>
  </si>
  <si>
    <t>AM 22050129</t>
  </si>
  <si>
    <t>AM 22050130</t>
  </si>
  <si>
    <t>AM 22050131</t>
  </si>
  <si>
    <t>AM 22050132</t>
  </si>
  <si>
    <t>AM 22050133</t>
  </si>
  <si>
    <t>AM 22050134</t>
  </si>
  <si>
    <t>AM 22050135</t>
  </si>
  <si>
    <t>AM 22050136</t>
  </si>
  <si>
    <t>AM 22050137</t>
  </si>
  <si>
    <t>AM 22050138</t>
  </si>
  <si>
    <t>AM 22050139</t>
  </si>
  <si>
    <t>AM 22050140</t>
  </si>
  <si>
    <t>AM 22050141</t>
  </si>
  <si>
    <t>AM 22050142</t>
  </si>
  <si>
    <t>AM 22050143</t>
  </si>
  <si>
    <t>AM 22050144</t>
  </si>
  <si>
    <t>AM 22050145</t>
  </si>
  <si>
    <t>AM 22050146</t>
  </si>
  <si>
    <t>AM 22050147</t>
  </si>
  <si>
    <t>AM 22050148</t>
  </si>
  <si>
    <t>AM 22050149</t>
  </si>
  <si>
    <t>AM 22050150</t>
  </si>
  <si>
    <t>G 0798</t>
  </si>
  <si>
    <t>G 0810</t>
  </si>
  <si>
    <t>KO 0642 0648 0774</t>
  </si>
  <si>
    <t>G 0643 0803</t>
  </si>
  <si>
    <t>N 001 002</t>
  </si>
  <si>
    <t>N 0687 0756</t>
  </si>
  <si>
    <t>KO 4238 0712</t>
  </si>
  <si>
    <t>G 0752 0778</t>
  </si>
  <si>
    <t>KO 0758 0548 0691</t>
  </si>
  <si>
    <t>G 0636 0772 0779</t>
  </si>
  <si>
    <t>G 0854</t>
  </si>
  <si>
    <t>CITRA (MARIO)</t>
  </si>
  <si>
    <t>KO 0763 0698</t>
  </si>
  <si>
    <t>010.001-22.10694635</t>
  </si>
  <si>
    <t>010.004-22.74205280</t>
  </si>
  <si>
    <t>010.004-22.74205319</t>
  </si>
  <si>
    <t>KO 0694</t>
  </si>
  <si>
    <t>N 0544</t>
  </si>
  <si>
    <t>G 0776 0537 0793</t>
  </si>
  <si>
    <t>KO 0717 0713 0716</t>
  </si>
  <si>
    <t>N 1472-73</t>
  </si>
  <si>
    <t>BENGAWAN RETAIL MANDIRI</t>
  </si>
  <si>
    <t>KO 0806 0856 0858</t>
  </si>
  <si>
    <t>AGUSTINE</t>
  </si>
  <si>
    <t>010.002-22.82115914</t>
  </si>
  <si>
    <t>010.002-22.82116045</t>
  </si>
  <si>
    <t>010.002-22.82116284</t>
  </si>
  <si>
    <t>010.002-22.82116419</t>
  </si>
  <si>
    <t>010.002-22.82116557</t>
  </si>
  <si>
    <t>010.002-22.82116578</t>
  </si>
  <si>
    <t>010.002-22.82116583</t>
  </si>
  <si>
    <t>010.002-22.82116789</t>
  </si>
  <si>
    <t>010.002-22.82116790</t>
  </si>
  <si>
    <t>KO 0761 0546</t>
  </si>
  <si>
    <t>011.000-22.48606588</t>
  </si>
  <si>
    <t>011.000-22.48606645</t>
  </si>
  <si>
    <t>011.000-22.48606653</t>
  </si>
  <si>
    <t>SA220505772</t>
  </si>
  <si>
    <t>L105006</t>
  </si>
  <si>
    <t>KO 0878</t>
  </si>
  <si>
    <t>KO 0812 0792 0862</t>
  </si>
  <si>
    <t>KO 0813 0790 0886</t>
  </si>
  <si>
    <t>KO 0857 0879 0883</t>
  </si>
  <si>
    <t>N 0863</t>
  </si>
  <si>
    <t>IMANUEL</t>
  </si>
  <si>
    <t>G 0860</t>
  </si>
  <si>
    <t>METTA</t>
  </si>
  <si>
    <t>TERMINAL</t>
  </si>
  <si>
    <t>KO 0877</t>
  </si>
  <si>
    <t>KO 0881</t>
  </si>
  <si>
    <t>KO 0892</t>
  </si>
  <si>
    <t>KO 0887</t>
  </si>
  <si>
    <t>G 0888</t>
  </si>
  <si>
    <t>G 0893</t>
  </si>
  <si>
    <t>KO 0897 0898</t>
  </si>
  <si>
    <t>G 0816</t>
  </si>
  <si>
    <t>KO 0900</t>
  </si>
  <si>
    <t>22050103</t>
  </si>
  <si>
    <t>22050104</t>
  </si>
  <si>
    <t>22050147</t>
  </si>
  <si>
    <t>22050322</t>
  </si>
  <si>
    <t>SA220505854</t>
  </si>
  <si>
    <t>SA220505855</t>
  </si>
  <si>
    <t>SBM</t>
  </si>
  <si>
    <t>A 355 - 359</t>
  </si>
  <si>
    <t>ANEKA JAYA</t>
  </si>
  <si>
    <t>KO 0818</t>
  </si>
  <si>
    <t>PEMALANG</t>
  </si>
  <si>
    <t>G 0819</t>
  </si>
  <si>
    <t>NAHDIANA ( KERSANA )</t>
  </si>
  <si>
    <t>N 0820</t>
  </si>
  <si>
    <t>- 001100 | 23/03/2022 | H 8784 GQ</t>
  </si>
  <si>
    <t>- 000004 | 26/03/2022 | H 1028 WR</t>
  </si>
  <si>
    <t>- 000032 | 29/03/2022 | H 8308 HA</t>
  </si>
  <si>
    <t>- 000079 | 05/04/2022 | H 1240 IH</t>
  </si>
  <si>
    <t>- 000140 | 14/04/2022 | H 1887 UH</t>
  </si>
  <si>
    <t>01 APR 2022 s/d 09 MEI 2022</t>
  </si>
  <si>
    <t>KO 0821</t>
  </si>
  <si>
    <t>-- JENNY RUSTIN WIDJAJA</t>
  </si>
  <si>
    <t>dari SCH SINAR CAHAYA NIRMALA</t>
  </si>
  <si>
    <t>0872273</t>
  </si>
  <si>
    <t>0872274</t>
  </si>
  <si>
    <t>0678927</t>
  </si>
  <si>
    <t>F2652</t>
  </si>
  <si>
    <t>F6899</t>
  </si>
  <si>
    <t>PEMBELIAN DARI PT SEMBILAN-SEMBILAN JAYA UTAMA JAKARTA</t>
  </si>
  <si>
    <t>PEMBELIAN DARI PT ATALI MAKMUR JAKARTA</t>
  </si>
  <si>
    <t>N 0823</t>
  </si>
  <si>
    <t>KO 0825</t>
  </si>
  <si>
    <t>MORO</t>
  </si>
  <si>
    <t>KO 0804 0787</t>
  </si>
  <si>
    <t>KO 0847</t>
  </si>
  <si>
    <t>KO 0956</t>
  </si>
  <si>
    <t>KO 0957</t>
  </si>
  <si>
    <t>KO 0835</t>
  </si>
  <si>
    <t>KO 0955</t>
  </si>
  <si>
    <t>G 0853 0817 0839</t>
  </si>
  <si>
    <t>KO 0807 0890 0843</t>
  </si>
  <si>
    <t>KO 0891 0832 0842</t>
  </si>
  <si>
    <t>010.001-22.12310281</t>
  </si>
  <si>
    <t>010.001-22.12310341</t>
  </si>
  <si>
    <t>010.001-22.12310387</t>
  </si>
  <si>
    <t>010.001-22.12310388</t>
  </si>
  <si>
    <t>010.001-22.12310431</t>
  </si>
  <si>
    <t>010.001-22.12310527</t>
  </si>
  <si>
    <t>22050237</t>
  </si>
  <si>
    <t>010.001-22.12310612</t>
  </si>
  <si>
    <t>010.001-22.12310711</t>
  </si>
  <si>
    <t>010.001-22.12310712</t>
  </si>
  <si>
    <t>010.001-22.12310844</t>
  </si>
  <si>
    <t>010.001-22.12310858</t>
  </si>
  <si>
    <t>KO 0981</t>
  </si>
  <si>
    <t>KO 0976</t>
  </si>
  <si>
    <t>KO 0788 0789 0841</t>
  </si>
  <si>
    <t>SA220506151</t>
  </si>
  <si>
    <t>SA220506172</t>
  </si>
  <si>
    <t>SA220506081</t>
  </si>
  <si>
    <t>010.004-22.74205351</t>
  </si>
  <si>
    <t>010.001-22.12311078</t>
  </si>
  <si>
    <t>010.001-22.12311092</t>
  </si>
  <si>
    <t>010.001-22.12311210</t>
  </si>
  <si>
    <t>010.001-22.12311216</t>
  </si>
  <si>
    <t>010.001-22.12311353</t>
  </si>
  <si>
    <t>SA220506268</t>
  </si>
  <si>
    <t>SA220506374</t>
  </si>
  <si>
    <t>SN22050870</t>
  </si>
  <si>
    <t>SN22050872</t>
  </si>
  <si>
    <t>SA220506469</t>
  </si>
  <si>
    <t>SA220506522</t>
  </si>
  <si>
    <t>G 0974</t>
  </si>
  <si>
    <t>KO 0977</t>
  </si>
  <si>
    <t>KO 0721</t>
  </si>
  <si>
    <t>KO 0998</t>
  </si>
  <si>
    <t>INSENTIVE KARYAWAN MINGGUAN (PERIODE 09 - 14 MEI 2022)</t>
  </si>
  <si>
    <t>GAJI KARYAWAN HARIAN TETAP (PERIODE 09 - 21 MEI 2022)</t>
  </si>
  <si>
    <t>INSENTIVE KARYAWAN MINGGUAN (PERIODE 16 - 21 MEI 2022)</t>
  </si>
  <si>
    <t>INSENTIVE KARYAWAN MINGGUAN (PERIODE 23 - 28 MEI 2022)</t>
  </si>
  <si>
    <t>KO 0826 0876 0845</t>
  </si>
  <si>
    <t>KO 0875 0895 0846</t>
  </si>
  <si>
    <t>G 0884 0799 0849</t>
  </si>
  <si>
    <t>KO 0872 4243 4249</t>
  </si>
  <si>
    <t>N 0951</t>
  </si>
  <si>
    <t>KO 0894 0831 0953</t>
  </si>
  <si>
    <t>KO 0866 0867 0954</t>
  </si>
  <si>
    <t>KO 0959</t>
  </si>
  <si>
    <t>KO 0873 0960</t>
  </si>
  <si>
    <t>G 0852 0864 0961</t>
  </si>
  <si>
    <t>N 0865 0781 0962</t>
  </si>
  <si>
    <t>G 0965</t>
  </si>
  <si>
    <t>NAHDIANA ( KETANGGUNGAN )</t>
  </si>
  <si>
    <t>KO 0966</t>
  </si>
  <si>
    <t>INTAN</t>
  </si>
  <si>
    <t>N 0963 0967</t>
  </si>
  <si>
    <t>G 0834</t>
  </si>
  <si>
    <t>G 0968</t>
  </si>
  <si>
    <t>KO 0889 0829 0969</t>
  </si>
  <si>
    <t>KO 0964 0797 0970</t>
  </si>
  <si>
    <t>G 0978</t>
  </si>
  <si>
    <t>KO 0815 0880 0979</t>
  </si>
  <si>
    <t>G 0822 0982</t>
  </si>
  <si>
    <t>N 0986</t>
  </si>
  <si>
    <t>010.001-22.12311482</t>
  </si>
  <si>
    <t>010.001-22.12311520</t>
  </si>
  <si>
    <t>010.001-22.12311666</t>
  </si>
  <si>
    <t>KO 0874 0833 0988</t>
  </si>
  <si>
    <t>KO 0989</t>
  </si>
  <si>
    <t>G 0992</t>
  </si>
  <si>
    <t>KO 0882 0850 0995</t>
  </si>
  <si>
    <t>KO 0997</t>
  </si>
  <si>
    <t>G 0999</t>
  </si>
  <si>
    <t>G 0899 1000</t>
  </si>
  <si>
    <t>G 2723</t>
  </si>
  <si>
    <t>N 0209</t>
  </si>
  <si>
    <t>RAMAI</t>
  </si>
  <si>
    <t>KO 0718 0719 0722</t>
  </si>
  <si>
    <t>KO 0723</t>
  </si>
  <si>
    <t>KO 1533</t>
  </si>
  <si>
    <t>AM 22060001</t>
  </si>
  <si>
    <t>KO 1582</t>
  </si>
  <si>
    <t>KO 1583</t>
  </si>
  <si>
    <t>KO 1581</t>
  </si>
  <si>
    <t>KO 1545</t>
  </si>
  <si>
    <t>22060087</t>
  </si>
  <si>
    <t>22060086</t>
  </si>
  <si>
    <t>SA220506567</t>
  </si>
  <si>
    <t>SA220506568</t>
  </si>
  <si>
    <t>SA220506683</t>
  </si>
  <si>
    <t>SA220506684</t>
  </si>
  <si>
    <t>SA220506682</t>
  </si>
  <si>
    <t>SA220506681</t>
  </si>
  <si>
    <t>SA220506730</t>
  </si>
  <si>
    <t>SA220506731</t>
  </si>
  <si>
    <t>SA220506840</t>
  </si>
  <si>
    <t>SA220506841</t>
  </si>
  <si>
    <t>SA220506936</t>
  </si>
  <si>
    <t>JUE298/22</t>
  </si>
  <si>
    <t>AM 22050151</t>
  </si>
  <si>
    <t>AM 22050152</t>
  </si>
  <si>
    <t>AM 22050153</t>
  </si>
  <si>
    <t>AM 22050154</t>
  </si>
  <si>
    <t>AM 22050155</t>
  </si>
  <si>
    <t>AM 22050156</t>
  </si>
  <si>
    <t>AM 22050157</t>
  </si>
  <si>
    <t>AM 22050158</t>
  </si>
  <si>
    <t>AM 22050159</t>
  </si>
  <si>
    <t>AM 22050160</t>
  </si>
  <si>
    <t>AM 22050161</t>
  </si>
  <si>
    <t>AM 22050162</t>
  </si>
  <si>
    <t>AM 22050163</t>
  </si>
  <si>
    <t>AM 22050164</t>
  </si>
  <si>
    <t>AM 22050165</t>
  </si>
  <si>
    <t>AM 22050166</t>
  </si>
  <si>
    <t>AM 22050167</t>
  </si>
  <si>
    <t>AM 22050168</t>
  </si>
  <si>
    <t>AM 22050169</t>
  </si>
  <si>
    <t>AM 22050170</t>
  </si>
  <si>
    <t>AM 22050171</t>
  </si>
  <si>
    <t>AM 22050172</t>
  </si>
  <si>
    <t>AM 22050173</t>
  </si>
  <si>
    <t>AM 22050174</t>
  </si>
  <si>
    <t>AM 22050175</t>
  </si>
  <si>
    <t>AM 22050176</t>
  </si>
  <si>
    <t>AM 22050177</t>
  </si>
  <si>
    <t>AM 22050178</t>
  </si>
  <si>
    <t>AM 22050179</t>
  </si>
  <si>
    <t>AM 22050180</t>
  </si>
  <si>
    <t>AM 22050181</t>
  </si>
  <si>
    <t>AM 22050182</t>
  </si>
  <si>
    <t>G 1549</t>
  </si>
  <si>
    <t>G 1501</t>
  </si>
  <si>
    <t>KO 0805 0855 1502</t>
  </si>
  <si>
    <t>DASCO</t>
  </si>
  <si>
    <t>G 1503</t>
  </si>
  <si>
    <t>N 0824 1505</t>
  </si>
  <si>
    <t>KO 1653</t>
  </si>
  <si>
    <t>KO 1506</t>
  </si>
  <si>
    <t>KO 0994 1507</t>
  </si>
  <si>
    <t>KO 0885 0840 1509</t>
  </si>
  <si>
    <t>KO 0980 0993 1511</t>
  </si>
  <si>
    <t>G 1512</t>
  </si>
  <si>
    <t>N 0827 0828 1513</t>
  </si>
  <si>
    <t>KO 0871 0987 1514</t>
  </si>
  <si>
    <t>KO 4240 4248 1516</t>
  </si>
  <si>
    <t>KO 1518</t>
  </si>
  <si>
    <t>KO 1551</t>
  </si>
  <si>
    <t>KO 1552</t>
  </si>
  <si>
    <t>KO 1554</t>
  </si>
  <si>
    <t>KO 1555</t>
  </si>
  <si>
    <t>N 1556</t>
  </si>
  <si>
    <t>SA220506729</t>
  </si>
  <si>
    <t>SA220507048</t>
  </si>
  <si>
    <t>SA220507049</t>
  </si>
  <si>
    <t>SA220507050</t>
  </si>
  <si>
    <t>SA220507051</t>
  </si>
  <si>
    <t>SA220507128</t>
  </si>
  <si>
    <t>SA220507152</t>
  </si>
  <si>
    <t>SA220507153</t>
  </si>
  <si>
    <t>SN22050958</t>
  </si>
  <si>
    <t>SINV99-220500000439</t>
  </si>
  <si>
    <t>SINV99-220500000440</t>
  </si>
  <si>
    <t>JL-22855</t>
  </si>
  <si>
    <t>SA220607291</t>
  </si>
  <si>
    <t>SA220607362</t>
  </si>
  <si>
    <t>SN22060995</t>
  </si>
  <si>
    <t>22060129</t>
  </si>
  <si>
    <t>SA220607531</t>
  </si>
  <si>
    <t>010.005-22.28846074</t>
  </si>
  <si>
    <t>010.002-22.82117288</t>
  </si>
  <si>
    <t>010.002-22.82117584</t>
  </si>
  <si>
    <t>010.002-22.82117585</t>
  </si>
  <si>
    <t>010.002-22.82118239</t>
  </si>
  <si>
    <t>010.002-22.82118445</t>
  </si>
  <si>
    <t>010.002-22.82118466</t>
  </si>
  <si>
    <t>010.006-22.76486113</t>
  </si>
  <si>
    <t>010.006-22.76486115</t>
  </si>
  <si>
    <t>010.006-22.76486295</t>
  </si>
  <si>
    <t>010.006-22.18874381</t>
  </si>
  <si>
    <t>010.006-22.18874382</t>
  </si>
  <si>
    <t>22060179</t>
  </si>
  <si>
    <t>22060207</t>
  </si>
  <si>
    <t>22060296</t>
  </si>
  <si>
    <t>22060360</t>
  </si>
  <si>
    <t>LMA 2022-06-025</t>
  </si>
  <si>
    <t>N 1561</t>
  </si>
  <si>
    <t>KO 1562</t>
  </si>
  <si>
    <t>N 0958 0985 1563</t>
  </si>
  <si>
    <t>G 1521</t>
  </si>
  <si>
    <t>G 1525</t>
  </si>
  <si>
    <t>KO 1566</t>
  </si>
  <si>
    <t>G 1567</t>
  </si>
  <si>
    <t>KO 0809 0838 1569</t>
  </si>
  <si>
    <t>G 0990 1519 1571</t>
  </si>
  <si>
    <t>KO 1515 1572</t>
  </si>
  <si>
    <t>KO 0848 1559 1573</t>
  </si>
  <si>
    <t>KO 1557 1520 1574</t>
  </si>
  <si>
    <t>KO 0996 1504 1576</t>
  </si>
  <si>
    <t>G 1577</t>
  </si>
  <si>
    <t>KO 1523 1570 1578</t>
  </si>
  <si>
    <t>G 1517 1524 1579</t>
  </si>
  <si>
    <t>KO 1580</t>
  </si>
  <si>
    <t>G 0983 1587</t>
  </si>
  <si>
    <t>G 0984 1526 1588</t>
  </si>
  <si>
    <t>G 1510 1553 1589</t>
  </si>
  <si>
    <t>G 0971 1590</t>
  </si>
  <si>
    <t>G 1594</t>
  </si>
  <si>
    <t>G 0771 1596</t>
  </si>
  <si>
    <t>SA220607648</t>
  </si>
  <si>
    <t>22060451</t>
  </si>
  <si>
    <t>KO 1651</t>
  </si>
  <si>
    <t>N 0785 0545 1528</t>
  </si>
  <si>
    <t>N 1529</t>
  </si>
  <si>
    <t>N 1631</t>
  </si>
  <si>
    <t>N 1532</t>
  </si>
  <si>
    <t>G 0975 0696 1534</t>
  </si>
  <si>
    <t>KO 0972 1522 1535</t>
  </si>
  <si>
    <t>KO 1584 1536</t>
  </si>
  <si>
    <t>G 0837 1527 1537</t>
  </si>
  <si>
    <t>KO 1591 1592 1538</t>
  </si>
  <si>
    <t>KO 1539</t>
  </si>
  <si>
    <t>KO 1540</t>
  </si>
  <si>
    <t>KO 1541</t>
  </si>
  <si>
    <t>KO 1542</t>
  </si>
  <si>
    <t>G 0851 0973 1546</t>
  </si>
  <si>
    <t>KO 1560 1565 1547</t>
  </si>
  <si>
    <t>KO 1543 1548</t>
  </si>
  <si>
    <t>KO 1575 1550</t>
  </si>
  <si>
    <t>G 0811 0952 1544</t>
  </si>
  <si>
    <t>010.006-22.60622855</t>
  </si>
  <si>
    <t>010.002-22.82118889</t>
  </si>
  <si>
    <t>010.002-22.82119159</t>
  </si>
  <si>
    <t>010.006-22.52237123</t>
  </si>
  <si>
    <t>010.006-22.52237176</t>
  </si>
  <si>
    <t>010.006-22.52237425</t>
  </si>
  <si>
    <t>010.006-22.52237426</t>
  </si>
  <si>
    <t>010.006-22.52237685</t>
  </si>
  <si>
    <t>010.006-22.52237686</t>
  </si>
  <si>
    <t>010.006-22.52237687</t>
  </si>
  <si>
    <t>010.006-22.52237688</t>
  </si>
  <si>
    <t>010.006-22.52237898</t>
  </si>
  <si>
    <t>010.006-22.52237899</t>
  </si>
  <si>
    <t>010.006-22.52237900</t>
  </si>
  <si>
    <t>010.006-22.52238148</t>
  </si>
  <si>
    <t>010.006-22.52238149</t>
  </si>
  <si>
    <t>010.006-22.52238416</t>
  </si>
  <si>
    <t>010.006-22.52238717</t>
  </si>
  <si>
    <t>010.006-22.52238718</t>
  </si>
  <si>
    <t>010.006-22.52238719</t>
  </si>
  <si>
    <t>010.006-22.52238720</t>
  </si>
  <si>
    <t>010.006-22.52238983</t>
  </si>
  <si>
    <t>010.006-22.52239007</t>
  </si>
  <si>
    <t>010.006-22.52239008</t>
  </si>
  <si>
    <t>AM 22060002</t>
  </si>
  <si>
    <t>AM 22060003</t>
  </si>
  <si>
    <t>AM 22060004</t>
  </si>
  <si>
    <t>AM 22060005</t>
  </si>
  <si>
    <t>AM 22060006</t>
  </si>
  <si>
    <t>AM 22060007</t>
  </si>
  <si>
    <t>AM 22060008</t>
  </si>
  <si>
    <t>AM 22060009</t>
  </si>
  <si>
    <t>AM 22060010</t>
  </si>
  <si>
    <t>AM 22060011</t>
  </si>
  <si>
    <t>AM 22060012</t>
  </si>
  <si>
    <t>AM 22060013</t>
  </si>
  <si>
    <t>AM 22060014</t>
  </si>
  <si>
    <t>AM 22060015</t>
  </si>
  <si>
    <t>AM 22060016</t>
  </si>
  <si>
    <t>AM 22060017</t>
  </si>
  <si>
    <t>AM 22060018</t>
  </si>
  <si>
    <t>AM 22060019</t>
  </si>
  <si>
    <t>AM 22060020</t>
  </si>
  <si>
    <t>AM 22060021</t>
  </si>
  <si>
    <t>AM 22060022</t>
  </si>
  <si>
    <t>AM 22060023</t>
  </si>
  <si>
    <t>AM 22060024</t>
  </si>
  <si>
    <t>AM 22060025</t>
  </si>
  <si>
    <t>AM 22060026</t>
  </si>
  <si>
    <t>AM 22060027</t>
  </si>
  <si>
    <t>AM 22060028</t>
  </si>
  <si>
    <t>AM 22060029</t>
  </si>
  <si>
    <t>AM 22060030</t>
  </si>
  <si>
    <t>AM 22060031</t>
  </si>
  <si>
    <t>AM 22060032</t>
  </si>
  <si>
    <t>KO 1660</t>
  </si>
  <si>
    <t>G 1673</t>
  </si>
  <si>
    <t>KO 1676</t>
  </si>
  <si>
    <t>KO 1693</t>
  </si>
  <si>
    <t>G/I 1707</t>
  </si>
  <si>
    <t>G/II 1708</t>
  </si>
  <si>
    <t>KO 1709</t>
  </si>
  <si>
    <t>KO 1710</t>
  </si>
  <si>
    <t>G 1722</t>
  </si>
  <si>
    <t>KO 17I5</t>
  </si>
  <si>
    <t>KO 1718</t>
  </si>
  <si>
    <t>KO 1753</t>
  </si>
  <si>
    <t>KO 1725</t>
  </si>
  <si>
    <t>KO 1767</t>
  </si>
  <si>
    <t>G 1727</t>
  </si>
  <si>
    <t>KO 1736</t>
  </si>
  <si>
    <t>KO 1737</t>
  </si>
  <si>
    <t>010.007-22.13924579</t>
  </si>
  <si>
    <t>010.007-22.13924580</t>
  </si>
  <si>
    <t>010.007-22.13924581</t>
  </si>
  <si>
    <t>010.007-22.13924582</t>
  </si>
  <si>
    <t>010.007-22.13924583</t>
  </si>
  <si>
    <t>010.007-22.13924584</t>
  </si>
  <si>
    <t>010.007-22.13924585</t>
  </si>
  <si>
    <t>010.007-22.13924586</t>
  </si>
  <si>
    <t>010.007-22.13924587</t>
  </si>
  <si>
    <t>010.007-22.13924588</t>
  </si>
  <si>
    <t>010.007-22.13924589</t>
  </si>
  <si>
    <t>010.007-22.13924590</t>
  </si>
  <si>
    <t>010.007-22.13924591</t>
  </si>
  <si>
    <t>010.007-22.13924592</t>
  </si>
  <si>
    <t>010.007-22.13924593</t>
  </si>
  <si>
    <t>010.007-22.13924594</t>
  </si>
  <si>
    <t>010.007-22.13924595</t>
  </si>
  <si>
    <t>010.007-22.13924596</t>
  </si>
  <si>
    <t>010.007-22.13924597</t>
  </si>
  <si>
    <t>010.007-22.13924598</t>
  </si>
  <si>
    <t>010.007-22.13924599</t>
  </si>
  <si>
    <t>010.007-22.13924600</t>
  </si>
  <si>
    <t>010.007-22.13924602</t>
  </si>
  <si>
    <t>010.007-22.13924603</t>
  </si>
  <si>
    <t>010.007-22.13924604</t>
  </si>
  <si>
    <t>010.007-22.13924605</t>
  </si>
  <si>
    <t>010.007-22.13924606</t>
  </si>
  <si>
    <t>010.007-22.13924607</t>
  </si>
  <si>
    <t>010.007-22.13924608</t>
  </si>
  <si>
    <t>010.007-22.13924609</t>
  </si>
  <si>
    <t>010.007-22.13924610</t>
  </si>
  <si>
    <t>010.007-22.13924611</t>
  </si>
  <si>
    <t>010.007-22.13924612</t>
  </si>
  <si>
    <t>010.007-22.13924613</t>
  </si>
  <si>
    <t>010.007-22.13924614</t>
  </si>
  <si>
    <t>010.007-22.13924615</t>
  </si>
  <si>
    <t>010.007-22.13924616</t>
  </si>
  <si>
    <t>010.007-22.13924617</t>
  </si>
  <si>
    <t>010.007-22.13924618</t>
  </si>
  <si>
    <t>010.007-22.13924619</t>
  </si>
  <si>
    <t>010.007-22.13924620</t>
  </si>
  <si>
    <t>010.007-22.13924621</t>
  </si>
  <si>
    <t>010.007-22.13924622</t>
  </si>
  <si>
    <t>010.007-22.13924623</t>
  </si>
  <si>
    <t>010.007-22.13924624</t>
  </si>
  <si>
    <t>010.007-22.13924625</t>
  </si>
  <si>
    <t>010.007-22.13924626</t>
  </si>
  <si>
    <t>010.007-22.13924627</t>
  </si>
  <si>
    <t>010.007-22.13924628</t>
  </si>
  <si>
    <t>010.007-22.13924629</t>
  </si>
  <si>
    <t>010.007-22.13924630</t>
  </si>
  <si>
    <t>010.007-22.13924631</t>
  </si>
  <si>
    <t>010.007-22.13924632</t>
  </si>
  <si>
    <t>010.007-22.13924633</t>
  </si>
  <si>
    <t>010.007-22.13924634</t>
  </si>
  <si>
    <t>010.007-22.13924635</t>
  </si>
  <si>
    <t>010.007-22.13924636</t>
  </si>
  <si>
    <t>010.007-22.13924637</t>
  </si>
  <si>
    <t>010.007-22.13924638</t>
  </si>
  <si>
    <t>010.007-22.13924639</t>
  </si>
  <si>
    <t>010.007-22.13924640</t>
  </si>
  <si>
    <t>010.007-22.13924641</t>
  </si>
  <si>
    <t>010.007-22.13924642</t>
  </si>
  <si>
    <t>010.007-22.13924643</t>
  </si>
  <si>
    <t>010.007-22.13924644</t>
  </si>
  <si>
    <t>010.007-22.13924645</t>
  </si>
  <si>
    <t>010.007-22.13924646</t>
  </si>
  <si>
    <t>010.007-22.13924647</t>
  </si>
  <si>
    <t>010.007-22.13924648</t>
  </si>
  <si>
    <t>010.007-22.13924649</t>
  </si>
  <si>
    <t>010.007-22.13924650</t>
  </si>
  <si>
    <t>010.007-22.13924651</t>
  </si>
  <si>
    <t>010.007-22.13924652</t>
  </si>
  <si>
    <t>010.007-22.13924653</t>
  </si>
  <si>
    <t>010.007-22.13924654</t>
  </si>
  <si>
    <t>010.007-22.13924655</t>
  </si>
  <si>
    <t>010.007-22.13924657</t>
  </si>
  <si>
    <t>010.007-22.13924658</t>
  </si>
  <si>
    <t>010.007-22.13924659</t>
  </si>
  <si>
    <t>010.007-22.13924660</t>
  </si>
  <si>
    <t>010.007-22.13924661</t>
  </si>
  <si>
    <t>010.007-22.13924662</t>
  </si>
  <si>
    <t>010.007-22.13924663</t>
  </si>
  <si>
    <t>010.007-22.13924664</t>
  </si>
  <si>
    <t>010.007-22.13924665</t>
  </si>
  <si>
    <t>010.007-22.13924666</t>
  </si>
  <si>
    <t>010.007-22.13924667</t>
  </si>
  <si>
    <t>010.007-22.13924668</t>
  </si>
  <si>
    <t>010.007-22.13924669</t>
  </si>
  <si>
    <t>010.007-22.13924670</t>
  </si>
  <si>
    <t>010.007-22.13924671</t>
  </si>
  <si>
    <t>010.007-22.13924672</t>
  </si>
  <si>
    <t>010.007-22.13924673</t>
  </si>
  <si>
    <t>010.007-22.13924674</t>
  </si>
  <si>
    <t>010.007-22.13924675</t>
  </si>
  <si>
    <t>010.007-22.13924676</t>
  </si>
  <si>
    <t>010.007-22.13924677</t>
  </si>
  <si>
    <t>010.007-22.13924678</t>
  </si>
  <si>
    <t>010.007-22.13924679</t>
  </si>
  <si>
    <t>010.007-22.13924680</t>
  </si>
  <si>
    <t>010.007-22.13924681</t>
  </si>
  <si>
    <t>010.007-22.13924682</t>
  </si>
  <si>
    <t>010.007-22.13924683</t>
  </si>
  <si>
    <t>010.007-22.13924684</t>
  </si>
  <si>
    <t>010.007-22.13924685</t>
  </si>
  <si>
    <t>010.007-22.13924686</t>
  </si>
  <si>
    <t>010.007-22.13924687</t>
  </si>
  <si>
    <t>010.007-22.13924688</t>
  </si>
  <si>
    <t>010.007-22.13924689</t>
  </si>
  <si>
    <t>010.007-22.13924690</t>
  </si>
  <si>
    <t>010.007-22.13924691</t>
  </si>
  <si>
    <t>010.007-22.13924692</t>
  </si>
  <si>
    <t>010.007-22.13924693</t>
  </si>
  <si>
    <t>010.007-22.13924694</t>
  </si>
  <si>
    <t>010.007-22.13924695</t>
  </si>
  <si>
    <t>010.007-22.13924696</t>
  </si>
  <si>
    <t>010.007-22.13924697</t>
  </si>
  <si>
    <t>010.007-22.13924698</t>
  </si>
  <si>
    <t>010.007-22.13924699</t>
  </si>
  <si>
    <t>010.007-22.13924700</t>
  </si>
  <si>
    <t>010.007-22.13924701</t>
  </si>
  <si>
    <t>010.007-22.13924702</t>
  </si>
  <si>
    <t>010.007-22.13924703</t>
  </si>
  <si>
    <t>010.007-22.13924704</t>
  </si>
  <si>
    <t>KO 1777</t>
  </si>
  <si>
    <t>KO 4241 1603 1607</t>
  </si>
  <si>
    <t>KO 0726 1602 1608</t>
  </si>
  <si>
    <t>KO 0725 0729 1609</t>
  </si>
  <si>
    <t>KO 0728 1604 1610</t>
  </si>
  <si>
    <t>KO 1558 1652</t>
  </si>
  <si>
    <t>KO 1654</t>
  </si>
  <si>
    <t>KO 4244 0731</t>
  </si>
  <si>
    <t>KO 1601 1611 0732</t>
  </si>
  <si>
    <t>KO 0730 0735</t>
  </si>
  <si>
    <t>KO 0736</t>
  </si>
  <si>
    <t>KO 1612 0738</t>
  </si>
  <si>
    <t>KO 0739</t>
  </si>
  <si>
    <t>KO 0742</t>
  </si>
  <si>
    <t>KO 0868 1508</t>
  </si>
  <si>
    <t>KO 0720 0724 1606</t>
  </si>
  <si>
    <t>N 003 - 009</t>
  </si>
  <si>
    <t>N 078 080-086</t>
  </si>
  <si>
    <t>PUNGKURAN</t>
  </si>
  <si>
    <t>NGALIYAN</t>
  </si>
  <si>
    <t>N 0361 0364 0365</t>
  </si>
  <si>
    <t>N 0368 0366</t>
  </si>
  <si>
    <t>N 0363 0367</t>
  </si>
  <si>
    <t>N 0067 - 0074</t>
  </si>
  <si>
    <t>N 0360 0075</t>
  </si>
  <si>
    <t>H 0148</t>
  </si>
  <si>
    <t>IJO PUTRA MANDIRI</t>
  </si>
  <si>
    <t>H 0252 - 0260</t>
  </si>
  <si>
    <t>H 0261 - 0266</t>
  </si>
  <si>
    <t>H 0269 - 0280</t>
  </si>
  <si>
    <t>H 294 406 426 429</t>
  </si>
  <si>
    <t>SA220607709</t>
  </si>
  <si>
    <t>SA220607710</t>
  </si>
  <si>
    <t>SA220607788</t>
  </si>
  <si>
    <t>SA220607789</t>
  </si>
  <si>
    <t>SA220607838</t>
  </si>
  <si>
    <t>SA220607859</t>
  </si>
  <si>
    <t>SA220607860</t>
  </si>
  <si>
    <t>SA220607914</t>
  </si>
  <si>
    <t>22060679</t>
  </si>
  <si>
    <t>22060780</t>
  </si>
  <si>
    <t>22060842</t>
  </si>
  <si>
    <t>H 431 440 441 445</t>
  </si>
  <si>
    <t>PLASTIC STEEL</t>
  </si>
  <si>
    <t>KIPAS ANGIN MASPION</t>
  </si>
  <si>
    <t>BAND TAPE (TALI PACKING)</t>
  </si>
  <si>
    <t>PERTALITE H 5458 AS</t>
  </si>
  <si>
    <t>PLAKBAND PACKING</t>
  </si>
  <si>
    <t>LEM BUAT KARTON PACKING</t>
  </si>
  <si>
    <t>SERVICE PANTHER BOX H 1745 H</t>
  </si>
  <si>
    <t>SOLAR H 1028 WR</t>
  </si>
  <si>
    <t>KIER BOX H 8366 CQ</t>
  </si>
  <si>
    <t>ONGKOS SALES (G) 11 - 13 MEI 2022</t>
  </si>
  <si>
    <t>ONGKOS SALES (G) 18 - 21 MEI 2022</t>
  </si>
  <si>
    <t>ONGKOS SALES (G) 24 - 28 MEI 2022</t>
  </si>
  <si>
    <t>SULUNG JAYA</t>
  </si>
  <si>
    <t>H 0411 - 0417</t>
  </si>
  <si>
    <t>H 0281 - 0289</t>
  </si>
  <si>
    <t>H 0292 - 0299</t>
  </si>
  <si>
    <t>01 MEI 2022 s/d 02 JUN 2022</t>
  </si>
  <si>
    <t>0872275</t>
  </si>
  <si>
    <t>F6904</t>
  </si>
  <si>
    <t>968553-BCA-SETORAN KLIRING</t>
  </si>
  <si>
    <t>F6916</t>
  </si>
  <si>
    <t>F6915</t>
  </si>
  <si>
    <t>F6912</t>
  </si>
  <si>
    <t>009</t>
  </si>
  <si>
    <t>SA220608277</t>
  </si>
  <si>
    <t>SA220608278</t>
  </si>
  <si>
    <t>22061125</t>
  </si>
  <si>
    <t>22061141</t>
  </si>
  <si>
    <t>22061263</t>
  </si>
  <si>
    <t>22061290</t>
  </si>
  <si>
    <t>JL-68845</t>
  </si>
  <si>
    <t>KO 1780</t>
  </si>
  <si>
    <t>KO 1748</t>
  </si>
  <si>
    <t>KO 1851</t>
  </si>
  <si>
    <t>KO 1792</t>
  </si>
  <si>
    <t>KO 1794</t>
  </si>
  <si>
    <t>KO 1798</t>
  </si>
  <si>
    <t>KO 1901</t>
  </si>
  <si>
    <t>AM 22060033</t>
  </si>
  <si>
    <t>AM 22060034</t>
  </si>
  <si>
    <t>AM 22060035</t>
  </si>
  <si>
    <t>AM 22060036</t>
  </si>
  <si>
    <t>AM 22060037</t>
  </si>
  <si>
    <t>AM 22060038</t>
  </si>
  <si>
    <t>AM 22060039</t>
  </si>
  <si>
    <t>AM 22060040</t>
  </si>
  <si>
    <t>AM 22060041</t>
  </si>
  <si>
    <t>AM 22060043</t>
  </si>
  <si>
    <t>AM 22060044</t>
  </si>
  <si>
    <t>AM 22060045</t>
  </si>
  <si>
    <t>AM 22060046</t>
  </si>
  <si>
    <t>AM 22060047</t>
  </si>
  <si>
    <t>AM 22060048</t>
  </si>
  <si>
    <t>AM 22060049</t>
  </si>
  <si>
    <t>AM 22060050</t>
  </si>
  <si>
    <t>KO 1863</t>
  </si>
  <si>
    <t>KO 1912</t>
  </si>
  <si>
    <t>KO 1914</t>
  </si>
  <si>
    <t>N 1882</t>
  </si>
  <si>
    <t>N 1883</t>
  </si>
  <si>
    <t>KO 1920</t>
  </si>
  <si>
    <t>KO 1889</t>
  </si>
  <si>
    <t>KO 1931</t>
  </si>
  <si>
    <t>AM 22060051</t>
  </si>
  <si>
    <t>AM 22060052</t>
  </si>
  <si>
    <t>AM 22060053</t>
  </si>
  <si>
    <t>AM 22060054</t>
  </si>
  <si>
    <t>AM 22060055</t>
  </si>
  <si>
    <t>AM 22060056</t>
  </si>
  <si>
    <t>AM 22060057</t>
  </si>
  <si>
    <t>AM 22060058</t>
  </si>
  <si>
    <t>AM 22060059</t>
  </si>
  <si>
    <t>AM 22060060</t>
  </si>
  <si>
    <t>AM 22060061</t>
  </si>
  <si>
    <t>AM 22060062</t>
  </si>
  <si>
    <t>AM 22060063</t>
  </si>
  <si>
    <t>AM 22060064</t>
  </si>
  <si>
    <t>AM 22060065</t>
  </si>
  <si>
    <t>AM 22060066</t>
  </si>
  <si>
    <t>AM 22060067</t>
  </si>
  <si>
    <t>AM 22060068</t>
  </si>
  <si>
    <t>AM 22060069</t>
  </si>
  <si>
    <t>AM 22060070</t>
  </si>
  <si>
    <t>AM 22060071</t>
  </si>
  <si>
    <t>AM 22060072</t>
  </si>
  <si>
    <t>AM 22060073</t>
  </si>
  <si>
    <t>AM 22060074</t>
  </si>
  <si>
    <t>AM 22060075</t>
  </si>
  <si>
    <t>AM 22060076</t>
  </si>
  <si>
    <t>AM 22060077</t>
  </si>
  <si>
    <t>AM 22060078</t>
  </si>
  <si>
    <t>AM 22060079</t>
  </si>
  <si>
    <t>AM 22060080</t>
  </si>
  <si>
    <t>AM 22060081</t>
  </si>
  <si>
    <t>AM 22060082</t>
  </si>
  <si>
    <t>AM 22060083</t>
  </si>
  <si>
    <t>AM 22060084</t>
  </si>
  <si>
    <t>AM 22060085</t>
  </si>
  <si>
    <t>AM 22060086</t>
  </si>
  <si>
    <t>AM 22060087</t>
  </si>
  <si>
    <t>AM 22060088</t>
  </si>
  <si>
    <t>AM 22060089</t>
  </si>
  <si>
    <t>AM 22060090</t>
  </si>
  <si>
    <t>AM 22060091</t>
  </si>
  <si>
    <t>AM 22060092</t>
  </si>
  <si>
    <t>AM 22060093</t>
  </si>
  <si>
    <t>AM 22060094</t>
  </si>
  <si>
    <t>AM 22060095</t>
  </si>
  <si>
    <t>AM 22060096</t>
  </si>
  <si>
    <t>AM 22060097</t>
  </si>
  <si>
    <t>AM 22060098</t>
  </si>
  <si>
    <t>AM 22060099</t>
  </si>
  <si>
    <t>AM 22060100</t>
  </si>
  <si>
    <t>KO 1938</t>
  </si>
  <si>
    <t>22061391</t>
  </si>
  <si>
    <t>22061548</t>
  </si>
  <si>
    <t>22061556</t>
  </si>
  <si>
    <t>22061611</t>
  </si>
  <si>
    <t>22061619</t>
  </si>
  <si>
    <t>22061705</t>
  </si>
  <si>
    <t>GAJI KARYAWAN HARIAN TETAP (PERIODE 06 - 18 JUNI 2022)</t>
  </si>
  <si>
    <t>INSENTIVE KARYAWAN MINGGUAN (PERIODE 30 MEI - 04 JUNI 2022)</t>
  </si>
  <si>
    <t>INSENTIVE KARYAWAN MINGGUAN (PERIODE 06 - 11 JUNI 2022)</t>
  </si>
  <si>
    <t>INSENTIVE KARYAWAN MINGGUAN (PERIODE 13 - 18 JUNI 2022)</t>
  </si>
  <si>
    <t>INSENTIVE KARYAWAN MINGGUAN (PERIODE 20 - 25 JUNI 2022)</t>
  </si>
  <si>
    <t>GAJI KARYAWAN HARIAN TETAP (PERIODE 20 JUNI - 02 JULI 2022)</t>
  </si>
  <si>
    <t>INSENTIVE KARYAWAN MINGGUAN (PERIODE 27 JUNI - 02 JULI 2022)</t>
  </si>
  <si>
    <t>GAJI KARYAWAN HARIAN TETAP (PERIODE 23 MEI - 04 JUNI 2022)</t>
  </si>
  <si>
    <t>G 1945</t>
  </si>
  <si>
    <t>KO 1941</t>
  </si>
  <si>
    <t>G 1957</t>
  </si>
  <si>
    <t>22061860</t>
  </si>
  <si>
    <t>22061863</t>
  </si>
  <si>
    <t>22061974</t>
  </si>
  <si>
    <t>KO 1963</t>
  </si>
  <si>
    <t>G 3004</t>
  </si>
  <si>
    <t>KO 1982</t>
  </si>
  <si>
    <t>010.001-22.12311881</t>
  </si>
  <si>
    <t>010.001-22.12312005</t>
  </si>
  <si>
    <t>010.001-22.12312006</t>
  </si>
  <si>
    <t>010.001-22.12312048</t>
  </si>
  <si>
    <t>010.001-22.12312181</t>
  </si>
  <si>
    <t>010.001-22.12312268</t>
  </si>
  <si>
    <t>010.001-22.12312412</t>
  </si>
  <si>
    <t>010.001-22.12312476</t>
  </si>
  <si>
    <t>010.001-22.12312567</t>
  </si>
  <si>
    <t>010.001-22.12312795</t>
  </si>
  <si>
    <t>010.001-22.12312896</t>
  </si>
  <si>
    <t>010.001-22.12312958</t>
  </si>
  <si>
    <t>010.001-22.12313116</t>
  </si>
  <si>
    <t>010.001-22.12313241</t>
  </si>
  <si>
    <t>010.001-22.12313257</t>
  </si>
  <si>
    <t>010.001-22.12313380</t>
  </si>
  <si>
    <t>010.001-22.12313407</t>
  </si>
  <si>
    <t>010.001-22.12313508</t>
  </si>
  <si>
    <t>010.001-22.12313665</t>
  </si>
  <si>
    <t>010.001-22.12313673</t>
  </si>
  <si>
    <t>010.001-22.12313728</t>
  </si>
  <si>
    <t>010.001-22.12313736</t>
  </si>
  <si>
    <t>SA220608533</t>
  </si>
  <si>
    <t>SA220608719</t>
  </si>
  <si>
    <t>SA220608760</t>
  </si>
  <si>
    <t>SA220608862</t>
  </si>
  <si>
    <t>22062136</t>
  </si>
  <si>
    <t>22062266</t>
  </si>
  <si>
    <t>HMP/020/06-22</t>
  </si>
  <si>
    <t>PT RAPINAN BROTHER</t>
  </si>
  <si>
    <t>010.001-22.12313822</t>
  </si>
  <si>
    <t>010.001-22.12313977</t>
  </si>
  <si>
    <t>010.001-22.12313980</t>
  </si>
  <si>
    <t>010.001-22.12314091</t>
  </si>
  <si>
    <t>010.001-22.12314253</t>
  </si>
  <si>
    <t>010.001-22.12314383</t>
  </si>
  <si>
    <t>010.001-22.12314497</t>
  </si>
  <si>
    <t>KO 3018</t>
  </si>
  <si>
    <t>KO 3025</t>
  </si>
  <si>
    <t>010.006-22.52241876</t>
  </si>
  <si>
    <t>SA220608070</t>
  </si>
  <si>
    <t>010.006-22.52241422</t>
  </si>
  <si>
    <t>010.006-22.52241241</t>
  </si>
  <si>
    <t>010.006-22.52241240</t>
  </si>
  <si>
    <t>010.006-22.52241219</t>
  </si>
  <si>
    <t>010.006-22.52240964</t>
  </si>
  <si>
    <t>010.006-22.52240963</t>
  </si>
  <si>
    <t>010.006-22.52240885</t>
  </si>
  <si>
    <t>010.006-22.52240884</t>
  </si>
  <si>
    <t>010.006-22.52240651</t>
  </si>
  <si>
    <t>010.006-22.52240372</t>
  </si>
  <si>
    <t>SA220607562</t>
  </si>
  <si>
    <t>010.006-22.52240371</t>
  </si>
  <si>
    <t>SA220607561</t>
  </si>
  <si>
    <t>010.006-22.52240175</t>
  </si>
  <si>
    <t>010.006-22.52239698</t>
  </si>
  <si>
    <t>G 4309</t>
  </si>
  <si>
    <t>010.006-22.52239432</t>
  </si>
  <si>
    <t>SA220608911</t>
  </si>
  <si>
    <t>SA220608930</t>
  </si>
  <si>
    <t>SA220608931</t>
  </si>
  <si>
    <t>JUF681/22</t>
  </si>
  <si>
    <t>L806060</t>
  </si>
  <si>
    <t>010.004-22.53776996</t>
  </si>
  <si>
    <t>010.004-22.53776997</t>
  </si>
  <si>
    <t>010.004-22.53776998</t>
  </si>
  <si>
    <t>010.004-22.53776999</t>
  </si>
  <si>
    <t>010.004-22.53777000</t>
  </si>
  <si>
    <t>010.004-22.53777001</t>
  </si>
  <si>
    <t>010.004-22.53777002</t>
  </si>
  <si>
    <t>010.004-22.53777003</t>
  </si>
  <si>
    <t>010.004-22.53777004</t>
  </si>
  <si>
    <t>010.004-22.53777005</t>
  </si>
  <si>
    <t>010.004-22.53777006</t>
  </si>
  <si>
    <t>010.004-22.53777007</t>
  </si>
  <si>
    <t>010.004-22.53777008</t>
  </si>
  <si>
    <t>010.004-22.53777009</t>
  </si>
  <si>
    <t>010.004-22.53777010</t>
  </si>
  <si>
    <t>010.004-22.53777011</t>
  </si>
  <si>
    <t>010.004-22.53777012</t>
  </si>
  <si>
    <t>010.004-22.53777013</t>
  </si>
  <si>
    <t>010.004-22.53777014</t>
  </si>
  <si>
    <t>010.004-22.53777015</t>
  </si>
  <si>
    <t>010.004-22.53777016</t>
  </si>
  <si>
    <t>010.004-22.53777017</t>
  </si>
  <si>
    <t>010.004-22.53777018</t>
  </si>
  <si>
    <t>010.004-22.53777019</t>
  </si>
  <si>
    <t>010.004-22.53777020</t>
  </si>
  <si>
    <t>010.004-22.53777021</t>
  </si>
  <si>
    <t>010.004-22.53777022</t>
  </si>
  <si>
    <t>010.004-22.53777023</t>
  </si>
  <si>
    <t>010.004-22.53777024</t>
  </si>
  <si>
    <t>010.004-22.53777025</t>
  </si>
  <si>
    <t>010.004-22.53777026</t>
  </si>
  <si>
    <t>010.004-22.53777027</t>
  </si>
  <si>
    <t>010.004-22.53777028</t>
  </si>
  <si>
    <t>010.004-22.53777029</t>
  </si>
  <si>
    <t>AM 22060101</t>
  </si>
  <si>
    <t>AM 22060102</t>
  </si>
  <si>
    <t>AM 22060103</t>
  </si>
  <si>
    <t>AM 22060104</t>
  </si>
  <si>
    <t>AM 22060105</t>
  </si>
  <si>
    <t>AM 22060106</t>
  </si>
  <si>
    <t>AM 22060107</t>
  </si>
  <si>
    <t>AM 22060108</t>
  </si>
  <si>
    <t>AM 22060109</t>
  </si>
  <si>
    <t>AM 22060110</t>
  </si>
  <si>
    <t>AM 22060111</t>
  </si>
  <si>
    <t>AM 22060112</t>
  </si>
  <si>
    <t>AM 22060113</t>
  </si>
  <si>
    <t>AM 22060114</t>
  </si>
  <si>
    <t>AM 22060115</t>
  </si>
  <si>
    <t>AM 22060116</t>
  </si>
  <si>
    <t>AM 22060117</t>
  </si>
  <si>
    <t>AM 22060118</t>
  </si>
  <si>
    <t>AM 22060119</t>
  </si>
  <si>
    <t>AM 22060120</t>
  </si>
  <si>
    <t>AM 22060121</t>
  </si>
  <si>
    <t>AM 22060122</t>
  </si>
  <si>
    <t>AM 22060123</t>
  </si>
  <si>
    <t>AM 22060124</t>
  </si>
  <si>
    <t>AM 22060125</t>
  </si>
  <si>
    <t>AM 22060126</t>
  </si>
  <si>
    <t>AM 22060127</t>
  </si>
  <si>
    <t>AM 22060128</t>
  </si>
  <si>
    <t>AM 22060129</t>
  </si>
  <si>
    <t>AM 22060130</t>
  </si>
  <si>
    <t>AM 22060131</t>
  </si>
  <si>
    <t>AM 22060132</t>
  </si>
  <si>
    <t>AM 22060133</t>
  </si>
  <si>
    <t>AM 22060134</t>
  </si>
  <si>
    <t>AM 22060135</t>
  </si>
  <si>
    <t>AM 22060136</t>
  </si>
  <si>
    <t>AM 22060137</t>
  </si>
  <si>
    <t>AM 22060138</t>
  </si>
  <si>
    <t>AM 22060139</t>
  </si>
  <si>
    <t>AM 22060140</t>
  </si>
  <si>
    <t>AM 22060141</t>
  </si>
  <si>
    <t>AM 22060142</t>
  </si>
  <si>
    <t>AM 22060143</t>
  </si>
  <si>
    <t>AM 22060144</t>
  </si>
  <si>
    <t>AM 22060145</t>
  </si>
  <si>
    <t>AM 22060146</t>
  </si>
  <si>
    <t>AM 22060147</t>
  </si>
  <si>
    <t>AM 22060148</t>
  </si>
  <si>
    <t>AM 22060149</t>
  </si>
  <si>
    <t>AM 22060150</t>
  </si>
  <si>
    <t>AM 22060151</t>
  </si>
  <si>
    <t>AM 22060152</t>
  </si>
  <si>
    <t>AM 22060153</t>
  </si>
  <si>
    <t>AM 22060154</t>
  </si>
  <si>
    <t>AM 22060155</t>
  </si>
  <si>
    <t>AM 22060156</t>
  </si>
  <si>
    <t>AM 22060157</t>
  </si>
  <si>
    <t>AM 22060158</t>
  </si>
  <si>
    <t>AM 22060159</t>
  </si>
  <si>
    <t>AM 22060160</t>
  </si>
  <si>
    <t>AM 22060161</t>
  </si>
  <si>
    <t>AM 22060162</t>
  </si>
  <si>
    <t>AM 22060163</t>
  </si>
  <si>
    <t>AM 22060164</t>
  </si>
  <si>
    <t>AM 22060165</t>
  </si>
  <si>
    <t>AM 22060166</t>
  </si>
  <si>
    <t>AM 22060167</t>
  </si>
  <si>
    <t>AM 22060168</t>
  </si>
  <si>
    <t>AM 22060169</t>
  </si>
  <si>
    <t>AM 22060170</t>
  </si>
  <si>
    <t>AM 22060171</t>
  </si>
  <si>
    <t>AM 22060172</t>
  </si>
  <si>
    <t>AM 22060173</t>
  </si>
  <si>
    <t>AM 22060174</t>
  </si>
  <si>
    <t>AM 22060175</t>
  </si>
  <si>
    <t>AM 22060176</t>
  </si>
  <si>
    <t>AM 22060177</t>
  </si>
  <si>
    <t>AM 22060178</t>
  </si>
  <si>
    <t>AM 22060179</t>
  </si>
  <si>
    <t>AM 22060180</t>
  </si>
  <si>
    <t>AM 22060181</t>
  </si>
  <si>
    <t>AM 22060182</t>
  </si>
  <si>
    <t>AM 22060183</t>
  </si>
  <si>
    <t>AM 22060184</t>
  </si>
  <si>
    <t>AM 22060185</t>
  </si>
  <si>
    <t>AM 22060186</t>
  </si>
  <si>
    <t>AM 22060187</t>
  </si>
  <si>
    <t>AM 22060188</t>
  </si>
  <si>
    <t>AM 22060189</t>
  </si>
  <si>
    <t>AM 22060190</t>
  </si>
  <si>
    <t>AM 22060191</t>
  </si>
  <si>
    <t>AM 22060192</t>
  </si>
  <si>
    <t>AM 22060193</t>
  </si>
  <si>
    <t>AM 22060194</t>
  </si>
  <si>
    <t>AM 22060195</t>
  </si>
  <si>
    <t>AM 22060196</t>
  </si>
  <si>
    <t>AM 22060197</t>
  </si>
  <si>
    <t>AM 22060198</t>
  </si>
  <si>
    <t>AM 22060199</t>
  </si>
  <si>
    <t>AM 22060200</t>
  </si>
  <si>
    <t>AM 22060201</t>
  </si>
  <si>
    <t>AM 22060202</t>
  </si>
  <si>
    <t>AM 22060203</t>
  </si>
  <si>
    <t>AM 22060204</t>
  </si>
  <si>
    <t>AM 22060205</t>
  </si>
  <si>
    <t>AM 22060206</t>
  </si>
  <si>
    <t>AM 22060207</t>
  </si>
  <si>
    <t>AM 22060208</t>
  </si>
  <si>
    <t>AM 22060209</t>
  </si>
  <si>
    <t>AM 22060210</t>
  </si>
  <si>
    <t>VIONA / CONDRO</t>
  </si>
  <si>
    <t>VIONA / YO</t>
  </si>
  <si>
    <t>NOVI / CONDRO</t>
  </si>
  <si>
    <t>NOVI / YO</t>
  </si>
  <si>
    <t>LINA / CONDRO</t>
  </si>
  <si>
    <t>NOVI / CONDDRO</t>
  </si>
  <si>
    <t>010.005-22.28846919</t>
  </si>
  <si>
    <t>SA220609058</t>
  </si>
  <si>
    <t>004958</t>
  </si>
  <si>
    <t>LIE ARMAND</t>
  </si>
  <si>
    <t>JL. BABATAN PANTAI UTARA 9/64 RT.002 RW.001, DUKUH SUTOREJO, SURABAYA</t>
  </si>
  <si>
    <t>010.001-22.47086227</t>
  </si>
  <si>
    <t>KO 3058</t>
  </si>
  <si>
    <t>SA220709166</t>
  </si>
  <si>
    <t>22070019</t>
  </si>
  <si>
    <t>22070026</t>
  </si>
  <si>
    <t>22070056</t>
  </si>
  <si>
    <t>22070177</t>
  </si>
  <si>
    <t>SA220709246</t>
  </si>
  <si>
    <t>SA220709303</t>
  </si>
  <si>
    <t>G 1665</t>
  </si>
  <si>
    <t>SUMBER MAS</t>
  </si>
  <si>
    <t>G 1670</t>
  </si>
  <si>
    <t>N 1678</t>
  </si>
  <si>
    <t>KO 1685</t>
  </si>
  <si>
    <t>G 1688</t>
  </si>
  <si>
    <t>KO 1662 1681 1690</t>
  </si>
  <si>
    <t>KO 1598 1677 1691</t>
  </si>
  <si>
    <t>G 1700</t>
  </si>
  <si>
    <t>SARJANA</t>
  </si>
  <si>
    <t>G 1701</t>
  </si>
  <si>
    <t>010.006-22.76486375</t>
  </si>
  <si>
    <t>010.004-22.74205643</t>
  </si>
  <si>
    <t>010.006-22.73438379</t>
  </si>
  <si>
    <t>G 1702</t>
  </si>
  <si>
    <t>KO 1657 1672 1703</t>
  </si>
  <si>
    <t>SA220709474</t>
  </si>
  <si>
    <t>SA220709496</t>
  </si>
  <si>
    <t>SA220709637</t>
  </si>
  <si>
    <t>SA220709393</t>
  </si>
  <si>
    <t>SA220709739</t>
  </si>
  <si>
    <t>SN22071265</t>
  </si>
  <si>
    <t>22070730</t>
  </si>
  <si>
    <t>22070740</t>
  </si>
  <si>
    <t>JUG181/22</t>
  </si>
  <si>
    <t>JUG182/22</t>
  </si>
  <si>
    <t>G 1751</t>
  </si>
  <si>
    <t>G 1754</t>
  </si>
  <si>
    <t>GUNUNG JATI</t>
  </si>
  <si>
    <t>KO 1714</t>
  </si>
  <si>
    <t>KO 1721</t>
  </si>
  <si>
    <t>KO 0745 0748 0749</t>
  </si>
  <si>
    <t>N 1757</t>
  </si>
  <si>
    <t>TIPTOP</t>
  </si>
  <si>
    <t>G 1732</t>
  </si>
  <si>
    <t>SINAR</t>
  </si>
  <si>
    <t>KO 1699 1723 1734</t>
  </si>
  <si>
    <t>KO 1692 1763 1735</t>
  </si>
  <si>
    <t>KO 1738</t>
  </si>
  <si>
    <t>KO 1683 1696 1770</t>
  </si>
  <si>
    <t>G 1674 1704 1771</t>
  </si>
  <si>
    <t>G 1739</t>
  </si>
  <si>
    <t>G 1742</t>
  </si>
  <si>
    <t>PRIMA JAYA MANDIRI</t>
  </si>
  <si>
    <t>KO 1755 1768 1743</t>
  </si>
  <si>
    <t>KO 1687 1729 1744</t>
  </si>
  <si>
    <t>G 1720 1776</t>
  </si>
  <si>
    <t>N 1686 1712 1783</t>
  </si>
  <si>
    <t>N 1680 1764 1785</t>
  </si>
  <si>
    <t>KO 1786</t>
  </si>
  <si>
    <t>G 1789</t>
  </si>
  <si>
    <t>KO 1765 1778 1790</t>
  </si>
  <si>
    <t>KO 1746</t>
  </si>
  <si>
    <t>KO 1705 1775 1749</t>
  </si>
  <si>
    <t>G 1679 1782 1793</t>
  </si>
  <si>
    <t>KO 1667 1761 1797</t>
  </si>
  <si>
    <t>G 1852</t>
  </si>
  <si>
    <t>G 1853</t>
  </si>
  <si>
    <t>G 1855</t>
  </si>
  <si>
    <t>MIROTA KAMPUS</t>
  </si>
  <si>
    <t>G 1666 1857</t>
  </si>
  <si>
    <t>KO 1859</t>
  </si>
  <si>
    <t>N 1861</t>
  </si>
  <si>
    <t>KO 1864</t>
  </si>
  <si>
    <t>G 1684 1750 1866</t>
  </si>
  <si>
    <t>KO 1867</t>
  </si>
  <si>
    <t>N 1745 1869 1870</t>
  </si>
  <si>
    <t>N 1800 1903</t>
  </si>
  <si>
    <t>N 1904</t>
  </si>
  <si>
    <t>G 1719 1905</t>
  </si>
  <si>
    <t>G 1906</t>
  </si>
  <si>
    <t>KO 1907</t>
  </si>
  <si>
    <t>N 1908</t>
  </si>
  <si>
    <t>G 1733 1854 1911</t>
  </si>
  <si>
    <t>N 1913</t>
  </si>
  <si>
    <t>KO 1752 1772 1915</t>
  </si>
  <si>
    <t>KO 1694 1717 1916</t>
  </si>
  <si>
    <t>KO 1766 1773 1917</t>
  </si>
  <si>
    <t>KO 1740 1795 1876</t>
  </si>
  <si>
    <t>N 1706 1877</t>
  </si>
  <si>
    <t>N 3877 1858 1878</t>
  </si>
  <si>
    <t>N 3878 1880</t>
  </si>
  <si>
    <t>N 1713 3879 1881</t>
  </si>
  <si>
    <t>N 3881 1886</t>
  </si>
  <si>
    <t>G 0830 1887</t>
  </si>
  <si>
    <t>010.006-22.52242410</t>
  </si>
  <si>
    <t>010.006-22.52242411</t>
  </si>
  <si>
    <t>010.006-22.52243461</t>
  </si>
  <si>
    <t>010.006-22.52244014</t>
  </si>
  <si>
    <t>010.006-22.52244240</t>
  </si>
  <si>
    <t>010.006-22.52244529</t>
  </si>
  <si>
    <t>010.006-22.52244738</t>
  </si>
  <si>
    <t>010.006-22.52244757</t>
  </si>
  <si>
    <t>010.006-22.52244758</t>
  </si>
  <si>
    <t>010.006-22.52245328</t>
  </si>
  <si>
    <t>07.181.449.5-619.000</t>
  </si>
  <si>
    <t>N 1891</t>
  </si>
  <si>
    <t>BENGAWAN MULTI TRENDING</t>
  </si>
  <si>
    <t>N 1892</t>
  </si>
  <si>
    <t>UTAMA</t>
  </si>
  <si>
    <t>KO 1902 1872 1898</t>
  </si>
  <si>
    <t>KO 1900</t>
  </si>
  <si>
    <t>N 1918</t>
  </si>
  <si>
    <t>G 1922</t>
  </si>
  <si>
    <t>G 1656 1689 1923</t>
  </si>
  <si>
    <t>KO 1760 1779 1925</t>
  </si>
  <si>
    <t>G 1926</t>
  </si>
  <si>
    <t>N 1952</t>
  </si>
  <si>
    <t>N 1731 1953</t>
  </si>
  <si>
    <t>G 1954</t>
  </si>
  <si>
    <t>G 1958</t>
  </si>
  <si>
    <t>KO 1675 1895 1930</t>
  </si>
  <si>
    <t>KO 1932</t>
  </si>
  <si>
    <t>G 1933</t>
  </si>
  <si>
    <t>N 1935</t>
  </si>
  <si>
    <t>KO 1910 1896 1939</t>
  </si>
  <si>
    <t>G 1942</t>
  </si>
  <si>
    <t>G 1788 1924 1943</t>
  </si>
  <si>
    <t>G 1658 1669 1944</t>
  </si>
  <si>
    <t>G 1663 1759 1946</t>
  </si>
  <si>
    <t>G 3002</t>
  </si>
  <si>
    <t>G 3003</t>
  </si>
  <si>
    <t>G 1956</t>
  </si>
  <si>
    <t>G 1959</t>
  </si>
  <si>
    <t>N 1884 1960</t>
  </si>
  <si>
    <t>MOJOKERTO</t>
  </si>
  <si>
    <t>KO 1865 1964</t>
  </si>
  <si>
    <t>KO 1747 1862 1965</t>
  </si>
  <si>
    <t>G 1966</t>
  </si>
  <si>
    <t>G 1597 1950 1971</t>
  </si>
  <si>
    <t>KO 1972</t>
  </si>
  <si>
    <t>G 1695</t>
  </si>
  <si>
    <t>KO 1668 1888 3001</t>
  </si>
  <si>
    <t>G 3005 1973</t>
  </si>
  <si>
    <t>G 1762 1974</t>
  </si>
  <si>
    <t>KO 1975</t>
  </si>
  <si>
    <t>G 1955 1969 1976</t>
  </si>
  <si>
    <t>G 1664 1978</t>
  </si>
  <si>
    <t>KO 1899 1947 1979</t>
  </si>
  <si>
    <t>G 1682 1909 1980</t>
  </si>
  <si>
    <t>KO 1983</t>
  </si>
  <si>
    <t>KO 1940 1949 1986</t>
  </si>
  <si>
    <t>N 1871 1885 1987</t>
  </si>
  <si>
    <t>KO 1655 1984 1988</t>
  </si>
  <si>
    <t>KO 1919 1929 3007</t>
  </si>
  <si>
    <t>KO 1897 3008</t>
  </si>
  <si>
    <t>N 3009</t>
  </si>
  <si>
    <t>G 1774 1951 1970</t>
  </si>
  <si>
    <t>KO 1873 1928</t>
  </si>
  <si>
    <t>G 1981 1989</t>
  </si>
  <si>
    <t>KO 1860 1985 1990</t>
  </si>
  <si>
    <t>KO 1600 1992</t>
  </si>
  <si>
    <t>N 1994</t>
  </si>
  <si>
    <t>N 1995</t>
  </si>
  <si>
    <t>G 1890 1927 1998</t>
  </si>
  <si>
    <t>KO 1999</t>
  </si>
  <si>
    <t>G 2000</t>
  </si>
  <si>
    <t>G 3010</t>
  </si>
  <si>
    <t>N 3011</t>
  </si>
  <si>
    <t>N 3012</t>
  </si>
  <si>
    <t>G 3013</t>
  </si>
  <si>
    <t>KO 3014</t>
  </si>
  <si>
    <t>KO 1711 1726 3015</t>
  </si>
  <si>
    <t>KO 3016</t>
  </si>
  <si>
    <t>G 3017</t>
  </si>
  <si>
    <t>010.007-22.13068845</t>
  </si>
  <si>
    <t>KO 1599 3006 3020</t>
  </si>
  <si>
    <t>G 3023</t>
  </si>
  <si>
    <t>G 3024</t>
  </si>
  <si>
    <t>G 1758 1997 3027</t>
  </si>
  <si>
    <t>AM 22060211</t>
  </si>
  <si>
    <t>AM 22060212</t>
  </si>
  <si>
    <t>AM 22060213</t>
  </si>
  <si>
    <t>AM 22060214</t>
  </si>
  <si>
    <t>AM 22060215</t>
  </si>
  <si>
    <t>AM 22060216</t>
  </si>
  <si>
    <t>AM 22060217</t>
  </si>
  <si>
    <t>AM 22060218</t>
  </si>
  <si>
    <t>AM 22060219</t>
  </si>
  <si>
    <t>AM 22060220</t>
  </si>
  <si>
    <t>G 3028</t>
  </si>
  <si>
    <t>N 3029</t>
  </si>
  <si>
    <t>KO 1991 3022 3030</t>
  </si>
  <si>
    <t>010.004-22.15249780</t>
  </si>
  <si>
    <t>03.281.005.3-041.000</t>
  </si>
  <si>
    <t>KOMPLEK SOKA I BLOK F/7 JL. TERUSAN BANDENGAN UTARA 95 , JAKARTA UTARA</t>
  </si>
  <si>
    <t>SA220709806</t>
  </si>
  <si>
    <t>SA220709807</t>
  </si>
  <si>
    <t>SA220709851</t>
  </si>
  <si>
    <t>SA220709914</t>
  </si>
  <si>
    <t>SA220709915</t>
  </si>
  <si>
    <t>SA220709930</t>
  </si>
  <si>
    <t>22071054</t>
  </si>
  <si>
    <t>22071063</t>
  </si>
  <si>
    <t>22071088</t>
  </si>
  <si>
    <t>22071194</t>
  </si>
  <si>
    <t>22071218</t>
  </si>
  <si>
    <t>22071231</t>
  </si>
  <si>
    <t>SN22071278</t>
  </si>
  <si>
    <t>G 3051</t>
  </si>
  <si>
    <t>G 1968 1977 3052</t>
  </si>
  <si>
    <t>G 1671 3053</t>
  </si>
  <si>
    <t>N 3054</t>
  </si>
  <si>
    <t>KO 3021 3055</t>
  </si>
  <si>
    <t>N 3880 1879 3056</t>
  </si>
  <si>
    <t>KO 3057</t>
  </si>
  <si>
    <t>KO 1874 1894 3059</t>
  </si>
  <si>
    <t>KO 3060</t>
  </si>
  <si>
    <t>G 3061</t>
  </si>
  <si>
    <t>N 1247</t>
  </si>
  <si>
    <t>JAVA</t>
  </si>
  <si>
    <t>BANDTAPE</t>
  </si>
  <si>
    <t>LAS KENTENG BOX MOBIL</t>
  </si>
  <si>
    <t>SERVICE H 1240 IH</t>
  </si>
  <si>
    <t>SOLAR H 8308</t>
  </si>
  <si>
    <t>CEK LAB. (YO)</t>
  </si>
  <si>
    <t>OBAT (YO)</t>
  </si>
  <si>
    <t>KIER H 1887 UH</t>
  </si>
  <si>
    <t>REFILL TINTA PRINTER</t>
  </si>
  <si>
    <t>TISSUE &amp; OBAT SEMPROT SERANGGA</t>
  </si>
  <si>
    <t>PULSA TOL</t>
  </si>
  <si>
    <t>PERTALITE MOTOR KANTOR</t>
  </si>
  <si>
    <t>ONGKOS SALES (G) 31 Mei-04 Juni 2022</t>
  </si>
  <si>
    <t>ONGKOS SALES (G)  07 - 11 Juni 2022</t>
  </si>
  <si>
    <t>ONGKOS SALES (G) 14 - 17 Juni 2022</t>
  </si>
  <si>
    <t>ONGKOS SALES (G) 21 - 25 Juni 2022</t>
  </si>
  <si>
    <t>01 JUN 2022 s/d 01 JUL 2022</t>
  </si>
  <si>
    <t>0031772</t>
  </si>
  <si>
    <t>968556-BCA-SETORAN KLIRING</t>
  </si>
  <si>
    <t>0872470</t>
  </si>
  <si>
    <t>F6935</t>
  </si>
  <si>
    <t>F6933</t>
  </si>
  <si>
    <t>F6938</t>
  </si>
  <si>
    <t>F6941</t>
  </si>
  <si>
    <t>BEA CEK 317076-317100</t>
  </si>
  <si>
    <t>0872471</t>
  </si>
  <si>
    <t>0031615</t>
  </si>
  <si>
    <t>F6937</t>
  </si>
  <si>
    <t>968561-BCA-SETORAN KLIRING</t>
  </si>
  <si>
    <t>TRANSFER DANA UTAMA PUTRA</t>
  </si>
  <si>
    <t>N 1474</t>
  </si>
  <si>
    <t>KO 0747 0750 1613</t>
  </si>
  <si>
    <t>KO 1605 0737 1614</t>
  </si>
  <si>
    <t>KO 1615</t>
  </si>
  <si>
    <t>KO 1730 1799 1617</t>
  </si>
  <si>
    <t>KO 1741 1616 1620</t>
  </si>
  <si>
    <t>KO 1624</t>
  </si>
  <si>
    <t>AM 22060221</t>
  </si>
  <si>
    <t>AM 22060222</t>
  </si>
  <si>
    <t>AM 22060223</t>
  </si>
  <si>
    <t>AM 22060224</t>
  </si>
  <si>
    <t>AM 22060225</t>
  </si>
  <si>
    <t>KO 0744 1619 1625</t>
  </si>
  <si>
    <t>KO 1626</t>
  </si>
  <si>
    <t>KO 0746 1628</t>
  </si>
  <si>
    <t>KO 1618 1623 1629</t>
  </si>
  <si>
    <t>KO 1621 1631</t>
  </si>
  <si>
    <t>H 442 444</t>
  </si>
  <si>
    <t>H 601 - 650</t>
  </si>
  <si>
    <t>N 010 - 015</t>
  </si>
  <si>
    <t>N 016 - 020</t>
  </si>
  <si>
    <t>KO 0905 0901</t>
  </si>
  <si>
    <t>KO 0906 0907</t>
  </si>
  <si>
    <t>KO 0908 0902 0903</t>
  </si>
  <si>
    <t>KO 0909 0904</t>
  </si>
  <si>
    <t>H 0000</t>
  </si>
  <si>
    <t>AM 22070001</t>
  </si>
  <si>
    <t>AM 22070004</t>
  </si>
  <si>
    <t>AM 22070005</t>
  </si>
  <si>
    <t>AM 22070006</t>
  </si>
  <si>
    <t>AM 22070007</t>
  </si>
  <si>
    <t>AM 22070008</t>
  </si>
  <si>
    <t>AM 22070009</t>
  </si>
  <si>
    <t>AM 22070002</t>
  </si>
  <si>
    <t>AM 22070003</t>
  </si>
  <si>
    <t>AM 22070010</t>
  </si>
  <si>
    <t>AM 22070011</t>
  </si>
  <si>
    <t>AM 22070012</t>
  </si>
  <si>
    <t>AM 22070013</t>
  </si>
  <si>
    <t>AM 22070014</t>
  </si>
  <si>
    <t>AM 22070015</t>
  </si>
  <si>
    <t>AM 22070016</t>
  </si>
  <si>
    <t>AM 22070017</t>
  </si>
  <si>
    <t>AM 22070018</t>
  </si>
  <si>
    <t>AM 22070019</t>
  </si>
  <si>
    <t>AM 22070020</t>
  </si>
  <si>
    <t>AM 22070021</t>
  </si>
  <si>
    <t>AM 22070022</t>
  </si>
  <si>
    <t>AM 22070023</t>
  </si>
  <si>
    <t>AM 22070024</t>
  </si>
  <si>
    <t>AM 22070025</t>
  </si>
  <si>
    <t>AM 22070026</t>
  </si>
  <si>
    <t>AM 22070027</t>
  </si>
  <si>
    <t>AM 22070028</t>
  </si>
  <si>
    <t>AM 22070029</t>
  </si>
  <si>
    <t>AM 22070030</t>
  </si>
  <si>
    <t>AM 22070031</t>
  </si>
  <si>
    <t>AM 22070032</t>
  </si>
  <si>
    <t>AM 22070033</t>
  </si>
  <si>
    <t>AM 22070034</t>
  </si>
  <si>
    <t>AM 22070035</t>
  </si>
  <si>
    <t>AM 22070036</t>
  </si>
  <si>
    <t>AM 22070037</t>
  </si>
  <si>
    <t>AM 22070038</t>
  </si>
  <si>
    <t>AM 22070039</t>
  </si>
  <si>
    <t>AM 22070040</t>
  </si>
  <si>
    <t>AM 22070041</t>
  </si>
  <si>
    <t>AM 22070042</t>
  </si>
  <si>
    <t>AM 22070043</t>
  </si>
  <si>
    <t>AM 22070044</t>
  </si>
  <si>
    <t>AM 22070045</t>
  </si>
  <si>
    <t>AM 22070046</t>
  </si>
  <si>
    <t>AM 22070047</t>
  </si>
  <si>
    <t>AM 22070048</t>
  </si>
  <si>
    <t>AM 22070049</t>
  </si>
  <si>
    <t>AM 22070050</t>
  </si>
  <si>
    <t>AM 22070051</t>
  </si>
  <si>
    <t>AM 22070052</t>
  </si>
  <si>
    <t>AM 22070053</t>
  </si>
  <si>
    <t>AM 22070054</t>
  </si>
  <si>
    <t>AM 22070055</t>
  </si>
  <si>
    <t>AM 22070056</t>
  </si>
  <si>
    <t>AM 22070057</t>
  </si>
  <si>
    <t>AM 22070058</t>
  </si>
  <si>
    <t>AM 22070059</t>
  </si>
  <si>
    <t>AM 22070060</t>
  </si>
  <si>
    <t>AM 22070061</t>
  </si>
  <si>
    <t>AM 22070062</t>
  </si>
  <si>
    <t>AM 22070063</t>
  </si>
  <si>
    <t>AM 22070064</t>
  </si>
  <si>
    <t>AM 22070065</t>
  </si>
  <si>
    <t>AM 22070066</t>
  </si>
  <si>
    <t>AM 22070067</t>
  </si>
  <si>
    <t>AM 22070068</t>
  </si>
  <si>
    <t>AM 22070069</t>
  </si>
  <si>
    <t>AM 22070070</t>
  </si>
  <si>
    <t>AM 22070071</t>
  </si>
  <si>
    <t>AM 22070072</t>
  </si>
  <si>
    <t>AM 22070073</t>
  </si>
  <si>
    <t>AM 22070074</t>
  </si>
  <si>
    <t>AM 22070075</t>
  </si>
  <si>
    <t>AM 22070076</t>
  </si>
  <si>
    <t>AM 22070077</t>
  </si>
  <si>
    <t>AM 22070078</t>
  </si>
  <si>
    <t>AM 22070079</t>
  </si>
  <si>
    <t>AM 22070080</t>
  </si>
  <si>
    <t>AM 22070081</t>
  </si>
  <si>
    <t>AM 22070082</t>
  </si>
  <si>
    <t>AM 22070083</t>
  </si>
  <si>
    <t>AM 22070084</t>
  </si>
  <si>
    <t>AM 22070085</t>
  </si>
  <si>
    <t>AM 22070086</t>
  </si>
  <si>
    <t>AM 22070087</t>
  </si>
  <si>
    <t>AM 22070088</t>
  </si>
  <si>
    <t>AM 22070089</t>
  </si>
  <si>
    <t>AM 22070090</t>
  </si>
  <si>
    <t>AM 22070091</t>
  </si>
  <si>
    <t>AM 22070092</t>
  </si>
  <si>
    <t>AM 22070093</t>
  </si>
  <si>
    <t>AM 22070094</t>
  </si>
  <si>
    <t>AM 22070095</t>
  </si>
  <si>
    <t>AM 22070096</t>
  </si>
  <si>
    <t>AM 22070097</t>
  </si>
  <si>
    <t>AM 22070098</t>
  </si>
  <si>
    <t>AM 22070099</t>
  </si>
  <si>
    <t>AM 22070100</t>
  </si>
  <si>
    <t>AM 22070101</t>
  </si>
  <si>
    <t>AM 22070102</t>
  </si>
  <si>
    <t>AM 22070103</t>
  </si>
  <si>
    <t>AM 22070104</t>
  </si>
  <si>
    <t>AM 22070105</t>
  </si>
  <si>
    <t>AM 22070106</t>
  </si>
  <si>
    <t>AM 22070107</t>
  </si>
  <si>
    <t>AM 22070108</t>
  </si>
  <si>
    <t>AM 22070109</t>
  </si>
  <si>
    <t>AM 22070110</t>
  </si>
  <si>
    <t>AM 22070111</t>
  </si>
  <si>
    <t>AM 22070112</t>
  </si>
  <si>
    <t>AM 22070113</t>
  </si>
  <si>
    <t>AM 22070114</t>
  </si>
  <si>
    <t>AM 22070115</t>
  </si>
  <si>
    <t>AM 22070116</t>
  </si>
  <si>
    <t>AM 22070117</t>
  </si>
  <si>
    <t>AM 22070118</t>
  </si>
  <si>
    <t>AM 22070119</t>
  </si>
  <si>
    <t>AM 22070120</t>
  </si>
  <si>
    <t>AM 22070121</t>
  </si>
  <si>
    <t>AM 22070122</t>
  </si>
  <si>
    <t>AM 22070123</t>
  </si>
  <si>
    <t>AM 22070124</t>
  </si>
  <si>
    <t>AM 22070125</t>
  </si>
  <si>
    <t>AM 22070126</t>
  </si>
  <si>
    <t>AM 22070127</t>
  </si>
  <si>
    <t>AM 22070128</t>
  </si>
  <si>
    <t>AM 22070129</t>
  </si>
  <si>
    <t>AM 22070130</t>
  </si>
  <si>
    <t>AM 22070131</t>
  </si>
  <si>
    <t>AM 22070132</t>
  </si>
  <si>
    <t>AM 22070133</t>
  </si>
  <si>
    <t>AM 22070134</t>
  </si>
  <si>
    <t>AM 22070135</t>
  </si>
  <si>
    <t>AM 22070136</t>
  </si>
  <si>
    <t>AM 22070137</t>
  </si>
  <si>
    <t>AM 22070138</t>
  </si>
  <si>
    <t>AM 22070139</t>
  </si>
  <si>
    <t>AM 22070140</t>
  </si>
  <si>
    <t>AM 22070141</t>
  </si>
  <si>
    <t>AM 22070142</t>
  </si>
  <si>
    <t>AM 22070143</t>
  </si>
  <si>
    <t>AM 22070144</t>
  </si>
  <si>
    <t>AM 22070145</t>
  </si>
  <si>
    <t>AM 22070146</t>
  </si>
  <si>
    <t>AM 22070147</t>
  </si>
  <si>
    <t>AM 22070148</t>
  </si>
  <si>
    <t>AM 22070149</t>
  </si>
  <si>
    <t>AM 22070150</t>
  </si>
  <si>
    <t>KO 3034</t>
  </si>
  <si>
    <t>G 1996</t>
  </si>
  <si>
    <t>G 3038</t>
  </si>
  <si>
    <t>KO 3049</t>
  </si>
  <si>
    <t>KO 3089</t>
  </si>
  <si>
    <t>KO 3073</t>
  </si>
  <si>
    <t>KO 3077</t>
  </si>
  <si>
    <t>KO 3101</t>
  </si>
  <si>
    <t>N 3112</t>
  </si>
  <si>
    <t>KO 3113</t>
  </si>
  <si>
    <t>G 3079</t>
  </si>
  <si>
    <t>KO 3159</t>
  </si>
  <si>
    <t>KO 3167</t>
  </si>
  <si>
    <t>KO 3134</t>
  </si>
  <si>
    <t>KO 3174</t>
  </si>
  <si>
    <t>KO 3178</t>
  </si>
  <si>
    <t>KO 3139</t>
  </si>
  <si>
    <t>KO 3145</t>
  </si>
  <si>
    <t>G 3149</t>
  </si>
  <si>
    <t>KO 3150</t>
  </si>
  <si>
    <t>KO 3190</t>
  </si>
  <si>
    <t>KO 3194</t>
  </si>
  <si>
    <t>KO 3199</t>
  </si>
  <si>
    <t>KO 3221</t>
  </si>
  <si>
    <t>KO 3223</t>
  </si>
  <si>
    <t>KO 3230</t>
  </si>
  <si>
    <t>KO 3257</t>
  </si>
  <si>
    <t>KO 3236</t>
  </si>
  <si>
    <t>G 3238</t>
  </si>
  <si>
    <t>KO 3244</t>
  </si>
  <si>
    <t>010.001-22.12314568</t>
  </si>
  <si>
    <t>010.001-22.12314654</t>
  </si>
  <si>
    <t>010.001-22.12314771</t>
  </si>
  <si>
    <t>010.001-22.12314999</t>
  </si>
  <si>
    <t>010.001-22.12315130</t>
  </si>
  <si>
    <t>010.001-22.12315190</t>
  </si>
  <si>
    <t>010.001-22.12315352</t>
  </si>
  <si>
    <t>010.001-22.12315477</t>
  </si>
  <si>
    <t>010.001-22.12315499</t>
  </si>
  <si>
    <t>010.001-22.12315505</t>
  </si>
  <si>
    <t>010.001-22.12315622</t>
  </si>
  <si>
    <t>010.001-22.12315632</t>
  </si>
  <si>
    <t>010.001-22.12315744</t>
  </si>
  <si>
    <t>010.001-22.12315759</t>
  </si>
  <si>
    <t>010.001-22.12315861</t>
  </si>
  <si>
    <t>010.001-22.12315868</t>
  </si>
  <si>
    <t>010.001-22.12315946</t>
  </si>
  <si>
    <t>010.001-22.12315955</t>
  </si>
  <si>
    <t>010.001-22.12315980</t>
  </si>
  <si>
    <t>010.001-22.12316087</t>
  </si>
  <si>
    <t>010.001-22.12316111</t>
  </si>
  <si>
    <t>010.001-22.12316124</t>
  </si>
  <si>
    <t>010.001-22.12316249</t>
  </si>
  <si>
    <t>010.001-22.12316258</t>
  </si>
  <si>
    <t>010.001-22.12316374</t>
  </si>
  <si>
    <t>010.001-22.12316410</t>
  </si>
  <si>
    <t>010.001-22.12316496</t>
  </si>
  <si>
    <t>SA220709953</t>
  </si>
  <si>
    <t>SA220710026</t>
  </si>
  <si>
    <t>GAJI KARYAWAN HARIAN TETAP (PERIODE 04 - 16 JULI 2022)</t>
  </si>
  <si>
    <t>INSENTIVE KARYAWAN MINGGUAN (PERIODE 04 - 08 JULI 2022)</t>
  </si>
  <si>
    <t>INSENTIVE KARYAWAN MINGGUAN (PERIODE 11 - 16 JULI 2022)</t>
  </si>
  <si>
    <t>INSENTIVE KARYAWAN MINGGUAN (PERIODE 18 - 23 JULI 2022)</t>
  </si>
  <si>
    <t>GAJI KARYAWAN HARIAN TETAP (PERIODE 18 - 29 JULI 2022)</t>
  </si>
  <si>
    <t>INSENTIVE KARYAWAN MINGGUAN (PERIODE 25 - 29 JULI 2022)</t>
  </si>
  <si>
    <t>22071603</t>
  </si>
  <si>
    <t>22071675</t>
  </si>
  <si>
    <t>22071836</t>
  </si>
  <si>
    <t>KO 3316</t>
  </si>
  <si>
    <t>KO 3314</t>
  </si>
  <si>
    <t>22071971</t>
  </si>
  <si>
    <t>22071979</t>
  </si>
  <si>
    <t>22071988</t>
  </si>
  <si>
    <t>JL-58302</t>
  </si>
  <si>
    <t>KO 3280</t>
  </si>
  <si>
    <t>G 3276</t>
  </si>
  <si>
    <t>010.004-22.74205717</t>
  </si>
  <si>
    <t>010.001-22.12316568</t>
  </si>
  <si>
    <t>010.001-22.12316729</t>
  </si>
  <si>
    <t>010.001-22.12340037</t>
  </si>
  <si>
    <t>010.001-22.12340045</t>
  </si>
  <si>
    <t>010.001-22.12340054</t>
  </si>
  <si>
    <t>010.001-22.12340175</t>
  </si>
  <si>
    <t>010.001-22.12340322</t>
  </si>
  <si>
    <t>010.001-22.12340413</t>
  </si>
  <si>
    <t>010.001-22.12340433</t>
  </si>
  <si>
    <t>010.001-22.12340452</t>
  </si>
  <si>
    <t>010.001-22.12340582</t>
  </si>
  <si>
    <t>SA220710405</t>
  </si>
  <si>
    <t>SA220710451</t>
  </si>
  <si>
    <t>SA220710503</t>
  </si>
  <si>
    <t>SA220710512</t>
  </si>
  <si>
    <t>SA220710558</t>
  </si>
  <si>
    <t>SA220710559</t>
  </si>
  <si>
    <t>SA220710560</t>
  </si>
  <si>
    <t>SA220710574</t>
  </si>
  <si>
    <t>SA220710756</t>
  </si>
  <si>
    <t>L207018</t>
  </si>
  <si>
    <t>010.006-22.52245640</t>
  </si>
  <si>
    <t>010.006-22.52245858</t>
  </si>
  <si>
    <t>010.006-22.52246167</t>
  </si>
  <si>
    <t>010.006-22.52246501</t>
  </si>
  <si>
    <t>010.006-22.52246785</t>
  </si>
  <si>
    <t>010.006-22.52246807</t>
  </si>
  <si>
    <t>010.006-22.52247359</t>
  </si>
  <si>
    <t>010.006-22.52247635</t>
  </si>
  <si>
    <t>010.006-22.52247876</t>
  </si>
  <si>
    <t>010.006-22.52247877</t>
  </si>
  <si>
    <t>010.006-22.52248124</t>
  </si>
  <si>
    <t>010.006-22.52248187</t>
  </si>
  <si>
    <t>010.006-22.52248188</t>
  </si>
  <si>
    <t>010.006-22.52248203</t>
  </si>
  <si>
    <t>010.006-22.52248475</t>
  </si>
  <si>
    <t>010.006-22.52248548</t>
  </si>
  <si>
    <t>AM 22080001</t>
  </si>
  <si>
    <t>AM 22080003</t>
  </si>
  <si>
    <t>AM 22080004</t>
  </si>
  <si>
    <t>AM 22080005</t>
  </si>
  <si>
    <t>AM 22080006</t>
  </si>
  <si>
    <t>AM 22080007</t>
  </si>
  <si>
    <t>AM 22080008</t>
  </si>
  <si>
    <t>AM 22080009</t>
  </si>
  <si>
    <t>AM 22080002</t>
  </si>
  <si>
    <t>AM 22080010</t>
  </si>
  <si>
    <t>AM 22080011</t>
  </si>
  <si>
    <t>AM 22080012</t>
  </si>
  <si>
    <t>AM 22080013</t>
  </si>
  <si>
    <t>AM 22080014</t>
  </si>
  <si>
    <t>AM 22080015</t>
  </si>
  <si>
    <t>AM 22080016</t>
  </si>
  <si>
    <t>AM 22080017</t>
  </si>
  <si>
    <t>AM 22080018</t>
  </si>
  <si>
    <t>AM 22080019</t>
  </si>
  <si>
    <t>AM 22080020</t>
  </si>
  <si>
    <t>AM 22080021</t>
  </si>
  <si>
    <t>AM 22080022</t>
  </si>
  <si>
    <t>AM 22080023</t>
  </si>
  <si>
    <t>AM 22080024</t>
  </si>
  <si>
    <t>AM 22080025</t>
  </si>
  <si>
    <t>AM 22080026</t>
  </si>
  <si>
    <t>AM 22080027</t>
  </si>
  <si>
    <t>AM 22080028</t>
  </si>
  <si>
    <t>AM 22080029</t>
  </si>
  <si>
    <t>AM 22080030</t>
  </si>
  <si>
    <t>AM 22080031</t>
  </si>
  <si>
    <t>AM 22080032</t>
  </si>
  <si>
    <t>AM 22080034</t>
  </si>
  <si>
    <t>AM 22080035</t>
  </si>
  <si>
    <t>AM 22080036</t>
  </si>
  <si>
    <t>AM 22080037</t>
  </si>
  <si>
    <t>AM 22080038</t>
  </si>
  <si>
    <t>AM 22080039</t>
  </si>
  <si>
    <t>AM 22080040</t>
  </si>
  <si>
    <t>AM 22080041</t>
  </si>
  <si>
    <t>AM 22080042</t>
  </si>
  <si>
    <t>AM 22080043</t>
  </si>
  <si>
    <t>AM 22080044</t>
  </si>
  <si>
    <t>AM 22080045</t>
  </si>
  <si>
    <t>AM 22080046</t>
  </si>
  <si>
    <t>AM 22080047</t>
  </si>
  <si>
    <t>AM 22080048</t>
  </si>
  <si>
    <t>AM 22080049</t>
  </si>
  <si>
    <t>AM 22080050</t>
  </si>
  <si>
    <t>AM 22080051</t>
  </si>
  <si>
    <t>AM 22080052</t>
  </si>
  <si>
    <t>AM 22080053</t>
  </si>
  <si>
    <t>AM 22080054</t>
  </si>
  <si>
    <t>AM 22080055</t>
  </si>
  <si>
    <t>AM 22080056</t>
  </si>
  <si>
    <t>AM 22080057</t>
  </si>
  <si>
    <t>AM 22080058</t>
  </si>
  <si>
    <t>AM 22080059</t>
  </si>
  <si>
    <t>AM 22080060</t>
  </si>
  <si>
    <t>AM 22080061</t>
  </si>
  <si>
    <t>AM 22080062</t>
  </si>
  <si>
    <t>AM 22080063</t>
  </si>
  <si>
    <t>AM 22080064</t>
  </si>
  <si>
    <t>AM 22080065</t>
  </si>
  <si>
    <t>AM 22080066</t>
  </si>
  <si>
    <t>AM 22080067</t>
  </si>
  <si>
    <t>AM 22080068</t>
  </si>
  <si>
    <t>AM 22080069</t>
  </si>
  <si>
    <t>AM 22080070</t>
  </si>
  <si>
    <t>AM 22080071</t>
  </si>
  <si>
    <t>AM 22080072</t>
  </si>
  <si>
    <t>AM 22080073</t>
  </si>
  <si>
    <t>AM 22080074</t>
  </si>
  <si>
    <t>AM 22080075</t>
  </si>
  <si>
    <t>AM 22080076</t>
  </si>
  <si>
    <t>AM 22080077</t>
  </si>
  <si>
    <t>AM 22080078</t>
  </si>
  <si>
    <t>AM 22080079</t>
  </si>
  <si>
    <t>AM 22080080</t>
  </si>
  <si>
    <t>AM 22080081</t>
  </si>
  <si>
    <t>AM 22080082</t>
  </si>
  <si>
    <t>AM 22080083</t>
  </si>
  <si>
    <t>AM 22080084</t>
  </si>
  <si>
    <t>AM 22080085</t>
  </si>
  <si>
    <t>AM 22080086</t>
  </si>
  <si>
    <t>AM 22080087</t>
  </si>
  <si>
    <t>AM 22080088</t>
  </si>
  <si>
    <t>AM 22080089</t>
  </si>
  <si>
    <t>AM 22080090</t>
  </si>
  <si>
    <t>AM 22080091</t>
  </si>
  <si>
    <t>AM 22080092</t>
  </si>
  <si>
    <t>AM 22080093</t>
  </si>
  <si>
    <t>AM 22080094</t>
  </si>
  <si>
    <t>AM 22080095</t>
  </si>
  <si>
    <t>AM 22080096</t>
  </si>
  <si>
    <t>AM 22080097</t>
  </si>
  <si>
    <t>AM 22080098</t>
  </si>
  <si>
    <t>AM 22080099</t>
  </si>
  <si>
    <t>AM 22080100</t>
  </si>
  <si>
    <t>SA220710797</t>
  </si>
  <si>
    <t>SA220710798</t>
  </si>
  <si>
    <t>SA220710799</t>
  </si>
  <si>
    <t>SA220710855</t>
  </si>
  <si>
    <t>SA220710906</t>
  </si>
  <si>
    <t>SA220710967</t>
  </si>
  <si>
    <t>SA220711022</t>
  </si>
  <si>
    <t>G 3300</t>
  </si>
  <si>
    <t>SA220711139</t>
  </si>
  <si>
    <t>SA220711222</t>
  </si>
  <si>
    <t>SN22071413</t>
  </si>
  <si>
    <t>SN22071418</t>
  </si>
  <si>
    <t>KO 3355</t>
  </si>
  <si>
    <t>G 3402</t>
  </si>
  <si>
    <t>KO 3404</t>
  </si>
  <si>
    <t>KO 3406</t>
  </si>
  <si>
    <t>KO 3407</t>
  </si>
  <si>
    <t>KO 3361</t>
  </si>
  <si>
    <t>KO 3362</t>
  </si>
  <si>
    <t>KO 3365</t>
  </si>
  <si>
    <t>G 3408</t>
  </si>
  <si>
    <t>KO 3412</t>
  </si>
  <si>
    <t>KO 3414</t>
  </si>
  <si>
    <t>KO 3418</t>
  </si>
  <si>
    <t>CONDRO / NOVI</t>
  </si>
  <si>
    <t>KO 1633 1804 1809</t>
  </si>
  <si>
    <t>N 3036</t>
  </si>
  <si>
    <t>N 3041</t>
  </si>
  <si>
    <t>N 3042</t>
  </si>
  <si>
    <t>N 3065</t>
  </si>
  <si>
    <t>G 3070</t>
  </si>
  <si>
    <t>G 3072</t>
  </si>
  <si>
    <t>PETRACO</t>
  </si>
  <si>
    <t>G 3069 3050 3074</t>
  </si>
  <si>
    <t>KO 3032 3067 3075</t>
  </si>
  <si>
    <t>N 4511</t>
  </si>
  <si>
    <t>N 3063 3103</t>
  </si>
  <si>
    <t>G 3104</t>
  </si>
  <si>
    <t>G 3105</t>
  </si>
  <si>
    <t>KO 3033 3066 3106</t>
  </si>
  <si>
    <t>N 3110</t>
  </si>
  <si>
    <t>SA220711283</t>
  </si>
  <si>
    <t>22080016</t>
  </si>
  <si>
    <t>22080130</t>
  </si>
  <si>
    <t>22080147</t>
  </si>
  <si>
    <t>22080199</t>
  </si>
  <si>
    <t>SA220811350</t>
  </si>
  <si>
    <t>JL-58417</t>
  </si>
  <si>
    <t>G 3091</t>
  </si>
  <si>
    <t>N 3093</t>
  </si>
  <si>
    <t>KO 3094</t>
  </si>
  <si>
    <t>KO 3071 3078 3096</t>
  </si>
  <si>
    <t>G 3098</t>
  </si>
  <si>
    <t>G 3099</t>
  </si>
  <si>
    <t>KO 3152</t>
  </si>
  <si>
    <t>G 3153</t>
  </si>
  <si>
    <t>G 3026 3154</t>
  </si>
  <si>
    <t>KO 3161</t>
  </si>
  <si>
    <t>010.005-22.28847214</t>
  </si>
  <si>
    <t>010.005-22.28847215</t>
  </si>
  <si>
    <t>N 3116</t>
  </si>
  <si>
    <t>JUNIOR</t>
  </si>
  <si>
    <t>G 3120</t>
  </si>
  <si>
    <t>KO 3035 3046 3121</t>
  </si>
  <si>
    <t>KO 3045 3122</t>
  </si>
  <si>
    <t>KO 3097 3158 3163</t>
  </si>
  <si>
    <t>KO 3164</t>
  </si>
  <si>
    <t>KO 1641 1802 1805</t>
  </si>
  <si>
    <t>N 3170</t>
  </si>
  <si>
    <t>N 3171</t>
  </si>
  <si>
    <t>KO 3125</t>
  </si>
  <si>
    <t>KO 3095 3156 3126</t>
  </si>
  <si>
    <t>G 3037 3102 3129</t>
  </si>
  <si>
    <t>G 3130</t>
  </si>
  <si>
    <t>N 3123 3168 3131</t>
  </si>
  <si>
    <t>22080265</t>
  </si>
  <si>
    <t>22080266</t>
  </si>
  <si>
    <t>22080387</t>
  </si>
  <si>
    <t>G 3117 3165 3172</t>
  </si>
  <si>
    <t>G 3166 3179</t>
  </si>
  <si>
    <t>KO 3136</t>
  </si>
  <si>
    <t>KO 3083 3128 3140</t>
  </si>
  <si>
    <t>KO 1642</t>
  </si>
  <si>
    <t>SN22081457</t>
  </si>
  <si>
    <t>22080519</t>
  </si>
  <si>
    <t>KO 1639 1808 1643</t>
  </si>
  <si>
    <t>KO 1635 1637 1644</t>
  </si>
  <si>
    <t>KO 1646 1801</t>
  </si>
  <si>
    <t>KO 3189</t>
  </si>
  <si>
    <t>OBRAL</t>
  </si>
  <si>
    <t>KO 3100 3177 3193</t>
  </si>
  <si>
    <t>KO 3039 3087 3195</t>
  </si>
  <si>
    <t>G 3197</t>
  </si>
  <si>
    <t>G 3092 3184 3198</t>
  </si>
  <si>
    <t>N 3151 3133 3200</t>
  </si>
  <si>
    <t>KO 3147</t>
  </si>
  <si>
    <t>KO 1636 1638 3202</t>
  </si>
  <si>
    <t>G 3081 3155 3204</t>
  </si>
  <si>
    <t>G 3175 3205</t>
  </si>
  <si>
    <t>KO 3206</t>
  </si>
  <si>
    <t>AM 22070151</t>
  </si>
  <si>
    <t>AM 22070152</t>
  </si>
  <si>
    <t>AM 22070153</t>
  </si>
  <si>
    <t>AM 22070154</t>
  </si>
  <si>
    <t>AM 22070155</t>
  </si>
  <si>
    <t>AM 22070156</t>
  </si>
  <si>
    <t>AM 22070157</t>
  </si>
  <si>
    <t>AM 22070158</t>
  </si>
  <si>
    <t>AM 22070159</t>
  </si>
  <si>
    <t>AM 22070160</t>
  </si>
  <si>
    <t>AM 22070161</t>
  </si>
  <si>
    <t>AM 22070162</t>
  </si>
  <si>
    <t>AM 22070163</t>
  </si>
  <si>
    <t>AM 22070164</t>
  </si>
  <si>
    <t>AM 22070165</t>
  </si>
  <si>
    <t>AM 22070166</t>
  </si>
  <si>
    <t>AM 22070167</t>
  </si>
  <si>
    <t>AM 22070168</t>
  </si>
  <si>
    <t>AM 22070169</t>
  </si>
  <si>
    <t>AM 22070170</t>
  </si>
  <si>
    <t>AM 22070171</t>
  </si>
  <si>
    <t>AM 22070172</t>
  </si>
  <si>
    <t>AM 22070173</t>
  </si>
  <si>
    <t>AM 22070174</t>
  </si>
  <si>
    <t>AM 22070175</t>
  </si>
  <si>
    <t>AM 22070176</t>
  </si>
  <si>
    <t>AM 22070177</t>
  </si>
  <si>
    <t>AM 22070178</t>
  </si>
  <si>
    <t>AM 22070179</t>
  </si>
  <si>
    <t>AM 22070180</t>
  </si>
  <si>
    <t>AM 22070181</t>
  </si>
  <si>
    <t>AM 22070182</t>
  </si>
  <si>
    <t>AM 22070183</t>
  </si>
  <si>
    <t>AM 22070184</t>
  </si>
  <si>
    <t>AM 22070185</t>
  </si>
  <si>
    <t>AM 22070186</t>
  </si>
  <si>
    <t>AM 22070187</t>
  </si>
  <si>
    <t>AM 22070188</t>
  </si>
  <si>
    <t>AM 22070189</t>
  </si>
  <si>
    <t>AM 22070190</t>
  </si>
  <si>
    <t>AM 22070191</t>
  </si>
  <si>
    <t>AM 22070192</t>
  </si>
  <si>
    <t>AM 22070193</t>
  </si>
  <si>
    <t>AM 22070194</t>
  </si>
  <si>
    <t>AM 22070195</t>
  </si>
  <si>
    <t>AM 22070196</t>
  </si>
  <si>
    <t>AM 22070197</t>
  </si>
  <si>
    <t>AM 22070198</t>
  </si>
  <si>
    <t>AM 22070199</t>
  </si>
  <si>
    <t>AM 22070200</t>
  </si>
  <si>
    <t>KO 3141 3209</t>
  </si>
  <si>
    <t>KO 3124 3143 3210</t>
  </si>
  <si>
    <t>N 3085 3114 3211</t>
  </si>
  <si>
    <t>G 3212</t>
  </si>
  <si>
    <t>22080628</t>
  </si>
  <si>
    <t>22080669</t>
  </si>
  <si>
    <t>SA220811780</t>
  </si>
  <si>
    <t>SA220811821</t>
  </si>
  <si>
    <t>SA220811822</t>
  </si>
  <si>
    <t>010.006-22.76487200</t>
  </si>
  <si>
    <t>010.006-22.76487212</t>
  </si>
  <si>
    <t>G 3111 3115 3214</t>
  </si>
  <si>
    <t>KO 3108 3132 3215</t>
  </si>
  <si>
    <t>KO 3118 3216</t>
  </si>
  <si>
    <t>N 3107 3188 3218</t>
  </si>
  <si>
    <t>KO 3219</t>
  </si>
  <si>
    <t>PELAJAR</t>
  </si>
  <si>
    <t>KO 3127 3186 3220</t>
  </si>
  <si>
    <t>KO 3031 3086 3222</t>
  </si>
  <si>
    <t>N 3227</t>
  </si>
  <si>
    <t>KO 1815</t>
  </si>
  <si>
    <t>KO 3229</t>
  </si>
  <si>
    <t>KO 3231</t>
  </si>
  <si>
    <t>G 3192 3226 3233</t>
  </si>
  <si>
    <t>KO 3064 3148 3235</t>
  </si>
  <si>
    <t>G 3082 3207 3237</t>
  </si>
  <si>
    <t>G 3180 3144 3241</t>
  </si>
  <si>
    <t>KO 3137 3196 3246</t>
  </si>
  <si>
    <t>KO 3224 3243 3247</t>
  </si>
  <si>
    <t>KO 3248</t>
  </si>
  <si>
    <t>KO 1640 1810 1647</t>
  </si>
  <si>
    <t>KO 1814 3232 1817</t>
  </si>
  <si>
    <t>N 3304</t>
  </si>
  <si>
    <t>KO 1648 1803 1807</t>
  </si>
  <si>
    <t>KO 1649</t>
  </si>
  <si>
    <t>KO 1650</t>
  </si>
  <si>
    <t>KO 3307</t>
  </si>
  <si>
    <t>G 3308</t>
  </si>
  <si>
    <t>KO 3217 3239 3311</t>
  </si>
  <si>
    <t>G 3162 3315</t>
  </si>
  <si>
    <t>KO 3160 3306 3317</t>
  </si>
  <si>
    <t>G 3318</t>
  </si>
  <si>
    <t>KO 3040 3201 3321</t>
  </si>
  <si>
    <t>KO 3234 3322</t>
  </si>
  <si>
    <t>KO 3109 3183 3323</t>
  </si>
  <si>
    <t>KO 3191 3324</t>
  </si>
  <si>
    <t>KO 3181 3228 3326</t>
  </si>
  <si>
    <t>KO 1820 1806 1811</t>
  </si>
  <si>
    <t>KO 1813 3305 1823</t>
  </si>
  <si>
    <t>KO 1822/19/28/29</t>
  </si>
  <si>
    <t>KO 1812 1816 1830</t>
  </si>
  <si>
    <t>KO 3187 3330</t>
  </si>
  <si>
    <t>G 3076 3142 3331</t>
  </si>
  <si>
    <t>KO 3301 3329 3332</t>
  </si>
  <si>
    <t>G 3335</t>
  </si>
  <si>
    <t>KO 1831</t>
  </si>
  <si>
    <t>KO 1834</t>
  </si>
  <si>
    <t>KO 3090 3303 3363</t>
  </si>
  <si>
    <t>N 3339</t>
  </si>
  <si>
    <t>G 3337</t>
  </si>
  <si>
    <t>G 3341</t>
  </si>
  <si>
    <t>NAHDIANA (KERSANA)</t>
  </si>
  <si>
    <t>KO 3250 3328 3342</t>
  </si>
  <si>
    <t>SA220811779</t>
  </si>
  <si>
    <t>KO 3213 3345</t>
  </si>
  <si>
    <t>G 3084 3346</t>
  </si>
  <si>
    <t>KO 3309 3340 3348</t>
  </si>
  <si>
    <t>KO 3349</t>
  </si>
  <si>
    <t>LESTARI ADHI</t>
  </si>
  <si>
    <t>KO 3350</t>
  </si>
  <si>
    <t>KO 1835</t>
  </si>
  <si>
    <t>KO 1824 1836</t>
  </si>
  <si>
    <t>KO 1826 1840</t>
  </si>
  <si>
    <t>KO 1833 1842 1843</t>
  </si>
  <si>
    <t>KO 1839 1844</t>
  </si>
  <si>
    <t>KO 3088 3251</t>
  </si>
  <si>
    <t>KO 3252</t>
  </si>
  <si>
    <t>N 3253</t>
  </si>
  <si>
    <t>N 3254</t>
  </si>
  <si>
    <t>N 3255</t>
  </si>
  <si>
    <t>G 3256</t>
  </si>
  <si>
    <t>G 3258</t>
  </si>
  <si>
    <t>R G</t>
  </si>
  <si>
    <t>N 3208 3259</t>
  </si>
  <si>
    <t>G 3260</t>
  </si>
  <si>
    <t>ANEKA SERAGAM (ANJASMORO)</t>
  </si>
  <si>
    <t>G 3313 3333 3261</t>
  </si>
  <si>
    <t>KO 3135 3262</t>
  </si>
  <si>
    <t>N 3264</t>
  </si>
  <si>
    <t>AM 22070201</t>
  </si>
  <si>
    <t>AM 22070202</t>
  </si>
  <si>
    <t>AM 22070203</t>
  </si>
  <si>
    <t>AM 22070204</t>
  </si>
  <si>
    <t>AM 22070205</t>
  </si>
  <si>
    <t>AM 22070206</t>
  </si>
  <si>
    <t>AM 22070207</t>
  </si>
  <si>
    <t>AM 22070208</t>
  </si>
  <si>
    <t>AM 22070209</t>
  </si>
  <si>
    <t>AM 22070210</t>
  </si>
  <si>
    <t>AM 22070211</t>
  </si>
  <si>
    <t>AM 22070212</t>
  </si>
  <si>
    <t>AM 22070213</t>
  </si>
  <si>
    <t>AM 22070214</t>
  </si>
  <si>
    <t>AM 22070215</t>
  </si>
  <si>
    <t>AM 22070216</t>
  </si>
  <si>
    <t>AM 22070217</t>
  </si>
  <si>
    <t>AM 22070218</t>
  </si>
  <si>
    <t>AM 22070219</t>
  </si>
  <si>
    <t>AM 22070220</t>
  </si>
  <si>
    <t>AM 22070221</t>
  </si>
  <si>
    <t>KO 3267</t>
  </si>
  <si>
    <t>G 3268</t>
  </si>
  <si>
    <t>G 3319 3344 3269</t>
  </si>
  <si>
    <t>G 3327 3270</t>
  </si>
  <si>
    <t>G 3080 3271</t>
  </si>
  <si>
    <t>G 3273</t>
  </si>
  <si>
    <t>G 3173 3203 3274</t>
  </si>
  <si>
    <t>KO 3275</t>
  </si>
  <si>
    <t>KO 3338 3277</t>
  </si>
  <si>
    <t>KO 3278</t>
  </si>
  <si>
    <t>N 3279</t>
  </si>
  <si>
    <t>KO 3281</t>
  </si>
  <si>
    <t>KO 3245 3282</t>
  </si>
  <si>
    <t>G 3283</t>
  </si>
  <si>
    <t>G 3284</t>
  </si>
  <si>
    <t>KO 3043 3285</t>
  </si>
  <si>
    <t>KO 3263 3272 3286</t>
  </si>
  <si>
    <t>G 3287</t>
  </si>
  <si>
    <t>G 3320 3288</t>
  </si>
  <si>
    <t>KO 3289</t>
  </si>
  <si>
    <t>KO 3176 3249 3290</t>
  </si>
  <si>
    <t>G 3292</t>
  </si>
  <si>
    <t>G 3293</t>
  </si>
  <si>
    <t>G 3343 3294</t>
  </si>
  <si>
    <t>G 3225 3312 3295</t>
  </si>
  <si>
    <t>G 3296</t>
  </si>
  <si>
    <t>G 3297</t>
  </si>
  <si>
    <t>G 3298</t>
  </si>
  <si>
    <t>G 3299</t>
  </si>
  <si>
    <t>G 3351</t>
  </si>
  <si>
    <t>KO 3352</t>
  </si>
  <si>
    <t>KO 3138 3240 3353</t>
  </si>
  <si>
    <t>KO 3266 3354</t>
  </si>
  <si>
    <t>KO 3356 3357</t>
  </si>
  <si>
    <t>G 3157 3334 3358</t>
  </si>
  <si>
    <t>KO 3047 3359</t>
  </si>
  <si>
    <t>G 3360</t>
  </si>
  <si>
    <t>KO 3401</t>
  </si>
  <si>
    <t>G 3403</t>
  </si>
  <si>
    <t>KO 0909 0910 0911</t>
  </si>
  <si>
    <t>KO 0912 0914</t>
  </si>
  <si>
    <t>H 444</t>
  </si>
  <si>
    <t>N 0369 0370</t>
  </si>
  <si>
    <t>H 298</t>
  </si>
  <si>
    <t>N 1475</t>
  </si>
  <si>
    <t>N 021 - 025</t>
  </si>
  <si>
    <t>N 026 - 030</t>
  </si>
  <si>
    <t>N 031 - 034</t>
  </si>
  <si>
    <t>SA220812186</t>
  </si>
  <si>
    <t>SA220812212</t>
  </si>
  <si>
    <t>22081252</t>
  </si>
  <si>
    <t>22081346</t>
  </si>
  <si>
    <t>22081356</t>
  </si>
  <si>
    <t>22081273</t>
  </si>
  <si>
    <t>010.006-22.76487343</t>
  </si>
  <si>
    <t>010.006-22.76487348</t>
  </si>
  <si>
    <t>010.006-22.52249794</t>
  </si>
  <si>
    <t>010.006-22.52250039</t>
  </si>
  <si>
    <t>010.006-22.52250091</t>
  </si>
  <si>
    <t>010.006-22.52250100</t>
  </si>
  <si>
    <t>010.006-22.52250375</t>
  </si>
  <si>
    <t>010.006-22.52250376</t>
  </si>
  <si>
    <t>010.006-22.52250377</t>
  </si>
  <si>
    <t>010.006-22.52250391</t>
  </si>
  <si>
    <t>010.006-22.52250830</t>
  </si>
  <si>
    <t>010.006-22.52251099</t>
  </si>
  <si>
    <t>010.006-22.52251100</t>
  </si>
  <si>
    <t>010.006-22.52251101</t>
  </si>
  <si>
    <t>010.006-22.52251157</t>
  </si>
  <si>
    <t>010.006-22.52251495</t>
  </si>
  <si>
    <t>010.006-22.52251556</t>
  </si>
  <si>
    <t>010.007-22.94093160</t>
  </si>
  <si>
    <t>010.007-22.94093461</t>
  </si>
  <si>
    <t>010.007-22.94093757</t>
  </si>
  <si>
    <t>010.007-22.94093969</t>
  </si>
  <si>
    <t>010.007-22.88358302</t>
  </si>
  <si>
    <t>PAJAK TAHUNAN STNK H 1745 H</t>
  </si>
  <si>
    <t>- 00794 | 10/06/2022 | H 8366 CQ</t>
  </si>
  <si>
    <t>- 00816 | 13/06/2022 | H 1887 UH</t>
  </si>
  <si>
    <t>- 00854 | 20/06/2022 | H 8385 AQ</t>
  </si>
  <si>
    <t>- 00882 | 24/06/2022 | H 1240 IH</t>
  </si>
  <si>
    <t>- 00883 | 24/06/2022 | H 1240 IH</t>
  </si>
  <si>
    <t>- 00884 | 24/06/2022 | H 1028 WR</t>
  </si>
  <si>
    <t>01 JUL 2022 s/d 31 JUL 2022</t>
  </si>
  <si>
    <t>F6957</t>
  </si>
  <si>
    <t>F6950</t>
  </si>
  <si>
    <t>0022437</t>
  </si>
  <si>
    <t>0872472</t>
  </si>
  <si>
    <t>0031165</t>
  </si>
  <si>
    <t>PEMBAYARAN DARI HARNOYO (BENDAN) PEKALONGAN</t>
  </si>
  <si>
    <t>ONGKOS SALES (G) 28 Juni-01 Juli 2022</t>
  </si>
  <si>
    <t>ONGKOS SALES (G) 11 - 14 Juli 2022</t>
  </si>
  <si>
    <t>ONGKOS SALES (G) 04 - 08 Juli 2022</t>
  </si>
  <si>
    <t>ONGKOS SALES (G) 18 - 23 Juli 2022</t>
  </si>
  <si>
    <t>ONGKOS SALES (G) 26 - 29 Juli 2022</t>
  </si>
  <si>
    <t>22080760</t>
  </si>
  <si>
    <t>22080830</t>
  </si>
  <si>
    <t>22080843</t>
  </si>
  <si>
    <t>22081011</t>
  </si>
  <si>
    <t>22081136</t>
  </si>
  <si>
    <t>KO 3374</t>
  </si>
  <si>
    <t>KO 3373</t>
  </si>
  <si>
    <t>G 3381</t>
  </si>
  <si>
    <t>G 3398</t>
  </si>
  <si>
    <t>KO 3447</t>
  </si>
  <si>
    <t>KO 0552</t>
  </si>
  <si>
    <t>KO 0513</t>
  </si>
  <si>
    <t>KO 0554</t>
  </si>
  <si>
    <t>KO 0521</t>
  </si>
  <si>
    <t>KO 0522</t>
  </si>
  <si>
    <t>KO 0565</t>
  </si>
  <si>
    <t>KO 0569</t>
  </si>
  <si>
    <t>G 0580</t>
  </si>
  <si>
    <t>KO 0584</t>
  </si>
  <si>
    <t>KO 0564</t>
  </si>
  <si>
    <t>KO 0593</t>
  </si>
  <si>
    <t>KO 0596</t>
  </si>
  <si>
    <t>N 0601</t>
  </si>
  <si>
    <t>KO 0610</t>
  </si>
  <si>
    <t>G 0611</t>
  </si>
  <si>
    <t>KO 0608</t>
  </si>
  <si>
    <t>GAJI KARYAWAN HARIAN TETAP (PERIODE 01 - 13 AGUSTUS 2022)</t>
  </si>
  <si>
    <t>INSENTIVE KARYAWAN MINGGUAN (PERIODE 08 - 13 AGUSTUS 2022)</t>
  </si>
  <si>
    <t>INSENTIVE KARYAWAN MINGGUAN (PERIODE 01 - 06 AGUSTUS 2022)</t>
  </si>
  <si>
    <t>INSENTIVE KARYAWAN MINGGUAN (PERIODE 15 - 20 AGUSTUS 2022)</t>
  </si>
  <si>
    <t>GAJI KARYAWAN HARIAN TETAP (PERIODE 15 - 27 AGUSTUS 2022)</t>
  </si>
  <si>
    <t>INSENTIVE KARYAWAN MINGGUAN (PERIODE 22 - 27 AGUSTUS 2022)</t>
  </si>
  <si>
    <t>SA220812510</t>
  </si>
  <si>
    <t>SA220812521</t>
  </si>
  <si>
    <t>22081477</t>
  </si>
  <si>
    <t>22081647</t>
  </si>
  <si>
    <t>22081651</t>
  </si>
  <si>
    <t>22081680</t>
  </si>
  <si>
    <t>22081739</t>
  </si>
  <si>
    <t>SINV99-220800000405</t>
  </si>
  <si>
    <t>SINV99-220800000406</t>
  </si>
  <si>
    <t>KO 0634</t>
  </si>
  <si>
    <t>SA220812566</t>
  </si>
  <si>
    <t>SA220812580</t>
  </si>
  <si>
    <t>SA220812655</t>
  </si>
  <si>
    <t>SA220812676</t>
  </si>
  <si>
    <t>22081865</t>
  </si>
  <si>
    <t>22081993</t>
  </si>
  <si>
    <t>22082021</t>
  </si>
  <si>
    <t>SA220812796</t>
  </si>
  <si>
    <t>SN22081591</t>
  </si>
  <si>
    <t>010.001-22.12340694</t>
  </si>
  <si>
    <t>010.001-22.12340872</t>
  </si>
  <si>
    <t>010.001-22.12340889</t>
  </si>
  <si>
    <t>010.001-22.12341006</t>
  </si>
  <si>
    <t>010.001-22.12341132</t>
  </si>
  <si>
    <t>010.001-22.12341133</t>
  </si>
  <si>
    <t>010.001-22.12341254</t>
  </si>
  <si>
    <t>010.001-22.12341386</t>
  </si>
  <si>
    <t>010.001-22.12341495</t>
  </si>
  <si>
    <t>010.001-22.12341536</t>
  </si>
  <si>
    <t>010.001-22.12341627</t>
  </si>
  <si>
    <t>010.001-22.12341697</t>
  </si>
  <si>
    <t>010.001-22.12341710</t>
  </si>
  <si>
    <t>010.001-22.12341878</t>
  </si>
  <si>
    <t>010.001-22.12342003</t>
  </si>
  <si>
    <t>010.001-22.12342119</t>
  </si>
  <si>
    <t>010.001-22.12342140</t>
  </si>
  <si>
    <t>010.001-22.12342213</t>
  </si>
  <si>
    <t>010.001-22.12342223</t>
  </si>
  <si>
    <t>010.001-22.12342344</t>
  </si>
  <si>
    <t>010.001-22.12342514</t>
  </si>
  <si>
    <t>010.001-22.12342518</t>
  </si>
  <si>
    <t>010.001-22.12342547</t>
  </si>
  <si>
    <t>010.001-22.12342606</t>
  </si>
  <si>
    <t>010.001-22.12342732</t>
  </si>
  <si>
    <t>010.001-22.12342860</t>
  </si>
  <si>
    <t>010.001-22.12342888</t>
  </si>
  <si>
    <t>22082046</t>
  </si>
  <si>
    <t>22082224</t>
  </si>
  <si>
    <t>SA220812842</t>
  </si>
  <si>
    <t>SA220812843</t>
  </si>
  <si>
    <t>N 0680</t>
  </si>
  <si>
    <t>G 0645</t>
  </si>
  <si>
    <t>KO 0646</t>
  </si>
  <si>
    <t>KO 0650</t>
  </si>
  <si>
    <t>G 0751</t>
  </si>
  <si>
    <t>G 0753</t>
  </si>
  <si>
    <t>KO 0697</t>
  </si>
  <si>
    <t>010.008-22.02929063</t>
  </si>
  <si>
    <t>010.008-22.02929064</t>
  </si>
  <si>
    <t>KO 0756</t>
  </si>
  <si>
    <t>KO 0761</t>
  </si>
  <si>
    <t>G 0765</t>
  </si>
  <si>
    <t>22082341</t>
  </si>
  <si>
    <t>22082362</t>
  </si>
  <si>
    <t>22082437</t>
  </si>
  <si>
    <t>22082469</t>
  </si>
  <si>
    <t>22082479</t>
  </si>
  <si>
    <t>22082552</t>
  </si>
  <si>
    <t>SA220812961</t>
  </si>
  <si>
    <t>SA220812968</t>
  </si>
  <si>
    <t>SA220812969</t>
  </si>
  <si>
    <t>SA220812970</t>
  </si>
  <si>
    <t>SA220812971</t>
  </si>
  <si>
    <t>SA220812991</t>
  </si>
  <si>
    <t>SA220812992</t>
  </si>
  <si>
    <t>SA220813153</t>
  </si>
  <si>
    <t>SA220813154</t>
  </si>
  <si>
    <t>SA220813227</t>
  </si>
  <si>
    <t>SA220813307</t>
  </si>
  <si>
    <t>SN22081635</t>
  </si>
  <si>
    <t>JUH723/22</t>
  </si>
  <si>
    <t>KO 0792</t>
  </si>
  <si>
    <t>N 0798</t>
  </si>
  <si>
    <t>KO 0905</t>
  </si>
  <si>
    <t>AM 22080101</t>
  </si>
  <si>
    <t>AM 22080102</t>
  </si>
  <si>
    <t>AM 22080103</t>
  </si>
  <si>
    <t>AM 22080104</t>
  </si>
  <si>
    <t>AM 22080105</t>
  </si>
  <si>
    <t>AM 22080106</t>
  </si>
  <si>
    <t>AM 22080107</t>
  </si>
  <si>
    <t>AM 22080108</t>
  </si>
  <si>
    <t>AM 22080109</t>
  </si>
  <si>
    <t>AM 22080110</t>
  </si>
  <si>
    <t>AM 22080111</t>
  </si>
  <si>
    <t>AM 22080112</t>
  </si>
  <si>
    <t>AM 22080113</t>
  </si>
  <si>
    <t>AM 22080114</t>
  </si>
  <si>
    <t>AM 22080115</t>
  </si>
  <si>
    <t>AM 22080116</t>
  </si>
  <si>
    <t>AM 22080117</t>
  </si>
  <si>
    <t>AM 22080118</t>
  </si>
  <si>
    <t>AM 22080119</t>
  </si>
  <si>
    <t>AM 22080120</t>
  </si>
  <si>
    <t>AM 22080121</t>
  </si>
  <si>
    <t>AM 22080122</t>
  </si>
  <si>
    <t>AM 22080123</t>
  </si>
  <si>
    <t>AM 22080124</t>
  </si>
  <si>
    <t>AM 22080125</t>
  </si>
  <si>
    <t>AM 22080126</t>
  </si>
  <si>
    <t>AM 22080127</t>
  </si>
  <si>
    <t>AM 22080128</t>
  </si>
  <si>
    <t>AM 22080129</t>
  </si>
  <si>
    <t>AM 22080130</t>
  </si>
  <si>
    <t>AM 22080131</t>
  </si>
  <si>
    <t>AM 22080132</t>
  </si>
  <si>
    <t>AM 22080133</t>
  </si>
  <si>
    <t>AM 22080134</t>
  </si>
  <si>
    <t>AM 22080135</t>
  </si>
  <si>
    <t>AM 22080136</t>
  </si>
  <si>
    <t>AM 22080137</t>
  </si>
  <si>
    <t>AM 22080138</t>
  </si>
  <si>
    <t>AM 22080139</t>
  </si>
  <si>
    <t>AM 22080140</t>
  </si>
  <si>
    <t>AM 22080141</t>
  </si>
  <si>
    <t>AM 22080142</t>
  </si>
  <si>
    <t>AM 22080143</t>
  </si>
  <si>
    <t>AM 22080144</t>
  </si>
  <si>
    <t>AM 22080145</t>
  </si>
  <si>
    <t>AM 22080146</t>
  </si>
  <si>
    <t>AM 22080147</t>
  </si>
  <si>
    <t>AM 22080148</t>
  </si>
  <si>
    <t>AM 22080149</t>
  </si>
  <si>
    <t>AM 22080150</t>
  </si>
  <si>
    <t>SA220811989</t>
  </si>
  <si>
    <t>SA220812253</t>
  </si>
  <si>
    <t>SA220812279</t>
  </si>
  <si>
    <t>SA220813428</t>
  </si>
  <si>
    <t>SA220813547</t>
  </si>
  <si>
    <t>SN22081660</t>
  </si>
  <si>
    <t>JL-58578</t>
  </si>
  <si>
    <t>KO 0915</t>
  </si>
  <si>
    <t>KO 0773</t>
  </si>
  <si>
    <t>G 0903</t>
  </si>
  <si>
    <t>KO 0859</t>
  </si>
  <si>
    <t>010.001-22.12342913</t>
  </si>
  <si>
    <t>010.001-22.12343091</t>
  </si>
  <si>
    <t>010.001-22.12343208</t>
  </si>
  <si>
    <t>010.001-22.12343229</t>
  </si>
  <si>
    <t>010.001-22.12343304</t>
  </si>
  <si>
    <t>010.001-22.12343336</t>
  </si>
  <si>
    <t>010.001-22.12343346</t>
  </si>
  <si>
    <t>010.001-22.12343419</t>
  </si>
  <si>
    <t>010.007-22.55757497</t>
  </si>
  <si>
    <t>010.007-22.94094212</t>
  </si>
  <si>
    <t>010.007-22.94095475</t>
  </si>
  <si>
    <t>010.007-22.94095476</t>
  </si>
  <si>
    <t>010.007-22.94095721</t>
  </si>
  <si>
    <t>010.007-22.94095722</t>
  </si>
  <si>
    <t>010.007-22.94096281</t>
  </si>
  <si>
    <t>010.007-22.94097121</t>
  </si>
  <si>
    <t>010.007-22.94097147</t>
  </si>
  <si>
    <t>010.007-22.94096809</t>
  </si>
  <si>
    <t>010.007-22.94096835</t>
  </si>
  <si>
    <t>010.007-22.27602831</t>
  </si>
  <si>
    <t>010.007-22.27602964</t>
  </si>
  <si>
    <t>010.007-22.27603007</t>
  </si>
  <si>
    <t>010.007-22.27603031</t>
  </si>
  <si>
    <t>KO 0930</t>
  </si>
  <si>
    <t>KO 0868</t>
  </si>
  <si>
    <t>AM 22090001</t>
  </si>
  <si>
    <t>AM 22090002</t>
  </si>
  <si>
    <t>AM 22090003</t>
  </si>
  <si>
    <t>AM 22090004</t>
  </si>
  <si>
    <t>AM 22090005</t>
  </si>
  <si>
    <t>AM 22090006</t>
  </si>
  <si>
    <t>AM 22090007</t>
  </si>
  <si>
    <t>AM 22090008</t>
  </si>
  <si>
    <t>AM 22090009</t>
  </si>
  <si>
    <t>AM 22090010</t>
  </si>
  <si>
    <t>AM 22090011</t>
  </si>
  <si>
    <t>AM 22090012</t>
  </si>
  <si>
    <t>AM 22090013</t>
  </si>
  <si>
    <t>AM 22090014</t>
  </si>
  <si>
    <t>AM 22090015</t>
  </si>
  <si>
    <t>AM 22090016</t>
  </si>
  <si>
    <t>AM 22090017</t>
  </si>
  <si>
    <t>AM 22090018</t>
  </si>
  <si>
    <t>AM 22090019</t>
  </si>
  <si>
    <t>AM 22090020</t>
  </si>
  <si>
    <t>AM 22090021</t>
  </si>
  <si>
    <t>AM 22090022</t>
  </si>
  <si>
    <t>AM 22090023</t>
  </si>
  <si>
    <t>AM 22090024</t>
  </si>
  <si>
    <t>AM 22090025</t>
  </si>
  <si>
    <t>AM 22090026</t>
  </si>
  <si>
    <t>AM 22090027</t>
  </si>
  <si>
    <t>AM 22090028</t>
  </si>
  <si>
    <t>AM 22090029</t>
  </si>
  <si>
    <t>AM 22090030</t>
  </si>
  <si>
    <t>AM 22090031</t>
  </si>
  <si>
    <t>AM 22090032</t>
  </si>
  <si>
    <t>AM 22090033</t>
  </si>
  <si>
    <t>AM 22090034</t>
  </si>
  <si>
    <t>AM 22090035</t>
  </si>
  <si>
    <t>AM 22090036</t>
  </si>
  <si>
    <t>AM 22090037</t>
  </si>
  <si>
    <t>AM 22090038</t>
  </si>
  <si>
    <t>AM 22090039</t>
  </si>
  <si>
    <t>AM 22090040</t>
  </si>
  <si>
    <t>AM 22090041</t>
  </si>
  <si>
    <t>AM 22090042</t>
  </si>
  <si>
    <t>AM 22090043</t>
  </si>
  <si>
    <t>AM 22090044</t>
  </si>
  <si>
    <t>AM 22090045</t>
  </si>
  <si>
    <t>AM 22090046</t>
  </si>
  <si>
    <t>AM 22090047</t>
  </si>
  <si>
    <t>AM 22090048</t>
  </si>
  <si>
    <t>AM 22090049</t>
  </si>
  <si>
    <t>AM 22090050</t>
  </si>
  <si>
    <t>AM 22090051</t>
  </si>
  <si>
    <t>AM 22090052</t>
  </si>
  <si>
    <t>AM 22090053</t>
  </si>
  <si>
    <t>AM 22090054</t>
  </si>
  <si>
    <t>AM 22090055</t>
  </si>
  <si>
    <t>AM 22090056</t>
  </si>
  <si>
    <t>AM 22090057</t>
  </si>
  <si>
    <t>AM 22090058</t>
  </si>
  <si>
    <t>AM 22090059</t>
  </si>
  <si>
    <t>AM 22090060</t>
  </si>
  <si>
    <t>AM 22090061</t>
  </si>
  <si>
    <t>AM 22090062</t>
  </si>
  <si>
    <t>AM 22090063</t>
  </si>
  <si>
    <t>AM 22090064</t>
  </si>
  <si>
    <t>AM 22090065</t>
  </si>
  <si>
    <t>AM 22090066</t>
  </si>
  <si>
    <t>AM 22090067</t>
  </si>
  <si>
    <t>AM 22090068</t>
  </si>
  <si>
    <t>AM 22090069</t>
  </si>
  <si>
    <t>AM 22090070</t>
  </si>
  <si>
    <t>AM 22090071</t>
  </si>
  <si>
    <t>AM 22090072</t>
  </si>
  <si>
    <t>AM 22090073</t>
  </si>
  <si>
    <t>AM 22090074</t>
  </si>
  <si>
    <t>AM 22090075</t>
  </si>
  <si>
    <t>AM 22090076</t>
  </si>
  <si>
    <t>AM 22090077</t>
  </si>
  <si>
    <t>AM 22090078</t>
  </si>
  <si>
    <t>AM 22090079</t>
  </si>
  <si>
    <t>AM 22090080</t>
  </si>
  <si>
    <t>AM 22090081</t>
  </si>
  <si>
    <t>AM 22090082</t>
  </si>
  <si>
    <t>AM 22090083</t>
  </si>
  <si>
    <t>AM 22090084</t>
  </si>
  <si>
    <t>AM 22090085</t>
  </si>
  <si>
    <t>AM 22090086</t>
  </si>
  <si>
    <t>AM 22090087</t>
  </si>
  <si>
    <t>AM 22090088</t>
  </si>
  <si>
    <t>AM 22090089</t>
  </si>
  <si>
    <t>AM 22090090</t>
  </si>
  <si>
    <t>AM 22090091</t>
  </si>
  <si>
    <t>AM 22090092</t>
  </si>
  <si>
    <t>AM 22090093</t>
  </si>
  <si>
    <t>AM 22090094</t>
  </si>
  <si>
    <t>AM 22090095</t>
  </si>
  <si>
    <t>AM 22090096</t>
  </si>
  <si>
    <t>AM 22090097</t>
  </si>
  <si>
    <t>AM 22090098</t>
  </si>
  <si>
    <t>AM 22090099</t>
  </si>
  <si>
    <t>AM 22090100</t>
  </si>
  <si>
    <t>AM 22090101</t>
  </si>
  <si>
    <t>AM 22090102</t>
  </si>
  <si>
    <t>AM 22090103</t>
  </si>
  <si>
    <t>AM 22090104</t>
  </si>
  <si>
    <t>AM 22090105</t>
  </si>
  <si>
    <t>AM 22090106</t>
  </si>
  <si>
    <t>AM 22090107</t>
  </si>
  <si>
    <t>AM 22090108</t>
  </si>
  <si>
    <t>AM 22090109</t>
  </si>
  <si>
    <t>AM 22090110</t>
  </si>
  <si>
    <t>AM 22090111</t>
  </si>
  <si>
    <t>AM 22090112</t>
  </si>
  <si>
    <t>AM 22090113</t>
  </si>
  <si>
    <t>AM 22090114</t>
  </si>
  <si>
    <t>AM 22090115</t>
  </si>
  <si>
    <t>AM 22090116</t>
  </si>
  <si>
    <t>AM 22090117</t>
  </si>
  <si>
    <t>AM 22090118</t>
  </si>
  <si>
    <t>AM 22090119</t>
  </si>
  <si>
    <t>AM 22090120</t>
  </si>
  <si>
    <t>AM 22090121</t>
  </si>
  <si>
    <t>AM 22090122</t>
  </si>
  <si>
    <t>AM 22090123</t>
  </si>
  <si>
    <t>AM 22090124</t>
  </si>
  <si>
    <t>AM 22090125</t>
  </si>
  <si>
    <t>AM 22090126</t>
  </si>
  <si>
    <t>AM 22090127</t>
  </si>
  <si>
    <t>AM 22090128</t>
  </si>
  <si>
    <t>AM 22090129</t>
  </si>
  <si>
    <t>AM 22090130</t>
  </si>
  <si>
    <t>AM 22090131</t>
  </si>
  <si>
    <t>AM 22090132</t>
  </si>
  <si>
    <t>AM 22090133</t>
  </si>
  <si>
    <t>AM 22090134</t>
  </si>
  <si>
    <t>AM 22090135</t>
  </si>
  <si>
    <t>AM 22090136</t>
  </si>
  <si>
    <t>AM 22090137</t>
  </si>
  <si>
    <t>AM 22090138</t>
  </si>
  <si>
    <t>AM 22090139</t>
  </si>
  <si>
    <t>AM 22090140</t>
  </si>
  <si>
    <t>AM 22090141</t>
  </si>
  <si>
    <t>AM 22090142</t>
  </si>
  <si>
    <t>AM 22090143</t>
  </si>
  <si>
    <t>AM 22090144</t>
  </si>
  <si>
    <t>AM 22090145</t>
  </si>
  <si>
    <t>AM 22090146</t>
  </si>
  <si>
    <t>AM 22090147</t>
  </si>
  <si>
    <t>AM 22090148</t>
  </si>
  <si>
    <t>AM 22090149</t>
  </si>
  <si>
    <t>AM 22090150</t>
  </si>
  <si>
    <t>G 0872</t>
  </si>
  <si>
    <t>KO 0873</t>
  </si>
  <si>
    <t>KO 0875</t>
  </si>
  <si>
    <t>KO 0945</t>
  </si>
  <si>
    <t>G 0881</t>
  </si>
  <si>
    <t>KO 0953</t>
  </si>
  <si>
    <t>KO 0885</t>
  </si>
  <si>
    <t>KO 0960</t>
  </si>
  <si>
    <t>KO 1505</t>
  </si>
  <si>
    <t>KO 0958</t>
  </si>
  <si>
    <t>G 1507</t>
  </si>
  <si>
    <t>KO 0964</t>
  </si>
  <si>
    <t>KO 0965</t>
  </si>
  <si>
    <t>KO 0968</t>
  </si>
  <si>
    <t>N 035 - 040</t>
  </si>
  <si>
    <t>KO 1850</t>
  </si>
  <si>
    <t>SA220913684</t>
  </si>
  <si>
    <t>SA220913878</t>
  </si>
  <si>
    <t>SA220913901</t>
  </si>
  <si>
    <t>SA220913941</t>
  </si>
  <si>
    <t>SA220913954</t>
  </si>
  <si>
    <t>SA220913992</t>
  </si>
  <si>
    <t>22090015</t>
  </si>
  <si>
    <t>22090046</t>
  </si>
  <si>
    <t>22090060</t>
  </si>
  <si>
    <t>22090093</t>
  </si>
  <si>
    <t>22090175</t>
  </si>
  <si>
    <t>22090305</t>
  </si>
  <si>
    <t>22090393</t>
  </si>
  <si>
    <t>22090527</t>
  </si>
  <si>
    <t>22090636</t>
  </si>
  <si>
    <t>22090728</t>
  </si>
  <si>
    <t>22090754</t>
  </si>
  <si>
    <t>N 0974</t>
  </si>
  <si>
    <t>SA220914106</t>
  </si>
  <si>
    <t>SA220914107</t>
  </si>
  <si>
    <t>SA220914190</t>
  </si>
  <si>
    <t>KO 3451</t>
  </si>
  <si>
    <t>KO 3364 3415 3426</t>
  </si>
  <si>
    <t>ARUM BARU</t>
  </si>
  <si>
    <t>G 3427 3432</t>
  </si>
  <si>
    <t>N 3434</t>
  </si>
  <si>
    <t>KO 3436</t>
  </si>
  <si>
    <t>KO 3437</t>
  </si>
  <si>
    <t>N 3438</t>
  </si>
  <si>
    <t>G 3440</t>
  </si>
  <si>
    <t>N 3376</t>
  </si>
  <si>
    <t>N 3377</t>
  </si>
  <si>
    <t>BRUX MENCENG</t>
  </si>
  <si>
    <t>KO 3416 3428 3443</t>
  </si>
  <si>
    <t>KO 1848 3453 3459</t>
  </si>
  <si>
    <t>KO 1847 3454 3460</t>
  </si>
  <si>
    <t>KO 3452 3456 3462</t>
  </si>
  <si>
    <t>N 3383</t>
  </si>
  <si>
    <t>EMY</t>
  </si>
  <si>
    <t>KO 3439 3375 3385</t>
  </si>
  <si>
    <t>KO 3410 3378 3389</t>
  </si>
  <si>
    <t>G 3429 3391 3396</t>
  </si>
  <si>
    <t>G 3431 3382 3399</t>
  </si>
  <si>
    <t>N 0508</t>
  </si>
  <si>
    <t>N 3405 8393 3446</t>
  </si>
  <si>
    <t>G 0512</t>
  </si>
  <si>
    <t>KO 3368 3424 3450</t>
  </si>
  <si>
    <t>KO 3413 3433 0510</t>
  </si>
  <si>
    <t>KO 3370 3386 0553</t>
  </si>
  <si>
    <t>G 0555</t>
  </si>
  <si>
    <t>N 3449 0556</t>
  </si>
  <si>
    <t>G 3387 3448</t>
  </si>
  <si>
    <t>KO 3458 3457 3467</t>
  </si>
  <si>
    <t>KO 3441 3400 0557</t>
  </si>
  <si>
    <t>KO 0558</t>
  </si>
  <si>
    <t>KO 3430 0523 0559</t>
  </si>
  <si>
    <t>KO 3397 0516 0560</t>
  </si>
  <si>
    <t>KO 0503 0519 0561</t>
  </si>
  <si>
    <t>N 0509 0514 0562</t>
  </si>
  <si>
    <t>G 3422 0566</t>
  </si>
  <si>
    <t>G 3392 3444 0572</t>
  </si>
  <si>
    <t>KO 0573</t>
  </si>
  <si>
    <t>G 3379 0568 0574</t>
  </si>
  <si>
    <t>G 3380 0575</t>
  </si>
  <si>
    <t>G 0581</t>
  </si>
  <si>
    <t>G 3421 0570 0588</t>
  </si>
  <si>
    <t>KO 3417 3423 0589</t>
  </si>
  <si>
    <t>KO 3411 0505 0590</t>
  </si>
  <si>
    <t>AM 22080151</t>
  </si>
  <si>
    <t>AM 22080152</t>
  </si>
  <si>
    <t>AM 22080153</t>
  </si>
  <si>
    <t>AM 22080154</t>
  </si>
  <si>
    <t>AM 22080155</t>
  </si>
  <si>
    <t>AM 22080156</t>
  </si>
  <si>
    <t>AM 22080157</t>
  </si>
  <si>
    <t>AM 22080158</t>
  </si>
  <si>
    <t>AM 22080159</t>
  </si>
  <si>
    <t>AM 22080160</t>
  </si>
  <si>
    <t>AM 22080161</t>
  </si>
  <si>
    <t>AM 22080162</t>
  </si>
  <si>
    <t>AM 22080163</t>
  </si>
  <si>
    <t>AM 22080164</t>
  </si>
  <si>
    <t>AM 22080165</t>
  </si>
  <si>
    <t>AM 22080166</t>
  </si>
  <si>
    <t>AM 22080167</t>
  </si>
  <si>
    <t>AM 22080168</t>
  </si>
  <si>
    <t>AM 22080169</t>
  </si>
  <si>
    <t>AM 22080170</t>
  </si>
  <si>
    <t>AM 22080171</t>
  </si>
  <si>
    <t>AM 22080172</t>
  </si>
  <si>
    <t>AM 22080173</t>
  </si>
  <si>
    <t>AM 22080174</t>
  </si>
  <si>
    <t>AM 22080175</t>
  </si>
  <si>
    <t>AM 22080176</t>
  </si>
  <si>
    <t>AM 22080177</t>
  </si>
  <si>
    <t>AM 22080178</t>
  </si>
  <si>
    <t>AM 22080179</t>
  </si>
  <si>
    <t>AM 22080180</t>
  </si>
  <si>
    <t>AM 22080181</t>
  </si>
  <si>
    <t>AM 22080182</t>
  </si>
  <si>
    <t>AM 22080183</t>
  </si>
  <si>
    <t>AM 22080184</t>
  </si>
  <si>
    <t>AM 22080185</t>
  </si>
  <si>
    <t>AM 22080186</t>
  </si>
  <si>
    <t>AM 22080187</t>
  </si>
  <si>
    <t>AM 22080188</t>
  </si>
  <si>
    <t>AM 22080189</t>
  </si>
  <si>
    <t>AM 22080190</t>
  </si>
  <si>
    <t>AM 22080191</t>
  </si>
  <si>
    <t>AM 22080192</t>
  </si>
  <si>
    <t>AM 22080193</t>
  </si>
  <si>
    <t>AM 22080194</t>
  </si>
  <si>
    <t>AM 22080195</t>
  </si>
  <si>
    <t>AM 22080196</t>
  </si>
  <si>
    <t>AM 22080197</t>
  </si>
  <si>
    <t>AM 22080198</t>
  </si>
  <si>
    <t>AM 22080199</t>
  </si>
  <si>
    <t>AM 22080200</t>
  </si>
  <si>
    <t>KO 1849 3461 3469</t>
  </si>
  <si>
    <t>KO 3465 3470 3472</t>
  </si>
  <si>
    <t>N 041 - 044</t>
  </si>
  <si>
    <t>N 0529</t>
  </si>
  <si>
    <t>G 0530</t>
  </si>
  <si>
    <t>PERMATA</t>
  </si>
  <si>
    <t>G 0507 0531</t>
  </si>
  <si>
    <t>G 0532</t>
  </si>
  <si>
    <t>GLORIA</t>
  </si>
  <si>
    <t>G 0534</t>
  </si>
  <si>
    <t>N 0535</t>
  </si>
  <si>
    <t>KO 1846</t>
  </si>
  <si>
    <t>KO 0524 0527 0594</t>
  </si>
  <si>
    <t>G 0582 0592 0597</t>
  </si>
  <si>
    <t>G 0536</t>
  </si>
  <si>
    <t>G 0539</t>
  </si>
  <si>
    <t>KO 0540</t>
  </si>
  <si>
    <t>KO 3455</t>
  </si>
  <si>
    <t>KO 3468 3475 3476</t>
  </si>
  <si>
    <t>KO 3479 3474 3481</t>
  </si>
  <si>
    <t>G 0528 0547</t>
  </si>
  <si>
    <t>N 0550</t>
  </si>
  <si>
    <t>KO 3471 3477 3483</t>
  </si>
  <si>
    <t>G 0604</t>
  </si>
  <si>
    <t>G 8394 0600 0612</t>
  </si>
  <si>
    <t>KO 3425 0613</t>
  </si>
  <si>
    <t>KO 0542 0543 0614</t>
  </si>
  <si>
    <t>KO 0598 0609 0619</t>
  </si>
  <si>
    <t>G 0591 0651</t>
  </si>
  <si>
    <t>A4</t>
  </si>
  <si>
    <t>G 0654</t>
  </si>
  <si>
    <t>N 0655</t>
  </si>
  <si>
    <t>G 0620</t>
  </si>
  <si>
    <t>KO 0658</t>
  </si>
  <si>
    <t>AM 22080201</t>
  </si>
  <si>
    <t>AM 22080202</t>
  </si>
  <si>
    <t>AM 22080203</t>
  </si>
  <si>
    <t>AM 22080204</t>
  </si>
  <si>
    <t>AM 22080205</t>
  </si>
  <si>
    <t>AM 22080206</t>
  </si>
  <si>
    <t>AM 22080207</t>
  </si>
  <si>
    <t>AM 22080208</t>
  </si>
  <si>
    <t>AM 22080209</t>
  </si>
  <si>
    <t>AM 22080210</t>
  </si>
  <si>
    <t>AM 22080211</t>
  </si>
  <si>
    <t>AM 22080212</t>
  </si>
  <si>
    <t>AM 22080213</t>
  </si>
  <si>
    <t>AM 22080214</t>
  </si>
  <si>
    <t>AM 22080215</t>
  </si>
  <si>
    <t>AM 22080216</t>
  </si>
  <si>
    <t>AM 22080217</t>
  </si>
  <si>
    <t>AM 22080218</t>
  </si>
  <si>
    <t>AM 22080219</t>
  </si>
  <si>
    <t>AM 22080220</t>
  </si>
  <si>
    <t>AM 22080221</t>
  </si>
  <si>
    <t>AM 22080222</t>
  </si>
  <si>
    <t>AM 22080223</t>
  </si>
  <si>
    <t>AM 22080224</t>
  </si>
  <si>
    <t>AM 22080225</t>
  </si>
  <si>
    <t>AM 22080226</t>
  </si>
  <si>
    <t>AM 22080227</t>
  </si>
  <si>
    <t>AM 22080228</t>
  </si>
  <si>
    <t>AM 22080229</t>
  </si>
  <si>
    <t>AM 22080230</t>
  </si>
  <si>
    <t>AM 22080231</t>
  </si>
  <si>
    <t>AM 22080232</t>
  </si>
  <si>
    <t>AM 22080233</t>
  </si>
  <si>
    <t>AM 22080234</t>
  </si>
  <si>
    <t>AM 22080235</t>
  </si>
  <si>
    <t>AM 22080236</t>
  </si>
  <si>
    <t>AM 22080237</t>
  </si>
  <si>
    <t>AM 22080238</t>
  </si>
  <si>
    <t>AM 22080239</t>
  </si>
  <si>
    <t>AM 22080240</t>
  </si>
  <si>
    <t>AM 22080241</t>
  </si>
  <si>
    <t>AM 22080242</t>
  </si>
  <si>
    <t>AM 22080243</t>
  </si>
  <si>
    <t>AM 22080244</t>
  </si>
  <si>
    <t>AM 22080245</t>
  </si>
  <si>
    <t>AM 22080246</t>
  </si>
  <si>
    <t>AM 22080247</t>
  </si>
  <si>
    <t>AM 22080248</t>
  </si>
  <si>
    <t>AM 22080249</t>
  </si>
  <si>
    <t>AM 22080250</t>
  </si>
  <si>
    <t>N 0659</t>
  </si>
  <si>
    <t>N 0660</t>
  </si>
  <si>
    <t>G 0541 0617 0662</t>
  </si>
  <si>
    <t>G 0663</t>
  </si>
  <si>
    <t>KO 0587 0545 0626</t>
  </si>
  <si>
    <t>KO 0571 0603 0632</t>
  </si>
  <si>
    <t>KO 0602 0607 0635</t>
  </si>
  <si>
    <t>G 0517 0518 0636</t>
  </si>
  <si>
    <t>N 0637</t>
  </si>
  <si>
    <t>G 0621</t>
  </si>
  <si>
    <t>KO 3473 3485 3492</t>
  </si>
  <si>
    <t>KO 3478 3488 3493</t>
  </si>
  <si>
    <t>KO 3486 3489 3494</t>
  </si>
  <si>
    <t>KO 3484 3491 3495</t>
  </si>
  <si>
    <t>KO 0549 0628 0665</t>
  </si>
  <si>
    <t>KO 0656 0664 0668</t>
  </si>
  <si>
    <t>G 0526 0644 0670</t>
  </si>
  <si>
    <t>N 0674</t>
  </si>
  <si>
    <t>M J</t>
  </si>
  <si>
    <t>N 0675</t>
  </si>
  <si>
    <t>KO 0676</t>
  </si>
  <si>
    <t>N 0677</t>
  </si>
  <si>
    <t>AL IKHLAS</t>
  </si>
  <si>
    <t>N 0538 0640 0678</t>
  </si>
  <si>
    <t>KO 3497</t>
  </si>
  <si>
    <t>KO 3496 3498</t>
  </si>
  <si>
    <t>KO 3482 3499 3500</t>
  </si>
  <si>
    <t>G 0679</t>
  </si>
  <si>
    <t>TIP TOP</t>
  </si>
  <si>
    <t>G 0639 0683</t>
  </si>
  <si>
    <t>G 0551 0576 0686</t>
  </si>
  <si>
    <t>KO 0687</t>
  </si>
  <si>
    <t>KO 0533 0688</t>
  </si>
  <si>
    <t>KO 3435 0615 0690</t>
  </si>
  <si>
    <t>G 0548 0647</t>
  </si>
  <si>
    <t>KO 0511 0641 0648</t>
  </si>
  <si>
    <t>G 3388 0622</t>
  </si>
  <si>
    <t>G 0577 0685 0692</t>
  </si>
  <si>
    <t>G 3366 3390 0694</t>
  </si>
  <si>
    <t>KO 0525 0681 0682</t>
  </si>
  <si>
    <t>KO 0695 0616</t>
  </si>
  <si>
    <t>G 0605 0630 0696</t>
  </si>
  <si>
    <t>G 3419 0501 0752</t>
  </si>
  <si>
    <t>KO 0606 0633 0755</t>
  </si>
  <si>
    <t>KO 0625 0691 0758</t>
  </si>
  <si>
    <t>N 0759</t>
  </si>
  <si>
    <t>N 0546 0631 0760</t>
  </si>
  <si>
    <t>N 0762</t>
  </si>
  <si>
    <t>G 0763</t>
  </si>
  <si>
    <t>N 3372 0579 0698</t>
  </si>
  <si>
    <t>G 3384 0578 0699</t>
  </si>
  <si>
    <t>KO 0586 0624 0661</t>
  </si>
  <si>
    <t>G 0567 0671 0766</t>
  </si>
  <si>
    <t>KO 0672</t>
  </si>
  <si>
    <t>G 0767</t>
  </si>
  <si>
    <t>G 0506 0595 0772</t>
  </si>
  <si>
    <t>KO 3395 0623 0774</t>
  </si>
  <si>
    <t>KO 3371 0775</t>
  </si>
  <si>
    <t>N 0776</t>
  </si>
  <si>
    <t>RIA</t>
  </si>
  <si>
    <t>G 3367 0769 0777</t>
  </si>
  <si>
    <t>G 0778</t>
  </si>
  <si>
    <t>N 0779</t>
  </si>
  <si>
    <t>G 0780</t>
  </si>
  <si>
    <t>KO 0781</t>
  </si>
  <si>
    <t>KO 0502 0643 0782</t>
  </si>
  <si>
    <t>KO 0783</t>
  </si>
  <si>
    <t>KO 0666 0649 0784</t>
  </si>
  <si>
    <t>N 045-046</t>
  </si>
  <si>
    <t>KO 0787</t>
  </si>
  <si>
    <t>KO 0788</t>
  </si>
  <si>
    <t>G 0793</t>
  </si>
  <si>
    <t>G 0504 0684 0794</t>
  </si>
  <si>
    <t>G 0795</t>
  </si>
  <si>
    <t>G 3420 0693 0796</t>
  </si>
  <si>
    <t>G 0799</t>
  </si>
  <si>
    <t>G 0627 0754 0852</t>
  </si>
  <si>
    <t>G 0853</t>
  </si>
  <si>
    <t>GRAFIKA</t>
  </si>
  <si>
    <t>KO 3464 3463 0701</t>
  </si>
  <si>
    <t>N 0210</t>
  </si>
  <si>
    <t>N 0076</t>
  </si>
  <si>
    <t>KO 0916</t>
  </si>
  <si>
    <t>KO 0917 0918</t>
  </si>
  <si>
    <t>KO 0919</t>
  </si>
  <si>
    <t>KO 0920</t>
  </si>
  <si>
    <t>KO 0801 0802</t>
  </si>
  <si>
    <t>KO 0803</t>
  </si>
  <si>
    <t>KO 0805 0807</t>
  </si>
  <si>
    <t>KO 0618 0855</t>
  </si>
  <si>
    <t>G 0857</t>
  </si>
  <si>
    <t>KO 3409 0858</t>
  </si>
  <si>
    <t>N 0902</t>
  </si>
  <si>
    <t>RATNA</t>
  </si>
  <si>
    <t>KO 0851 0904</t>
  </si>
  <si>
    <t>KO 0544 0906</t>
  </si>
  <si>
    <t>KO 0638 0790 0907</t>
  </si>
  <si>
    <t>KO 0789 0908</t>
  </si>
  <si>
    <t>KO 0669 0764 0909</t>
  </si>
  <si>
    <t>KO 0785 0911</t>
  </si>
  <si>
    <t>KO 0673 0757 0912</t>
  </si>
  <si>
    <t>KO 0770 0786 0916</t>
  </si>
  <si>
    <t>G 0700 0917</t>
  </si>
  <si>
    <t>G 0772 0918</t>
  </si>
  <si>
    <t>G 3445 0629 0919</t>
  </si>
  <si>
    <t>N 0922</t>
  </si>
  <si>
    <t>G 3363 0652 0923</t>
  </si>
  <si>
    <t>G 0924</t>
  </si>
  <si>
    <t>KO 3369 3442 0928</t>
  </si>
  <si>
    <t>KO 351 352</t>
  </si>
  <si>
    <t>22090830</t>
  </si>
  <si>
    <t>22091090</t>
  </si>
  <si>
    <t>22091098</t>
  </si>
  <si>
    <t>22091198</t>
  </si>
  <si>
    <t>22091209</t>
  </si>
  <si>
    <t>22091296</t>
  </si>
  <si>
    <t>SN22091783</t>
  </si>
  <si>
    <t>SA220914389</t>
  </si>
  <si>
    <t>JUI261/22</t>
  </si>
  <si>
    <t>005187</t>
  </si>
  <si>
    <t>010.007-22.94097985</t>
  </si>
  <si>
    <t>010.007-22.94097996</t>
  </si>
  <si>
    <t>010.007-22.94098197</t>
  </si>
  <si>
    <t>010.007-22.94098211</t>
  </si>
  <si>
    <t>010.007-22.94098430</t>
  </si>
  <si>
    <t>010.007-22.94098605</t>
  </si>
  <si>
    <t>010.007-22.94098854</t>
  </si>
  <si>
    <t>010.007-22.94099045</t>
  </si>
  <si>
    <t>010.007-22.94099046</t>
  </si>
  <si>
    <t>010.007-22.94099407</t>
  </si>
  <si>
    <t>010.007-22.94099414</t>
  </si>
  <si>
    <t>010.007-22.94099415</t>
  </si>
  <si>
    <t>010.007-22.94099416</t>
  </si>
  <si>
    <t>010.007-22.94099417</t>
  </si>
  <si>
    <t>010.007-22.94099437</t>
  </si>
  <si>
    <t>010.007-22.94099438</t>
  </si>
  <si>
    <t>010.007-22.94099817</t>
  </si>
  <si>
    <t>010.007-22.94099818</t>
  </si>
  <si>
    <t>010.007-22.94100070</t>
  </si>
  <si>
    <t>010.007-22.94100345</t>
  </si>
  <si>
    <t>010.007-22.94100806</t>
  </si>
  <si>
    <t>010.007-22.94101114</t>
  </si>
  <si>
    <t>010.007-22.69474730</t>
  </si>
  <si>
    <t>L308060</t>
  </si>
  <si>
    <t>010.007-22.88358417</t>
  </si>
  <si>
    <t>010.007-22.88358578</t>
  </si>
  <si>
    <t>LIE ARMAND (UD MATAHARI)</t>
  </si>
  <si>
    <t>L109031</t>
  </si>
  <si>
    <t>ALAT KLEM</t>
  </si>
  <si>
    <t>LAMPU BOHLAM</t>
  </si>
  <si>
    <t>HP NOKIA KANTOR BARU</t>
  </si>
  <si>
    <t>BUKU EKSPEDISI</t>
  </si>
  <si>
    <t>KERTAS HVS F4 SIDU</t>
  </si>
  <si>
    <t>SERVICE PANTHER H 1327</t>
  </si>
  <si>
    <t>- 01009 | 16/07/2022 | H 8385 AQ</t>
  </si>
  <si>
    <t>- 01076 | 25/07/2022 | H 1887 UH</t>
  </si>
  <si>
    <t>PELUNASAN SERVICE PUTRA KARTIKA</t>
  </si>
  <si>
    <t>- 008527 | 21/07/2022 | H 1136 HP</t>
  </si>
  <si>
    <t>- 007799 | 28/07/2022 | H 1887 UH</t>
  </si>
  <si>
    <t>KIPAS ANGIN COSMOS</t>
  </si>
  <si>
    <t>01 AGT 2022 s/d 31 AGT 2022</t>
  </si>
  <si>
    <t>968569-BCA-SETORAN KLIRING</t>
  </si>
  <si>
    <t>F7006</t>
  </si>
  <si>
    <t>F7008</t>
  </si>
  <si>
    <t>F7009</t>
  </si>
  <si>
    <t>F6991</t>
  </si>
  <si>
    <t>F6987</t>
  </si>
  <si>
    <t>F6974</t>
  </si>
  <si>
    <t>0014227</t>
  </si>
  <si>
    <t>F7004</t>
  </si>
  <si>
    <t>F7011</t>
  </si>
  <si>
    <t>F7014</t>
  </si>
  <si>
    <t>F7025</t>
  </si>
  <si>
    <t>F7027</t>
  </si>
  <si>
    <t>-- SUSANTI DEWI KHODYAT</t>
  </si>
  <si>
    <t>0872473</t>
  </si>
  <si>
    <t>144352-BCA-SETORAN KLIRING</t>
  </si>
  <si>
    <t>F7033</t>
  </si>
  <si>
    <t>F7019</t>
  </si>
  <si>
    <t>KO 0922</t>
  </si>
  <si>
    <t>KO 0921</t>
  </si>
  <si>
    <t>KO 0812</t>
  </si>
  <si>
    <t>G 0984</t>
  </si>
  <si>
    <t>N 0989</t>
  </si>
  <si>
    <t>KO 0990</t>
  </si>
  <si>
    <t>KO 1530</t>
  </si>
  <si>
    <t>KO 0993</t>
  </si>
  <si>
    <t>G 1542</t>
  </si>
  <si>
    <t>KO 0994</t>
  </si>
  <si>
    <t>G 1657</t>
  </si>
  <si>
    <t>KO 1658</t>
  </si>
  <si>
    <t>SA220914680</t>
  </si>
  <si>
    <t>SA220914681</t>
  </si>
  <si>
    <t>SA220914682</t>
  </si>
  <si>
    <t>SA220914683</t>
  </si>
  <si>
    <t>SA220914742</t>
  </si>
  <si>
    <t>SA220914758</t>
  </si>
  <si>
    <t>SA220914796</t>
  </si>
  <si>
    <t>22091429</t>
  </si>
  <si>
    <t>22091432</t>
  </si>
  <si>
    <t>22091531</t>
  </si>
  <si>
    <t>GAJI KARYAWAN HARIAN TETAP (PERIODE 29 AGT - 10 SEPT 2022)</t>
  </si>
  <si>
    <t>INSENTIVE KARYAWAN MINGGUAN (PERIODE 29 AGT - 03 SEPT  2022)</t>
  </si>
  <si>
    <t>INSENTIVE KARYAWAN MINGGUAN (PERIODE 05 - 10 SEPTEMBER 2022)</t>
  </si>
  <si>
    <t>INSENTIVE KARYAWAN MINGGUAN (PERIODE 12 - 17 SEPTEMBER 2022)</t>
  </si>
  <si>
    <t>GAJI KARYAWAN HARIAN TETAP (PERIODE 12 - 24 SEPTEMBER 2022)</t>
  </si>
  <si>
    <t>INSENTIVE KARYAWAN MINGGUAN (PERIODE 19 - 24 SEPTEMBER 2022)</t>
  </si>
  <si>
    <t>INSENTIVE KARYAWAN MINGGUAN (PERIODE 26 SEPT - 01 OKT 2022)</t>
  </si>
  <si>
    <t>GAJI KARYAWAN HARIAN TETAP (PERIODE 26 SEPT - 07 OKT 2022)</t>
  </si>
  <si>
    <t>INSENTIVE KARYAWAN MINGGUAN (PERIODE 03 - 07 OKTOBER 2022)</t>
  </si>
  <si>
    <t>INSENTIVE KARYAWAN MINGGUAN (PERIODE 10 - 15 OKTOBER 2022)</t>
  </si>
  <si>
    <t>GAJI KARYAWAN HARIAN TETAP (PERIODE 10 - 22 OKTOBER 2022)</t>
  </si>
  <si>
    <t>INSENTIVE KARYAWAN MINGGUAN (PERIODE 17 - 22 OKTOBER 2022)</t>
  </si>
  <si>
    <t>22091688</t>
  </si>
  <si>
    <t>22091697</t>
  </si>
  <si>
    <t>22091783</t>
  </si>
  <si>
    <t>22091795</t>
  </si>
  <si>
    <t>22091796</t>
  </si>
  <si>
    <t>22091890</t>
  </si>
  <si>
    <t>SA220914841</t>
  </si>
  <si>
    <t>SA220914842</t>
  </si>
  <si>
    <t>SA220914843</t>
  </si>
  <si>
    <t>SA220914879</t>
  </si>
  <si>
    <t>SA220914915</t>
  </si>
  <si>
    <t>SA220914928</t>
  </si>
  <si>
    <t>SA220915039</t>
  </si>
  <si>
    <t>SA220915035</t>
  </si>
  <si>
    <t>SN22091838</t>
  </si>
  <si>
    <t>G 1570</t>
  </si>
  <si>
    <t>CV RAINBOW NUSANTARA</t>
  </si>
  <si>
    <t>G 1575</t>
  </si>
  <si>
    <t>010.001-22.12343528</t>
  </si>
  <si>
    <t>010.001-22.12343562</t>
  </si>
  <si>
    <t>010.001-22.12343578</t>
  </si>
  <si>
    <t>010.001-22.12343700</t>
  </si>
  <si>
    <t>010.001-22.12343909</t>
  </si>
  <si>
    <t>010.001-22.12344099</t>
  </si>
  <si>
    <t>010.001-22.12344187</t>
  </si>
  <si>
    <t>010.001-22.12344322</t>
  </si>
  <si>
    <t>010.001-22.12344431</t>
  </si>
  <si>
    <t>010.001-22.12344524</t>
  </si>
  <si>
    <t>010.001-22.12344550</t>
  </si>
  <si>
    <t>010.001-22.12344625</t>
  </si>
  <si>
    <t>22090926</t>
  </si>
  <si>
    <t>010.001-22.12344721</t>
  </si>
  <si>
    <t>010.001-22.12344884</t>
  </si>
  <si>
    <t>010.001-22.12344892</t>
  </si>
  <si>
    <t>010.001-22.12344993</t>
  </si>
  <si>
    <t>010.001-22.12345004</t>
  </si>
  <si>
    <t>010.001-22.12345091</t>
  </si>
  <si>
    <t>010.001-22.12345224</t>
  </si>
  <si>
    <t>010.001-22.12345227</t>
  </si>
  <si>
    <t>010.001-22.12345326</t>
  </si>
  <si>
    <t>010.001-22.12345483</t>
  </si>
  <si>
    <t>010.001-22.12345492</t>
  </si>
  <si>
    <t>010.001-22.12345578</t>
  </si>
  <si>
    <t>010.001-22.12345590</t>
  </si>
  <si>
    <t>010.001-22.12345591</t>
  </si>
  <si>
    <t>010.001-22.12345685</t>
  </si>
  <si>
    <t>010.001-22.12345796</t>
  </si>
  <si>
    <t>JUI550/22</t>
  </si>
  <si>
    <t>JUI551/22</t>
  </si>
  <si>
    <t>JL-24019</t>
  </si>
  <si>
    <t>N 1717</t>
  </si>
  <si>
    <t>KO 1584</t>
  </si>
  <si>
    <t>22092190</t>
  </si>
  <si>
    <t>KO 1757</t>
  </si>
  <si>
    <t>KO 1723</t>
  </si>
  <si>
    <t>010.007-22.69474779</t>
  </si>
  <si>
    <t>010.001-22.12345940</t>
  </si>
  <si>
    <t>010.001-22.12345985</t>
  </si>
  <si>
    <t>010.001-22.12346155</t>
  </si>
  <si>
    <t>010.007-22.94101612</t>
  </si>
  <si>
    <t>010.007-22.94102194</t>
  </si>
  <si>
    <t>010.007-22.94102374</t>
  </si>
  <si>
    <t>010.007-22.94102414</t>
  </si>
  <si>
    <t>010.007-22.94102427</t>
  </si>
  <si>
    <t>010.007-22.94102696</t>
  </si>
  <si>
    <t>010.007-22.94103015</t>
  </si>
  <si>
    <t>010.007-22.94103016</t>
  </si>
  <si>
    <t>010.007-22.94103281</t>
  </si>
  <si>
    <t>010.007-22.94103967</t>
  </si>
  <si>
    <t>SA220915312</t>
  </si>
  <si>
    <t>L309047</t>
  </si>
  <si>
    <t>SA220915369</t>
  </si>
  <si>
    <t>SA220915370</t>
  </si>
  <si>
    <t>SA220915371</t>
  </si>
  <si>
    <t>SN22091886</t>
  </si>
  <si>
    <t>KO 1758</t>
  </si>
  <si>
    <t>010.007-22.55757839</t>
  </si>
  <si>
    <t>010.008-22.69220391</t>
  </si>
  <si>
    <t>KO 1691</t>
  </si>
  <si>
    <t>G 0863</t>
  </si>
  <si>
    <t>N 0865</t>
  </si>
  <si>
    <t>G 0871</t>
  </si>
  <si>
    <t>N 0937</t>
  </si>
  <si>
    <t>KO 0943</t>
  </si>
  <si>
    <t>KO 0867 0876 0944</t>
  </si>
  <si>
    <t>KO 0866 0877 0946</t>
  </si>
  <si>
    <t>KO 0947</t>
  </si>
  <si>
    <t>G 0948</t>
  </si>
  <si>
    <t>G 0949</t>
  </si>
  <si>
    <t>KO 1504</t>
  </si>
  <si>
    <t>N 0914 0926 0951</t>
  </si>
  <si>
    <t>N 0952</t>
  </si>
  <si>
    <t>KO 0927 0942 0954</t>
  </si>
  <si>
    <t>G 0955</t>
  </si>
  <si>
    <t>G 0884</t>
  </si>
  <si>
    <t>G 0886</t>
  </si>
  <si>
    <t>G 0887</t>
  </si>
  <si>
    <t>KO 0889</t>
  </si>
  <si>
    <t>KO 0890</t>
  </si>
  <si>
    <t>KO 0932 0941 0893</t>
  </si>
  <si>
    <t>N 0950 0895</t>
  </si>
  <si>
    <t>N 0896</t>
  </si>
  <si>
    <t>G 1506</t>
  </si>
  <si>
    <t>JESSICA</t>
  </si>
  <si>
    <t>TASIKMALAYA</t>
  </si>
  <si>
    <t>KO 1502 0898 1509</t>
  </si>
  <si>
    <t>G 0921 1503 0961</t>
  </si>
  <si>
    <t>N 1510</t>
  </si>
  <si>
    <t>G 1515</t>
  </si>
  <si>
    <t>SA220915519</t>
  </si>
  <si>
    <t>011.007-22.13924656</t>
  </si>
  <si>
    <t>010.009-22.03059296</t>
  </si>
  <si>
    <t>010.009-22.03059297</t>
  </si>
  <si>
    <t>010.009-22.03059298</t>
  </si>
  <si>
    <t>010.009-22.03059299</t>
  </si>
  <si>
    <t>010.009-22.03059300</t>
  </si>
  <si>
    <t>010.009-22.03059301</t>
  </si>
  <si>
    <t>010.009-22.03059302</t>
  </si>
  <si>
    <t>010.009-22.03059303</t>
  </si>
  <si>
    <t>010.009-22.03059304</t>
  </si>
  <si>
    <t>010.009-22.03059305</t>
  </si>
  <si>
    <t>010.009-22.03059306</t>
  </si>
  <si>
    <t>010.009-22.03059307</t>
  </si>
  <si>
    <t>010.009-22.03059308</t>
  </si>
  <si>
    <t>010.009-22.03059309</t>
  </si>
  <si>
    <t>010.009-22.03059310</t>
  </si>
  <si>
    <t>010.009-22.03059311</t>
  </si>
  <si>
    <t>010.009-22.03059312</t>
  </si>
  <si>
    <t>010.009-22.03059313</t>
  </si>
  <si>
    <t>010.009-22.03059314</t>
  </si>
  <si>
    <t>010.009-22.03059315</t>
  </si>
  <si>
    <t>010.009-22.03059316</t>
  </si>
  <si>
    <t>010.009-22.03059317</t>
  </si>
  <si>
    <t>010.009-22.03059318</t>
  </si>
  <si>
    <t>010.009-22.03059319</t>
  </si>
  <si>
    <t>010.009-22.03059320</t>
  </si>
  <si>
    <t>010.009-22.03059321</t>
  </si>
  <si>
    <t>010.009-22.03059322</t>
  </si>
  <si>
    <t>010.009-22.03059323</t>
  </si>
  <si>
    <t>010.009-22.03059324</t>
  </si>
  <si>
    <t>010.009-22.03059325</t>
  </si>
  <si>
    <t>010.009-22.03059326</t>
  </si>
  <si>
    <t>010.009-22.03059327</t>
  </si>
  <si>
    <t>010.009-22.03059328</t>
  </si>
  <si>
    <t>010.009-22.03059329</t>
  </si>
  <si>
    <t>010.009-22.03059330</t>
  </si>
  <si>
    <t>010.009-22.03059331</t>
  </si>
  <si>
    <t>010.009-22.03059332</t>
  </si>
  <si>
    <t>010.009-22.03059333</t>
  </si>
  <si>
    <t>010.009-22.03059334</t>
  </si>
  <si>
    <t>010.009-22.03059335</t>
  </si>
  <si>
    <t>010.009-22.03059336</t>
  </si>
  <si>
    <t>010.009-22.03059337</t>
  </si>
  <si>
    <t>010.009-22.03059338</t>
  </si>
  <si>
    <t>010.009-22.03059339</t>
  </si>
  <si>
    <t>010.009-22.03059340</t>
  </si>
  <si>
    <t>010.009-22.03059341</t>
  </si>
  <si>
    <t>010.009-22.03059342</t>
  </si>
  <si>
    <t>010.009-22.03059343</t>
  </si>
  <si>
    <t>010.009-22.03059344</t>
  </si>
  <si>
    <t>010.009-22.03059345</t>
  </si>
  <si>
    <t>010.009-22.03059346</t>
  </si>
  <si>
    <t>010.009-22.03059347</t>
  </si>
  <si>
    <t>010.009-22.03059348</t>
  </si>
  <si>
    <t>010.009-22.03059349</t>
  </si>
  <si>
    <t>010.009-22.03059350</t>
  </si>
  <si>
    <t>010.009-22.03059351</t>
  </si>
  <si>
    <t>010.009-22.03059352</t>
  </si>
  <si>
    <t>010.009-22.03059353</t>
  </si>
  <si>
    <t>010.009-22.03059354</t>
  </si>
  <si>
    <t>010.009-22.03059355</t>
  </si>
  <si>
    <t>010.009-22.03059356</t>
  </si>
  <si>
    <t>010.009-22.03059357</t>
  </si>
  <si>
    <t>010.009-22.03059358</t>
  </si>
  <si>
    <t>010.009-22.03059359</t>
  </si>
  <si>
    <t>010.009-22.03059360</t>
  </si>
  <si>
    <t>010.009-22.03059361</t>
  </si>
  <si>
    <t>010.009-22.03059362</t>
  </si>
  <si>
    <t>010.009-22.03059363</t>
  </si>
  <si>
    <t>010.009-22.03059364</t>
  </si>
  <si>
    <t>010.009-22.03059365</t>
  </si>
  <si>
    <t>010.009-22.03059366</t>
  </si>
  <si>
    <t>010.009-22.03059367</t>
  </si>
  <si>
    <t>010.009-22.03059368</t>
  </si>
  <si>
    <t>010.009-22.03059369</t>
  </si>
  <si>
    <t>010.009-22.03059370</t>
  </si>
  <si>
    <t>010.009-22.03059371</t>
  </si>
  <si>
    <t>010.009-22.03059372</t>
  </si>
  <si>
    <t>010.009-22.03059373</t>
  </si>
  <si>
    <t>010.009-22.03059374</t>
  </si>
  <si>
    <t>010.009-22.03059375</t>
  </si>
  <si>
    <t>010.009-22.03059376</t>
  </si>
  <si>
    <t>010.009-22.03059377</t>
  </si>
  <si>
    <t>010.009-22.03059378</t>
  </si>
  <si>
    <t>010.009-22.03059379</t>
  </si>
  <si>
    <t>010.009-22.03059380</t>
  </si>
  <si>
    <t>010.009-22.03059381</t>
  </si>
  <si>
    <t>010.009-22.03059382</t>
  </si>
  <si>
    <t>010.009-22.03059383</t>
  </si>
  <si>
    <t>010.009-22.03059384</t>
  </si>
  <si>
    <t>010.009-22.03059385</t>
  </si>
  <si>
    <t>010.009-22.03059386</t>
  </si>
  <si>
    <t>010.009-22.03059387</t>
  </si>
  <si>
    <t>010.009-22.03059388</t>
  </si>
  <si>
    <t>010.009-22.03059389</t>
  </si>
  <si>
    <t>010.009-22.03059390</t>
  </si>
  <si>
    <t>010.009-22.03059391</t>
  </si>
  <si>
    <t>010.009-22.03059392</t>
  </si>
  <si>
    <t>010.009-22.03059393</t>
  </si>
  <si>
    <t>010.009-22.03059394</t>
  </si>
  <si>
    <t>010.009-22.03059395</t>
  </si>
  <si>
    <t>010.009-22.03059396</t>
  </si>
  <si>
    <t>010.009-22.03059397</t>
  </si>
  <si>
    <t>010.009-22.03059398</t>
  </si>
  <si>
    <t>010.009-22.03059399</t>
  </si>
  <si>
    <t>010.009-22.03059400</t>
  </si>
  <si>
    <t>010.009-22.03059401</t>
  </si>
  <si>
    <t>010.009-22.03059402</t>
  </si>
  <si>
    <t>010.009-22.03059403</t>
  </si>
  <si>
    <t>010.009-22.03059404</t>
  </si>
  <si>
    <t>010.009-22.03059405</t>
  </si>
  <si>
    <t>010.009-22.03059406</t>
  </si>
  <si>
    <t>010.009-22.03059407</t>
  </si>
  <si>
    <t>010.009-22.03059408</t>
  </si>
  <si>
    <t>010.009-22.03059409</t>
  </si>
  <si>
    <t>010.009-22.03059410</t>
  </si>
  <si>
    <t>010.009-22.03059411</t>
  </si>
  <si>
    <t>010.009-22.03059412</t>
  </si>
  <si>
    <t>010.009-22.03059413</t>
  </si>
  <si>
    <t>010.009-22.03059414</t>
  </si>
  <si>
    <t>010.009-22.03059415</t>
  </si>
  <si>
    <t>010.009-22.03059416</t>
  </si>
  <si>
    <t>010.009-22.03059417</t>
  </si>
  <si>
    <t>010.009-22.03059418</t>
  </si>
  <si>
    <t>010.009-22.03059419</t>
  </si>
  <si>
    <t>010.009-22.03059420</t>
  </si>
  <si>
    <t>010.009-22.03059421</t>
  </si>
  <si>
    <t>010.009-22.03059422</t>
  </si>
  <si>
    <t>010.009-22.03059423</t>
  </si>
  <si>
    <t>010.009-22.03059424</t>
  </si>
  <si>
    <t>010.009-22.03059425</t>
  </si>
  <si>
    <t>010.009-22.03059426</t>
  </si>
  <si>
    <t>010.009-22.03059427</t>
  </si>
  <si>
    <t>010.009-22.03059428</t>
  </si>
  <si>
    <t>010.009-22.03059429</t>
  </si>
  <si>
    <t>010.009-22.03059430</t>
  </si>
  <si>
    <t>010.009-22.03059431</t>
  </si>
  <si>
    <t>010.009-22.03059432</t>
  </si>
  <si>
    <t>010.009-22.03059433</t>
  </si>
  <si>
    <t>G 1516</t>
  </si>
  <si>
    <t>N 0971</t>
  </si>
  <si>
    <t>N 0935 1514 0975</t>
  </si>
  <si>
    <t>N 0976</t>
  </si>
  <si>
    <t>KO 0892 0897 0980</t>
  </si>
  <si>
    <t>KO 0910 0862 0981</t>
  </si>
  <si>
    <t>KO 0978</t>
  </si>
  <si>
    <t>KO 0900 1512 0982</t>
  </si>
  <si>
    <t>N 0983</t>
  </si>
  <si>
    <t>G 1518</t>
  </si>
  <si>
    <t>N 0856 1511 1519</t>
  </si>
  <si>
    <t>G 0987</t>
  </si>
  <si>
    <t>G 0962 0969 1525</t>
  </si>
  <si>
    <t>KO 1526</t>
  </si>
  <si>
    <t>KO 1523 0986 1527</t>
  </si>
  <si>
    <t>KO 0899 0957 1529</t>
  </si>
  <si>
    <t>KO 0870 0963 1531</t>
  </si>
  <si>
    <t>G 0860 0940 1532</t>
  </si>
  <si>
    <t>N 1534</t>
  </si>
  <si>
    <t>G 0933 1535</t>
  </si>
  <si>
    <t>22100008</t>
  </si>
  <si>
    <t>22100013</t>
  </si>
  <si>
    <t>22100037</t>
  </si>
  <si>
    <t>22100048</t>
  </si>
  <si>
    <t>22100097</t>
  </si>
  <si>
    <t>22100149</t>
  </si>
  <si>
    <t>22100202</t>
  </si>
  <si>
    <t>22100289</t>
  </si>
  <si>
    <t>22100423</t>
  </si>
  <si>
    <t>22100448</t>
  </si>
  <si>
    <t>22100469</t>
  </si>
  <si>
    <t>22100470</t>
  </si>
  <si>
    <t/>
  </si>
  <si>
    <t>JL-24115</t>
  </si>
  <si>
    <t>SA221015616</t>
  </si>
  <si>
    <t>SA221015642</t>
  </si>
  <si>
    <t>SA221015760</t>
  </si>
  <si>
    <t>G 0996</t>
  </si>
  <si>
    <t>AZIS</t>
  </si>
  <si>
    <t>KARANGANYAR</t>
  </si>
  <si>
    <t>H 0300</t>
  </si>
  <si>
    <t>N 401 - 405</t>
  </si>
  <si>
    <t>KO 0809 0810</t>
  </si>
  <si>
    <t>KO 0913 0703 0811</t>
  </si>
  <si>
    <t>KO 0924</t>
  </si>
  <si>
    <t>KO 0923 0925</t>
  </si>
  <si>
    <t>KO 0705 0706 0708</t>
  </si>
  <si>
    <t>KO 0815</t>
  </si>
  <si>
    <t>KO 0704 0707 0816</t>
  </si>
  <si>
    <t>KO 0702 0813 0819</t>
  </si>
  <si>
    <t>22100534</t>
  </si>
  <si>
    <t>22100649</t>
  </si>
  <si>
    <t>SA221015855</t>
  </si>
  <si>
    <t>010.007-22.27603455</t>
  </si>
  <si>
    <t>010.007-22.27603508</t>
  </si>
  <si>
    <t>010.007-22.27603555</t>
  </si>
  <si>
    <t>010.007-22.69474926</t>
  </si>
  <si>
    <t>AM 22090151</t>
  </si>
  <si>
    <t>AM 22090152</t>
  </si>
  <si>
    <t>AM 22090153</t>
  </si>
  <si>
    <t>AM 22090154</t>
  </si>
  <si>
    <t>AM 22090155</t>
  </si>
  <si>
    <t>AM 22090156</t>
  </si>
  <si>
    <t>AM 22090157</t>
  </si>
  <si>
    <t>AM 22090158</t>
  </si>
  <si>
    <t>AM 22090159</t>
  </si>
  <si>
    <t>AM 22090160</t>
  </si>
  <si>
    <t>AM 22090161</t>
  </si>
  <si>
    <t>AM 22090162</t>
  </si>
  <si>
    <t>AM 22090163</t>
  </si>
  <si>
    <t>AM 22090164</t>
  </si>
  <si>
    <t>AM 22090165</t>
  </si>
  <si>
    <t>AM 22090166</t>
  </si>
  <si>
    <t>AM 22090167</t>
  </si>
  <si>
    <t>AM 22090168</t>
  </si>
  <si>
    <t>AM 22090169</t>
  </si>
  <si>
    <t>AM 22090170</t>
  </si>
  <si>
    <t>AM 22090171</t>
  </si>
  <si>
    <t>AM 22090172</t>
  </si>
  <si>
    <t>AM 22090173</t>
  </si>
  <si>
    <t>AM 22090174</t>
  </si>
  <si>
    <t>AM 22090175</t>
  </si>
  <si>
    <t>AM 22090176</t>
  </si>
  <si>
    <t>AM 22090177</t>
  </si>
  <si>
    <t>AM 22090178</t>
  </si>
  <si>
    <t>AM 22090179</t>
  </si>
  <si>
    <t>AM 22090180</t>
  </si>
  <si>
    <t>AM 22090181</t>
  </si>
  <si>
    <t>AM 22090182</t>
  </si>
  <si>
    <t>AM 22090183</t>
  </si>
  <si>
    <t>AM 22090184</t>
  </si>
  <si>
    <t>AM 22090185</t>
  </si>
  <si>
    <t>AM 22090186</t>
  </si>
  <si>
    <t>AM 22090187</t>
  </si>
  <si>
    <t>AM 22090188</t>
  </si>
  <si>
    <t>AM 22090189</t>
  </si>
  <si>
    <t>AM 22090190</t>
  </si>
  <si>
    <t>AM 22090191</t>
  </si>
  <si>
    <t>AM 22090192</t>
  </si>
  <si>
    <t>AM 22090193</t>
  </si>
  <si>
    <t>AM 22090194</t>
  </si>
  <si>
    <t>AM 22090195</t>
  </si>
  <si>
    <t>AM 22090196</t>
  </si>
  <si>
    <t>AM 22090197</t>
  </si>
  <si>
    <t>AM 22090198</t>
  </si>
  <si>
    <t>AM 22090199</t>
  </si>
  <si>
    <t>AM 22090200</t>
  </si>
  <si>
    <t>G 1553</t>
  </si>
  <si>
    <t>G 1554 1555</t>
  </si>
  <si>
    <t>KO 0933 0956 1545</t>
  </si>
  <si>
    <t>G 0882 0985 1547</t>
  </si>
  <si>
    <t>KO 0880 1548</t>
  </si>
  <si>
    <t>KO 1533 1537 1549</t>
  </si>
  <si>
    <t>G 0883 0888 1550</t>
  </si>
  <si>
    <t>SA221015954</t>
  </si>
  <si>
    <t>SA221015955</t>
  </si>
  <si>
    <t>22100763</t>
  </si>
  <si>
    <t>22100766</t>
  </si>
  <si>
    <t>LMA 2022-10-064</t>
  </si>
  <si>
    <t>KO 0879 1536 1557</t>
  </si>
  <si>
    <t>N 1559</t>
  </si>
  <si>
    <t>KO 1560</t>
  </si>
  <si>
    <t>N 1517 1651</t>
  </si>
  <si>
    <t>G 1652</t>
  </si>
  <si>
    <t>KO 0901 0925 1653</t>
  </si>
  <si>
    <t>KO 1539 1546 1654</t>
  </si>
  <si>
    <t>KO 0966 1522 1656</t>
  </si>
  <si>
    <t>G 0992 1544 1662</t>
  </si>
  <si>
    <t>KO 1563</t>
  </si>
  <si>
    <t>KO 1543 0717</t>
  </si>
  <si>
    <t>KO 0814 0712 0718</t>
  </si>
  <si>
    <t>KO 1565 1701</t>
  </si>
  <si>
    <t>N 1702</t>
  </si>
  <si>
    <t>G 1703</t>
  </si>
  <si>
    <t>N 1558 1704</t>
  </si>
  <si>
    <t>G 1705</t>
  </si>
  <si>
    <t>KO 1666</t>
  </si>
  <si>
    <t>N 1667</t>
  </si>
  <si>
    <t>TOP</t>
  </si>
  <si>
    <t>G 1668</t>
  </si>
  <si>
    <t>N 1672</t>
  </si>
  <si>
    <t>KO 0939 1564 1674</t>
  </si>
  <si>
    <t>KO 1540 1655 1676</t>
  </si>
  <si>
    <t>G 0874 1678</t>
  </si>
  <si>
    <t>KO 1561 1664 1681</t>
  </si>
  <si>
    <t>N 1682</t>
  </si>
  <si>
    <t>N 1683</t>
  </si>
  <si>
    <t>G 0995 1708</t>
  </si>
  <si>
    <t>KO 0861 1508 1710</t>
  </si>
  <si>
    <t>KO 0817 0711 0719</t>
  </si>
  <si>
    <t>KO 0716 0720</t>
  </si>
  <si>
    <t>KO 0710 0715 0721</t>
  </si>
  <si>
    <t>KO 0818 0820 0724</t>
  </si>
  <si>
    <t>KO 1556 1707 1685</t>
  </si>
  <si>
    <t>G 1660 1571</t>
  </si>
  <si>
    <t>G 1659 1572</t>
  </si>
  <si>
    <t>G 0972 1573 1576</t>
  </si>
  <si>
    <t>KO 0936 1577</t>
  </si>
  <si>
    <t>KO 1665 1578</t>
  </si>
  <si>
    <t>KO 1711</t>
  </si>
  <si>
    <t>KO 1712</t>
  </si>
  <si>
    <t>KO 0806 0808 0725</t>
  </si>
  <si>
    <t>KO 0713 0714 0727</t>
  </si>
  <si>
    <t>KO 1713</t>
  </si>
  <si>
    <t>G 0878 1714</t>
  </si>
  <si>
    <t>N 1715</t>
  </si>
  <si>
    <t>KO 0934 0988 1716</t>
  </si>
  <si>
    <t>KO 1687</t>
  </si>
  <si>
    <t>KO 1579</t>
  </si>
  <si>
    <t>G 1669 1680 1581</t>
  </si>
  <si>
    <t>KO 1679 1686 1582</t>
  </si>
  <si>
    <t>G 1663 1583</t>
  </si>
  <si>
    <t>N 0938 0970 1688</t>
  </si>
  <si>
    <t>N 1541 1567 1689</t>
  </si>
  <si>
    <t>KO 1562 1690</t>
  </si>
  <si>
    <t>KO 0959 1574 1692</t>
  </si>
  <si>
    <t>KO 0864 1752</t>
  </si>
  <si>
    <t>KO 1753 1754</t>
  </si>
  <si>
    <t>KO 1755</t>
  </si>
  <si>
    <t>KO 1756</t>
  </si>
  <si>
    <t>KO 1764</t>
  </si>
  <si>
    <t>N 1586</t>
  </si>
  <si>
    <t>N 1587</t>
  </si>
  <si>
    <t>KO 1588</t>
  </si>
  <si>
    <t>RAJA MURAH</t>
  </si>
  <si>
    <t>KO 1673 1675 1589</t>
  </si>
  <si>
    <t>KO 1569 1585 1590</t>
  </si>
  <si>
    <t>G 1677 1592</t>
  </si>
  <si>
    <t>N 1593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</si>
</sst>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9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0"/>
      <color rgb="FF000000"/>
      <name val="Comic Sans MS"/>
      <family val="4"/>
    </font>
    <font>
      <b/>
      <sz val="8"/>
      <color rgb="FF000000"/>
      <name val="Comic Sans MS"/>
      <family val="4"/>
    </font>
    <font>
      <b/>
      <sz val="9"/>
      <color rgb="FF000000"/>
      <name val="Comic Sans MS"/>
      <family val="4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9"/>
      <color indexed="8"/>
      <name val="Comic Sans MS"/>
      <family val="4"/>
    </font>
    <font>
      <sz val="9"/>
      <color rgb="FF000000"/>
      <name val="Comic Sans MS"/>
      <family val="4"/>
    </font>
    <font>
      <b/>
      <sz val="12"/>
      <color rgb="FF000000"/>
      <name val="Comic Sans MS"/>
      <family val="4"/>
    </font>
    <font>
      <b/>
      <i/>
      <sz val="14"/>
      <color theme="1"/>
      <name val="Cambria"/>
      <family val="1"/>
      <scheme val="major"/>
    </font>
    <font>
      <b/>
      <sz val="16"/>
      <color rgb="FF000000"/>
      <name val="Comic Sans MS"/>
      <family val="4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4"/>
      <color rgb="FF000000"/>
      <name val="Comic Sans MS"/>
      <family val="4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sz val="9"/>
      <color theme="1"/>
      <name val="Arial Narrow"/>
      <family val="2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b/>
      <u/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E26B0A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sz val="8.5"/>
      <color rgb="FF00000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4"/>
      <color rgb="FF000000"/>
      <name val="Comic Sans MS"/>
      <family val="4"/>
    </font>
    <font>
      <b/>
      <sz val="14"/>
      <color indexed="8"/>
      <name val="Comic Sans MS"/>
      <family val="4"/>
    </font>
    <font>
      <sz val="14"/>
      <color indexed="8"/>
      <name val="Comic Sans MS"/>
      <family val="4"/>
    </font>
    <font>
      <sz val="11"/>
      <name val="Cambria"/>
      <family val="1"/>
    </font>
    <font>
      <sz val="11"/>
      <color rgb="FFFF0000"/>
      <name val="Cambria"/>
      <family val="1"/>
      <scheme val="major"/>
    </font>
    <font>
      <sz val="8"/>
      <color indexed="8"/>
      <name val="Comic Sans MS"/>
      <family val="4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sz val="11"/>
      <color rgb="FFFF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FF99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12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164" fontId="3" fillId="0" borderId="7" xfId="2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64" fontId="3" fillId="0" borderId="47" xfId="2" applyFont="1" applyFill="1" applyBorder="1" applyAlignment="1">
      <alignment vertical="center"/>
    </xf>
    <xf numFmtId="3" fontId="3" fillId="0" borderId="47" xfId="0" applyNumberFormat="1" applyFont="1" applyFill="1" applyBorder="1" applyAlignment="1">
      <alignment vertical="center"/>
    </xf>
    <xf numFmtId="164" fontId="3" fillId="0" borderId="47" xfId="0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31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164" fontId="3" fillId="0" borderId="7" xfId="2" applyNumberFormat="1" applyFont="1" applyFill="1" applyBorder="1" applyAlignment="1">
      <alignment horizontal="center" vertical="center" wrapText="1"/>
    </xf>
    <xf numFmtId="9" fontId="3" fillId="0" borderId="0" xfId="3" applyFont="1" applyAlignment="1">
      <alignment vertical="center"/>
    </xf>
    <xf numFmtId="0" fontId="40" fillId="0" borderId="5" xfId="0" applyFont="1" applyBorder="1" applyAlignment="1">
      <alignment horizontal="center"/>
    </xf>
    <xf numFmtId="164" fontId="40" fillId="0" borderId="5" xfId="2" applyFont="1" applyBorder="1" applyAlignment="1">
      <alignment horizontal="center"/>
    </xf>
    <xf numFmtId="0" fontId="42" fillId="0" borderId="0" xfId="0" applyFont="1"/>
    <xf numFmtId="0" fontId="42" fillId="0" borderId="5" xfId="0" applyFont="1" applyBorder="1"/>
    <xf numFmtId="0" fontId="15" fillId="2" borderId="12" xfId="0" applyFont="1" applyFill="1" applyBorder="1" applyAlignment="1">
      <alignment horizontal="center"/>
    </xf>
    <xf numFmtId="16" fontId="42" fillId="0" borderId="5" xfId="0" applyNumberFormat="1" applyFont="1" applyBorder="1" applyAlignment="1">
      <alignment horizontal="center"/>
    </xf>
    <xf numFmtId="16" fontId="42" fillId="0" borderId="5" xfId="0" applyNumberFormat="1" applyFont="1" applyBorder="1" applyAlignment="1">
      <alignment horizontal="center" vertical="center"/>
    </xf>
    <xf numFmtId="0" fontId="42" fillId="0" borderId="5" xfId="0" quotePrefix="1" applyFont="1" applyBorder="1"/>
    <xf numFmtId="0" fontId="42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5" xfId="0" applyFont="1" applyBorder="1" applyAlignment="1">
      <alignment horizontal="center"/>
    </xf>
    <xf numFmtId="165" fontId="42" fillId="0" borderId="0" xfId="2" applyNumberFormat="1" applyFont="1"/>
    <xf numFmtId="165" fontId="42" fillId="0" borderId="5" xfId="2" applyNumberFormat="1" applyFont="1" applyBorder="1"/>
    <xf numFmtId="165" fontId="15" fillId="2" borderId="4" xfId="2" applyNumberFormat="1" applyFont="1" applyFill="1" applyBorder="1"/>
    <xf numFmtId="0" fontId="42" fillId="0" borderId="5" xfId="0" applyFont="1" applyBorder="1" applyAlignment="1">
      <alignment vertical="center"/>
    </xf>
    <xf numFmtId="165" fontId="42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43" fillId="0" borderId="5" xfId="0" applyFont="1" applyBorder="1" applyAlignment="1">
      <alignment vertical="center"/>
    </xf>
    <xf numFmtId="0" fontId="42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42" fillId="0" borderId="5" xfId="0" applyNumberFormat="1" applyFont="1" applyBorder="1" applyAlignment="1">
      <alignment horizontal="center" vertical="center"/>
    </xf>
    <xf numFmtId="165" fontId="42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47" fillId="2" borderId="0" xfId="0" applyNumberFormat="1" applyFont="1" applyFill="1" applyAlignment="1">
      <alignment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16" fontId="50" fillId="0" borderId="0" xfId="0" applyNumberFormat="1" applyFont="1" applyAlignment="1">
      <alignment horizontal="center" vertical="center"/>
    </xf>
    <xf numFmtId="0" fontId="50" fillId="0" borderId="5" xfId="0" applyFont="1" applyFill="1" applyBorder="1" applyAlignment="1">
      <alignment horizontal="center" vertical="center"/>
    </xf>
    <xf numFmtId="0" fontId="50" fillId="0" borderId="0" xfId="0" applyFont="1" applyFill="1" applyAlignment="1">
      <alignment vertical="center"/>
    </xf>
    <xf numFmtId="16" fontId="58" fillId="4" borderId="51" xfId="0" applyNumberFormat="1" applyFont="1" applyFill="1" applyBorder="1" applyAlignment="1">
      <alignment horizontal="center" vertical="center" wrapText="1"/>
    </xf>
    <xf numFmtId="0" fontId="59" fillId="4" borderId="51" xfId="0" applyFont="1" applyFill="1" applyBorder="1" applyAlignment="1">
      <alignment horizontal="center"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4" fillId="0" borderId="0" xfId="0" applyNumberFormat="1" applyFont="1" applyAlignment="1"/>
    <xf numFmtId="176" fontId="32" fillId="0" borderId="0" xfId="0" applyNumberFormat="1" applyFont="1" applyAlignment="1"/>
    <xf numFmtId="0" fontId="32" fillId="0" borderId="0" xfId="0" applyFont="1"/>
    <xf numFmtId="176" fontId="50" fillId="0" borderId="5" xfId="0" applyNumberFormat="1" applyFont="1" applyFill="1" applyBorder="1" applyAlignment="1">
      <alignment vertical="center"/>
    </xf>
    <xf numFmtId="176" fontId="50" fillId="0" borderId="5" xfId="0" applyNumberFormat="1" applyFont="1" applyFill="1" applyBorder="1" applyAlignment="1">
      <alignment horizontal="center" vertical="center"/>
    </xf>
    <xf numFmtId="16" fontId="50" fillId="0" borderId="5" xfId="0" applyNumberFormat="1" applyFont="1" applyFill="1" applyBorder="1" applyAlignment="1">
      <alignment horizontal="center" vertical="center"/>
    </xf>
    <xf numFmtId="0" fontId="50" fillId="0" borderId="5" xfId="0" applyFont="1" applyFill="1" applyBorder="1" applyAlignment="1">
      <alignment vertical="center"/>
    </xf>
    <xf numFmtId="0" fontId="49" fillId="5" borderId="5" xfId="0" applyFont="1" applyFill="1" applyBorder="1" applyAlignment="1">
      <alignment horizontal="center" vertical="center"/>
    </xf>
    <xf numFmtId="176" fontId="49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63" fillId="0" borderId="0" xfId="0" applyNumberFormat="1" applyFont="1" applyAlignment="1"/>
    <xf numFmtId="43" fontId="11" fillId="0" borderId="0" xfId="0" applyNumberFormat="1" applyFont="1" applyAlignment="1"/>
    <xf numFmtId="43" fontId="46" fillId="0" borderId="0" xfId="0" applyNumberFormat="1" applyFont="1" applyBorder="1" applyAlignment="1"/>
    <xf numFmtId="43" fontId="64" fillId="0" borderId="0" xfId="0" applyNumberFormat="1" applyFont="1" applyBorder="1" applyAlignment="1"/>
    <xf numFmtId="3" fontId="3" fillId="0" borderId="7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60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" fontId="34" fillId="0" borderId="0" xfId="0" applyNumberFormat="1" applyFont="1" applyAlignment="1">
      <alignment horizontal="left"/>
    </xf>
    <xf numFmtId="4" fontId="32" fillId="0" borderId="0" xfId="0" applyNumberFormat="1" applyFont="1" applyAlignment="1">
      <alignment horizontal="left"/>
    </xf>
    <xf numFmtId="4" fontId="46" fillId="0" borderId="0" xfId="2" applyNumberFormat="1" applyFont="1" applyAlignment="1">
      <alignment horizontal="left"/>
    </xf>
    <xf numFmtId="172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41" fontId="34" fillId="0" borderId="0" xfId="0" applyNumberFormat="1" applyFont="1" applyAlignment="1"/>
    <xf numFmtId="41" fontId="32" fillId="0" borderId="0" xfId="0" applyNumberFormat="1" applyFont="1" applyAlignment="1"/>
    <xf numFmtId="41" fontId="46" fillId="0" borderId="0" xfId="2" applyNumberFormat="1" applyFont="1"/>
    <xf numFmtId="41" fontId="65" fillId="0" borderId="0" xfId="0" applyNumberFormat="1" applyFont="1" applyBorder="1" applyAlignment="1">
      <alignment horizontal="right"/>
    </xf>
    <xf numFmtId="0" fontId="35" fillId="0" borderId="0" xfId="0" applyFont="1" applyFill="1" applyAlignment="1">
      <alignment vertical="center"/>
    </xf>
    <xf numFmtId="165" fontId="4" fillId="0" borderId="0" xfId="3" applyNumberFormat="1" applyFont="1" applyAlignment="1">
      <alignment vertical="center"/>
    </xf>
    <xf numFmtId="4" fontId="50" fillId="0" borderId="0" xfId="0" applyNumberFormat="1" applyFont="1" applyAlignment="1">
      <alignment vertical="center"/>
    </xf>
    <xf numFmtId="4" fontId="59" fillId="4" borderId="51" xfId="0" applyNumberFormat="1" applyFont="1" applyFill="1" applyBorder="1" applyAlignment="1">
      <alignment horizontal="center" vertical="center" wrapText="1"/>
    </xf>
    <xf numFmtId="4" fontId="50" fillId="0" borderId="5" xfId="2" applyNumberFormat="1" applyFont="1" applyFill="1" applyBorder="1" applyAlignment="1">
      <alignment vertical="center"/>
    </xf>
    <xf numFmtId="4" fontId="50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2" applyNumberFormat="1" applyFont="1" applyFill="1" applyBorder="1" applyAlignment="1">
      <alignment horizontal="center" vertical="center" wrapText="1"/>
    </xf>
    <xf numFmtId="164" fontId="3" fillId="0" borderId="60" xfId="0" applyNumberFormat="1" applyFont="1" applyFill="1" applyBorder="1" applyAlignment="1">
      <alignment vertical="center"/>
    </xf>
    <xf numFmtId="175" fontId="62" fillId="0" borderId="0" xfId="0" applyNumberFormat="1" applyFont="1" applyAlignment="1"/>
    <xf numFmtId="175" fontId="41" fillId="0" borderId="0" xfId="0" applyNumberFormat="1" applyFont="1" applyAlignment="1"/>
    <xf numFmtId="175" fontId="40" fillId="0" borderId="0" xfId="0" quotePrefix="1" applyNumberFormat="1" applyFont="1" applyAlignment="1"/>
    <xf numFmtId="175" fontId="17" fillId="0" borderId="0" xfId="0" applyNumberFormat="1" applyFont="1"/>
    <xf numFmtId="175" fontId="38" fillId="0" borderId="0" xfId="0" applyNumberFormat="1" applyFont="1"/>
    <xf numFmtId="164" fontId="67" fillId="0" borderId="0" xfId="0" applyNumberFormat="1" applyFont="1" applyFill="1" applyBorder="1" applyAlignment="1">
      <alignment vertical="center"/>
    </xf>
    <xf numFmtId="164" fontId="2" fillId="4" borderId="3" xfId="2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164" fontId="2" fillId="4" borderId="3" xfId="0" applyNumberFormat="1" applyFont="1" applyFill="1" applyBorder="1" applyAlignment="1" applyProtection="1">
      <alignment horizontal="center" vertical="center"/>
    </xf>
    <xf numFmtId="0" fontId="68" fillId="0" borderId="7" xfId="0" applyNumberFormat="1" applyFont="1" applyFill="1" applyBorder="1" applyAlignment="1">
      <alignment vertical="center"/>
    </xf>
    <xf numFmtId="0" fontId="68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vertical="center"/>
    </xf>
    <xf numFmtId="164" fontId="67" fillId="0" borderId="7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horizontal="center" vertical="center"/>
    </xf>
    <xf numFmtId="164" fontId="67" fillId="0" borderId="0" xfId="0" quotePrefix="1" applyNumberFormat="1" applyFont="1" applyFill="1" applyBorder="1" applyAlignment="1">
      <alignment vertical="center"/>
    </xf>
    <xf numFmtId="164" fontId="69" fillId="0" borderId="0" xfId="0" applyNumberFormat="1" applyFont="1" applyFill="1" applyBorder="1" applyAlignment="1">
      <alignment vertical="center"/>
    </xf>
    <xf numFmtId="164" fontId="67" fillId="0" borderId="7" xfId="0" applyNumberFormat="1" applyFont="1" applyFill="1" applyBorder="1" applyAlignment="1">
      <alignment horizontal="center" vertical="center"/>
    </xf>
    <xf numFmtId="164" fontId="70" fillId="0" borderId="7" xfId="0" applyNumberFormat="1" applyFont="1" applyFill="1" applyBorder="1" applyAlignment="1">
      <alignment vertical="center"/>
    </xf>
    <xf numFmtId="0" fontId="2" fillId="7" borderId="7" xfId="4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vertical="center"/>
    </xf>
    <xf numFmtId="0" fontId="2" fillId="7" borderId="7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 wrapText="1"/>
    </xf>
    <xf numFmtId="164" fontId="2" fillId="7" borderId="7" xfId="2" applyFont="1" applyFill="1" applyBorder="1" applyAlignment="1">
      <alignment horizontal="center" vertical="center" wrapText="1"/>
    </xf>
    <xf numFmtId="164" fontId="2" fillId="7" borderId="7" xfId="2" applyNumberFormat="1" applyFont="1" applyFill="1" applyBorder="1" applyAlignment="1">
      <alignment horizontal="center" vertical="center" wrapText="1"/>
    </xf>
    <xf numFmtId="164" fontId="2" fillId="7" borderId="7" xfId="0" applyNumberFormat="1" applyFont="1" applyFill="1" applyBorder="1" applyAlignment="1">
      <alignment vertical="center"/>
    </xf>
    <xf numFmtId="173" fontId="3" fillId="0" borderId="7" xfId="0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right" vertical="center"/>
    </xf>
    <xf numFmtId="173" fontId="2" fillId="0" borderId="7" xfId="0" applyNumberFormat="1" applyFont="1" applyFill="1" applyBorder="1" applyAlignment="1">
      <alignment horizontal="center" vertical="center"/>
    </xf>
    <xf numFmtId="164" fontId="2" fillId="8" borderId="7" xfId="2" applyFont="1" applyFill="1" applyBorder="1" applyAlignment="1">
      <alignment horizontal="center" vertical="center"/>
    </xf>
    <xf numFmtId="164" fontId="2" fillId="8" borderId="7" xfId="2" applyNumberFormat="1" applyFont="1" applyFill="1" applyBorder="1" applyAlignment="1">
      <alignment horizontal="center" vertical="center"/>
    </xf>
    <xf numFmtId="173" fontId="3" fillId="0" borderId="47" xfId="0" applyNumberFormat="1" applyFont="1" applyFill="1" applyBorder="1" applyAlignment="1">
      <alignment horizontal="center" vertical="center"/>
    </xf>
    <xf numFmtId="164" fontId="3" fillId="0" borderId="47" xfId="2" applyFont="1" applyFill="1" applyBorder="1" applyAlignment="1">
      <alignment horizontal="center" vertical="center"/>
    </xf>
    <xf numFmtId="3" fontId="3" fillId="0" borderId="47" xfId="0" applyNumberFormat="1" applyFont="1" applyFill="1" applyBorder="1" applyAlignment="1">
      <alignment horizontal="right" vertical="center"/>
    </xf>
    <xf numFmtId="164" fontId="3" fillId="0" borderId="47" xfId="0" applyNumberFormat="1" applyFont="1" applyFill="1" applyBorder="1" applyAlignment="1">
      <alignment horizontal="right" vertical="center"/>
    </xf>
    <xf numFmtId="3" fontId="3" fillId="7" borderId="47" xfId="0" applyNumberFormat="1" applyFont="1" applyFill="1" applyBorder="1" applyAlignment="1">
      <alignment vertical="center"/>
    </xf>
    <xf numFmtId="164" fontId="3" fillId="7" borderId="4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3" fontId="29" fillId="6" borderId="37" xfId="0" applyNumberFormat="1" applyFont="1" applyFill="1" applyBorder="1" applyAlignment="1">
      <alignment horizontal="center" vertical="center"/>
    </xf>
    <xf numFmtId="0" fontId="50" fillId="0" borderId="0" xfId="0" applyNumberFormat="1" applyFont="1" applyAlignment="1">
      <alignment horizontal="center" vertical="center"/>
    </xf>
    <xf numFmtId="0" fontId="59" fillId="4" borderId="51" xfId="0" applyNumberFormat="1" applyFont="1" applyFill="1" applyBorder="1" applyAlignment="1">
      <alignment horizontal="center" vertical="center" wrapText="1"/>
    </xf>
    <xf numFmtId="0" fontId="50" fillId="0" borderId="5" xfId="0" quotePrefix="1" applyNumberFormat="1" applyFont="1" applyFill="1" applyBorder="1" applyAlignment="1">
      <alignment horizontal="center" vertical="center"/>
    </xf>
    <xf numFmtId="175" fontId="54" fillId="0" borderId="0" xfId="0" applyNumberFormat="1" applyFont="1" applyAlignment="1">
      <alignment vertical="center"/>
    </xf>
    <xf numFmtId="175" fontId="55" fillId="0" borderId="0" xfId="0" applyNumberFormat="1" applyFont="1" applyAlignment="1">
      <alignment vertical="center"/>
    </xf>
    <xf numFmtId="175" fontId="56" fillId="0" borderId="0" xfId="0" applyNumberFormat="1" applyFont="1" applyAlignment="1">
      <alignment vertical="center"/>
    </xf>
    <xf numFmtId="4" fontId="50" fillId="0" borderId="0" xfId="2" applyNumberFormat="1" applyFont="1" applyAlignment="1">
      <alignment vertical="center"/>
    </xf>
    <xf numFmtId="4" fontId="59" fillId="4" borderId="51" xfId="2" applyNumberFormat="1" applyFont="1" applyFill="1" applyBorder="1" applyAlignment="1">
      <alignment horizontal="center" vertical="center"/>
    </xf>
    <xf numFmtId="164" fontId="29" fillId="6" borderId="29" xfId="0" applyNumberFormat="1" applyFont="1" applyFill="1" applyBorder="1" applyAlignment="1">
      <alignment horizontal="center" vertical="center"/>
    </xf>
    <xf numFmtId="164" fontId="29" fillId="6" borderId="37" xfId="0" applyNumberFormat="1" applyFont="1" applyFill="1" applyBorder="1" applyAlignment="1">
      <alignment horizontal="center" vertical="center"/>
    </xf>
    <xf numFmtId="164" fontId="29" fillId="6" borderId="37" xfId="0" applyNumberFormat="1" applyFont="1" applyFill="1" applyBorder="1" applyAlignment="1">
      <alignment horizontal="center" vertical="center" wrapText="1"/>
    </xf>
    <xf numFmtId="164" fontId="3" fillId="0" borderId="13" xfId="2" applyFont="1" applyFill="1" applyBorder="1" applyAlignment="1">
      <alignment vertical="center"/>
    </xf>
    <xf numFmtId="164" fontId="3" fillId="0" borderId="13" xfId="2" applyNumberFormat="1" applyFont="1" applyFill="1" applyBorder="1" applyAlignment="1">
      <alignment vertical="center"/>
    </xf>
    <xf numFmtId="16" fontId="39" fillId="0" borderId="0" xfId="0" applyNumberFormat="1" applyFont="1" applyFill="1" applyBorder="1" applyAlignment="1">
      <alignment vertical="center"/>
    </xf>
    <xf numFmtId="16" fontId="37" fillId="0" borderId="49" xfId="0" applyNumberFormat="1" applyFont="1" applyFill="1" applyBorder="1" applyAlignment="1">
      <alignment vertical="center"/>
    </xf>
    <xf numFmtId="16" fontId="35" fillId="0" borderId="42" xfId="0" applyNumberFormat="1" applyFont="1" applyFill="1" applyBorder="1" applyAlignment="1">
      <alignment vertical="center"/>
    </xf>
    <xf numFmtId="16" fontId="35" fillId="0" borderId="0" xfId="0" applyNumberFormat="1" applyFont="1" applyFill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3" fontId="39" fillId="0" borderId="0" xfId="0" applyNumberFormat="1" applyFont="1" applyFill="1" applyBorder="1" applyAlignment="1">
      <alignment vertical="center"/>
    </xf>
    <xf numFmtId="164" fontId="37" fillId="0" borderId="49" xfId="0" applyNumberFormat="1" applyFont="1" applyFill="1" applyBorder="1" applyAlignment="1">
      <alignment vertical="center"/>
    </xf>
    <xf numFmtId="3" fontId="37" fillId="0" borderId="49" xfId="0" applyNumberFormat="1" applyFont="1" applyFill="1" applyBorder="1" applyAlignment="1">
      <alignment vertical="center"/>
    </xf>
    <xf numFmtId="164" fontId="30" fillId="6" borderId="30" xfId="0" applyNumberFormat="1" applyFont="1" applyFill="1" applyBorder="1" applyAlignment="1">
      <alignment horizontal="center" vertical="center"/>
    </xf>
    <xf numFmtId="3" fontId="29" fillId="6" borderId="29" xfId="0" applyNumberFormat="1" applyFont="1" applyFill="1" applyBorder="1" applyAlignment="1">
      <alignment horizontal="center" vertical="center"/>
    </xf>
    <xf numFmtId="0" fontId="35" fillId="0" borderId="0" xfId="0" applyFont="1" applyFill="1" applyAlignment="1">
      <alignment vertical="center" wrapText="1"/>
    </xf>
    <xf numFmtId="3" fontId="35" fillId="0" borderId="0" xfId="0" applyNumberFormat="1" applyFont="1" applyFill="1" applyAlignment="1">
      <alignment vertical="center"/>
    </xf>
    <xf numFmtId="164" fontId="35" fillId="0" borderId="0" xfId="0" applyNumberFormat="1" applyFont="1" applyFill="1" applyAlignment="1">
      <alignment vertical="center"/>
    </xf>
    <xf numFmtId="0" fontId="35" fillId="0" borderId="43" xfId="0" applyFont="1" applyFill="1" applyBorder="1" applyAlignment="1">
      <alignment horizontal="left" vertical="center" wrapText="1"/>
    </xf>
    <xf numFmtId="164" fontId="35" fillId="0" borderId="43" xfId="0" applyNumberFormat="1" applyFont="1" applyFill="1" applyBorder="1" applyAlignment="1">
      <alignment vertical="center"/>
    </xf>
    <xf numFmtId="3" fontId="35" fillId="0" borderId="43" xfId="0" applyNumberFormat="1" applyFont="1" applyFill="1" applyBorder="1" applyAlignment="1">
      <alignment vertical="center"/>
    </xf>
    <xf numFmtId="164" fontId="35" fillId="0" borderId="44" xfId="0" applyNumberFormat="1" applyFont="1" applyFill="1" applyBorder="1" applyAlignment="1">
      <alignment vertical="center"/>
    </xf>
    <xf numFmtId="0" fontId="35" fillId="0" borderId="0" xfId="0" applyFont="1" applyFill="1" applyAlignment="1">
      <alignment horizontal="left" vertical="center" wrapText="1"/>
    </xf>
    <xf numFmtId="164" fontId="0" fillId="0" borderId="0" xfId="0" applyNumberFormat="1"/>
    <xf numFmtId="4" fontId="65" fillId="0" borderId="0" xfId="0" applyNumberFormat="1" applyFont="1" applyBorder="1" applyAlignment="1"/>
    <xf numFmtId="4" fontId="50" fillId="2" borderId="5" xfId="0" applyNumberFormat="1" applyFont="1" applyFill="1" applyBorder="1" applyAlignment="1">
      <alignment vertical="center"/>
    </xf>
    <xf numFmtId="4" fontId="50" fillId="2" borderId="5" xfId="2" applyNumberFormat="1" applyFont="1" applyFill="1" applyBorder="1" applyAlignment="1">
      <alignment vertical="center"/>
    </xf>
    <xf numFmtId="4" fontId="52" fillId="2" borderId="5" xfId="2" applyNumberFormat="1" applyFont="1" applyFill="1" applyBorder="1" applyAlignment="1">
      <alignment vertical="center"/>
    </xf>
    <xf numFmtId="175" fontId="50" fillId="0" borderId="0" xfId="0" applyNumberFormat="1" applyFont="1" applyAlignment="1">
      <alignment vertical="center"/>
    </xf>
    <xf numFmtId="175" fontId="38" fillId="0" borderId="0" xfId="0" applyNumberFormat="1" applyFont="1" applyAlignment="1"/>
    <xf numFmtId="0" fontId="17" fillId="0" borderId="0" xfId="0" applyFont="1" applyAlignment="1">
      <alignment horizontal="center"/>
    </xf>
    <xf numFmtId="176" fontId="34" fillId="0" borderId="0" xfId="0" applyNumberFormat="1" applyFont="1" applyAlignment="1">
      <alignment horizontal="center"/>
    </xf>
    <xf numFmtId="176" fontId="32" fillId="0" borderId="0" xfId="0" applyNumberFormat="1" applyFont="1" applyAlignment="1">
      <alignment horizontal="center"/>
    </xf>
    <xf numFmtId="0" fontId="50" fillId="0" borderId="64" xfId="0" applyFont="1" applyBorder="1" applyAlignment="1">
      <alignment horizontal="center" vertical="center"/>
    </xf>
    <xf numFmtId="0" fontId="50" fillId="0" borderId="64" xfId="0" applyNumberFormat="1" applyFont="1" applyBorder="1" applyAlignment="1">
      <alignment horizontal="center" vertical="center"/>
    </xf>
    <xf numFmtId="4" fontId="50" fillId="0" borderId="64" xfId="0" applyNumberFormat="1" applyFont="1" applyBorder="1" applyAlignment="1">
      <alignment vertical="center"/>
    </xf>
    <xf numFmtId="4" fontId="50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46" fillId="0" borderId="0" xfId="2" applyNumberFormat="1" applyFont="1"/>
    <xf numFmtId="4" fontId="75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77" fillId="0" borderId="0" xfId="1" applyNumberFormat="1" applyFont="1" applyFill="1" applyAlignment="1">
      <alignment vertical="center"/>
    </xf>
    <xf numFmtId="165" fontId="77" fillId="0" borderId="0" xfId="1" applyNumberFormat="1" applyFont="1" applyAlignment="1">
      <alignment vertical="center"/>
    </xf>
    <xf numFmtId="165" fontId="78" fillId="0" borderId="0" xfId="1" applyNumberFormat="1" applyFont="1" applyAlignment="1">
      <alignment vertical="center"/>
    </xf>
    <xf numFmtId="0" fontId="17" fillId="0" borderId="34" xfId="0" applyFont="1" applyBorder="1"/>
    <xf numFmtId="0" fontId="40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46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46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46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79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76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40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42" fillId="0" borderId="0" xfId="0" applyNumberFormat="1" applyFont="1"/>
    <xf numFmtId="37" fontId="42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46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81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46" fillId="0" borderId="0" xfId="2" applyFont="1" applyFill="1" applyBorder="1"/>
    <xf numFmtId="0" fontId="17" fillId="0" borderId="69" xfId="2" applyNumberFormat="1" applyFont="1" applyBorder="1"/>
    <xf numFmtId="164" fontId="46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82" fillId="0" borderId="70" xfId="2" applyNumberFormat="1" applyFont="1" applyFill="1" applyBorder="1"/>
    <xf numFmtId="177" fontId="82" fillId="0" borderId="70" xfId="2" applyNumberFormat="1" applyFont="1" applyFill="1" applyBorder="1"/>
    <xf numFmtId="175" fontId="57" fillId="4" borderId="71" xfId="0" applyNumberFormat="1" applyFont="1" applyFill="1" applyBorder="1" applyAlignment="1">
      <alignment horizontal="center" vertical="center" wrapText="1"/>
    </xf>
    <xf numFmtId="175" fontId="51" fillId="0" borderId="72" xfId="0" applyNumberFormat="1" applyFont="1" applyBorder="1" applyAlignment="1">
      <alignment vertical="center"/>
    </xf>
    <xf numFmtId="175" fontId="50" fillId="0" borderId="55" xfId="0" applyNumberFormat="1" applyFont="1" applyFill="1" applyBorder="1" applyAlignment="1">
      <alignment vertical="center"/>
    </xf>
    <xf numFmtId="175" fontId="52" fillId="2" borderId="54" xfId="0" applyNumberFormat="1" applyFont="1" applyFill="1" applyBorder="1" applyAlignment="1">
      <alignment vertical="center"/>
    </xf>
    <xf numFmtId="16" fontId="53" fillId="2" borderId="54" xfId="0" applyNumberFormat="1" applyFont="1" applyFill="1" applyBorder="1" applyAlignment="1">
      <alignment horizontal="center" vertical="center"/>
    </xf>
    <xf numFmtId="0" fontId="52" fillId="2" borderId="54" xfId="0" applyFont="1" applyFill="1" applyBorder="1" applyAlignment="1">
      <alignment horizontal="center" vertical="center"/>
    </xf>
    <xf numFmtId="0" fontId="52" fillId="2" borderId="54" xfId="0" applyNumberFormat="1" applyFont="1" applyFill="1" applyBorder="1" applyAlignment="1">
      <alignment horizontal="center" vertical="center"/>
    </xf>
    <xf numFmtId="0" fontId="52" fillId="2" borderId="55" xfId="0" applyFont="1" applyFill="1" applyBorder="1" applyAlignment="1">
      <alignment horizontal="center" vertical="center"/>
    </xf>
    <xf numFmtId="4" fontId="72" fillId="0" borderId="0" xfId="0" applyNumberFormat="1" applyFont="1" applyAlignment="1">
      <alignment vertical="center"/>
    </xf>
    <xf numFmtId="0" fontId="50" fillId="0" borderId="64" xfId="0" applyFont="1" applyBorder="1" applyAlignment="1">
      <alignment vertical="center"/>
    </xf>
    <xf numFmtId="0" fontId="52" fillId="2" borderId="54" xfId="0" applyFont="1" applyFill="1" applyBorder="1" applyAlignment="1">
      <alignment vertical="center"/>
    </xf>
    <xf numFmtId="175" fontId="83" fillId="0" borderId="0" xfId="0" applyNumberFormat="1" applyFont="1" applyAlignment="1"/>
    <xf numFmtId="4" fontId="56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66" fillId="2" borderId="8" xfId="2" applyNumberFormat="1" applyFont="1" applyFill="1" applyBorder="1" applyAlignment="1">
      <alignment horizontal="left"/>
    </xf>
    <xf numFmtId="164" fontId="66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40" fillId="2" borderId="8" xfId="0" applyFont="1" applyFill="1" applyBorder="1"/>
    <xf numFmtId="41" fontId="66" fillId="2" borderId="8" xfId="2" applyNumberFormat="1" applyFont="1" applyFill="1" applyBorder="1" applyAlignment="1">
      <alignment horizontal="right"/>
    </xf>
    <xf numFmtId="4" fontId="20" fillId="2" borderId="8" xfId="2" applyNumberFormat="1" applyFont="1" applyFill="1" applyBorder="1" applyAlignment="1">
      <alignment horizontal="right"/>
    </xf>
    <xf numFmtId="43" fontId="66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3" fillId="2" borderId="17" xfId="0" applyNumberFormat="1" applyFont="1" applyFill="1" applyBorder="1" applyAlignment="1">
      <alignment horizontal="left"/>
    </xf>
    <xf numFmtId="0" fontId="36" fillId="0" borderId="74" xfId="0" applyFont="1" applyFill="1" applyBorder="1" applyAlignment="1">
      <alignment horizontal="left" vertical="center" wrapText="1"/>
    </xf>
    <xf numFmtId="164" fontId="36" fillId="0" borderId="74" xfId="0" applyNumberFormat="1" applyFont="1" applyFill="1" applyBorder="1" applyAlignment="1">
      <alignment vertical="center"/>
    </xf>
    <xf numFmtId="3" fontId="36" fillId="0" borderId="74" xfId="0" applyNumberFormat="1" applyFont="1" applyFill="1" applyBorder="1" applyAlignment="1">
      <alignment vertical="center"/>
    </xf>
    <xf numFmtId="0" fontId="36" fillId="0" borderId="75" xfId="0" applyFont="1" applyFill="1" applyBorder="1" applyAlignment="1">
      <alignment horizontal="left" vertical="center" wrapText="1"/>
    </xf>
    <xf numFmtId="164" fontId="36" fillId="0" borderId="75" xfId="0" applyNumberFormat="1" applyFont="1" applyFill="1" applyBorder="1" applyAlignment="1">
      <alignment vertical="center"/>
    </xf>
    <xf numFmtId="3" fontId="36" fillId="0" borderId="75" xfId="0" applyNumberFormat="1" applyFont="1" applyFill="1" applyBorder="1" applyAlignment="1">
      <alignment vertical="center"/>
    </xf>
    <xf numFmtId="0" fontId="35" fillId="0" borderId="75" xfId="0" applyFont="1" applyFill="1" applyBorder="1" applyAlignment="1">
      <alignment horizontal="left" vertical="center" wrapText="1"/>
    </xf>
    <xf numFmtId="164" fontId="35" fillId="0" borderId="75" xfId="0" applyNumberFormat="1" applyFont="1" applyFill="1" applyBorder="1" applyAlignment="1">
      <alignment vertical="center"/>
    </xf>
    <xf numFmtId="3" fontId="35" fillId="0" borderId="75" xfId="0" applyNumberFormat="1" applyFont="1" applyFill="1" applyBorder="1" applyAlignment="1">
      <alignment vertical="center"/>
    </xf>
    <xf numFmtId="0" fontId="35" fillId="0" borderId="75" xfId="0" quotePrefix="1" applyFont="1" applyFill="1" applyBorder="1" applyAlignment="1">
      <alignment horizontal="left" vertical="center" wrapText="1"/>
    </xf>
    <xf numFmtId="41" fontId="35" fillId="0" borderId="75" xfId="0" applyNumberFormat="1" applyFont="1" applyFill="1" applyBorder="1" applyAlignment="1">
      <alignment vertical="center"/>
    </xf>
    <xf numFmtId="0" fontId="36" fillId="0" borderId="76" xfId="0" applyFont="1" applyFill="1" applyBorder="1" applyAlignment="1">
      <alignment horizontal="left" vertical="center" wrapText="1"/>
    </xf>
    <xf numFmtId="164" fontId="36" fillId="0" borderId="76" xfId="0" applyNumberFormat="1" applyFont="1" applyFill="1" applyBorder="1" applyAlignment="1">
      <alignment vertical="center"/>
    </xf>
    <xf numFmtId="3" fontId="36" fillId="0" borderId="76" xfId="0" applyNumberFormat="1" applyFont="1" applyFill="1" applyBorder="1" applyAlignment="1">
      <alignment vertical="center"/>
    </xf>
    <xf numFmtId="16" fontId="73" fillId="0" borderId="74" xfId="0" quotePrefix="1" applyNumberFormat="1" applyFont="1" applyFill="1" applyBorder="1" applyAlignment="1">
      <alignment vertical="center"/>
    </xf>
    <xf numFmtId="16" fontId="73" fillId="0" borderId="75" xfId="0" quotePrefix="1" applyNumberFormat="1" applyFont="1" applyFill="1" applyBorder="1" applyAlignment="1">
      <alignment vertical="center"/>
    </xf>
    <xf numFmtId="16" fontId="73" fillId="0" borderId="77" xfId="0" quotePrefix="1" applyNumberFormat="1" applyFont="1" applyFill="1" applyBorder="1" applyAlignment="1">
      <alignment vertical="center"/>
    </xf>
    <xf numFmtId="164" fontId="36" fillId="0" borderId="77" xfId="0" applyNumberFormat="1" applyFont="1" applyFill="1" applyBorder="1" applyAlignment="1">
      <alignment vertical="center"/>
    </xf>
    <xf numFmtId="3" fontId="36" fillId="0" borderId="77" xfId="0" applyNumberFormat="1" applyFont="1" applyFill="1" applyBorder="1" applyAlignment="1">
      <alignment vertical="center"/>
    </xf>
    <xf numFmtId="16" fontId="45" fillId="0" borderId="78" xfId="0" quotePrefix="1" applyNumberFormat="1" applyFont="1" applyFill="1" applyBorder="1" applyAlignment="1">
      <alignment vertical="center"/>
    </xf>
    <xf numFmtId="0" fontId="36" fillId="0" borderId="79" xfId="0" applyFont="1" applyFill="1" applyBorder="1" applyAlignment="1">
      <alignment horizontal="left" vertical="center" wrapText="1"/>
    </xf>
    <xf numFmtId="164" fontId="36" fillId="0" borderId="79" xfId="0" applyNumberFormat="1" applyFont="1" applyFill="1" applyBorder="1" applyAlignment="1">
      <alignment vertical="center"/>
    </xf>
    <xf numFmtId="3" fontId="36" fillId="0" borderId="79" xfId="0" applyNumberFormat="1" applyFont="1" applyFill="1" applyBorder="1" applyAlignment="1">
      <alignment vertical="center"/>
    </xf>
    <xf numFmtId="164" fontId="36" fillId="0" borderId="80" xfId="0" applyNumberFormat="1" applyFont="1" applyFill="1" applyBorder="1" applyAlignment="1">
      <alignment vertical="center"/>
    </xf>
    <xf numFmtId="16" fontId="45" fillId="0" borderId="81" xfId="0" quotePrefix="1" applyNumberFormat="1" applyFont="1" applyFill="1" applyBorder="1" applyAlignment="1">
      <alignment vertical="center"/>
    </xf>
    <xf numFmtId="0" fontId="36" fillId="0" borderId="54" xfId="0" applyFont="1" applyFill="1" applyBorder="1" applyAlignment="1">
      <alignment horizontal="left" vertical="center" wrapText="1"/>
    </xf>
    <xf numFmtId="164" fontId="36" fillId="0" borderId="54" xfId="0" applyNumberFormat="1" applyFont="1" applyFill="1" applyBorder="1" applyAlignment="1">
      <alignment vertical="center"/>
    </xf>
    <xf numFmtId="3" fontId="36" fillId="0" borderId="54" xfId="0" applyNumberFormat="1" applyFont="1" applyFill="1" applyBorder="1" applyAlignment="1">
      <alignment vertical="center"/>
    </xf>
    <xf numFmtId="164" fontId="36" fillId="0" borderId="82" xfId="0" applyNumberFormat="1" applyFont="1" applyFill="1" applyBorder="1" applyAlignment="1">
      <alignment vertical="center"/>
    </xf>
    <xf numFmtId="16" fontId="45" fillId="2" borderId="48" xfId="0" quotePrefix="1" applyNumberFormat="1" applyFont="1" applyFill="1" applyBorder="1" applyAlignment="1">
      <alignment vertical="center"/>
    </xf>
    <xf numFmtId="0" fontId="30" fillId="2" borderId="48" xfId="0" applyFont="1" applyFill="1" applyBorder="1" applyAlignment="1">
      <alignment horizontal="left" vertical="center" wrapText="1"/>
    </xf>
    <xf numFmtId="164" fontId="30" fillId="2" borderId="48" xfId="0" applyNumberFormat="1" applyFont="1" applyFill="1" applyBorder="1" applyAlignment="1">
      <alignment vertical="center"/>
    </xf>
    <xf numFmtId="0" fontId="36" fillId="0" borderId="77" xfId="0" applyFont="1" applyFill="1" applyBorder="1" applyAlignment="1">
      <alignment horizontal="left" vertical="center" wrapText="1"/>
    </xf>
    <xf numFmtId="164" fontId="35" fillId="0" borderId="77" xfId="0" applyNumberFormat="1" applyFont="1" applyFill="1" applyBorder="1" applyAlignment="1">
      <alignment vertical="center"/>
    </xf>
    <xf numFmtId="3" fontId="35" fillId="0" borderId="77" xfId="0" applyNumberFormat="1" applyFont="1" applyFill="1" applyBorder="1" applyAlignment="1">
      <alignment vertical="center"/>
    </xf>
    <xf numFmtId="16" fontId="45" fillId="2" borderId="73" xfId="0" quotePrefix="1" applyNumberFormat="1" applyFont="1" applyFill="1" applyBorder="1" applyAlignment="1">
      <alignment vertical="center"/>
    </xf>
    <xf numFmtId="0" fontId="30" fillId="2" borderId="73" xfId="0" applyFont="1" applyFill="1" applyBorder="1" applyAlignment="1">
      <alignment horizontal="left" vertical="center" wrapText="1"/>
    </xf>
    <xf numFmtId="164" fontId="30" fillId="2" borderId="73" xfId="0" applyNumberFormat="1" applyFont="1" applyFill="1" applyBorder="1" applyAlignment="1">
      <alignment vertical="center"/>
    </xf>
    <xf numFmtId="164" fontId="30" fillId="0" borderId="29" xfId="0" applyNumberFormat="1" applyFont="1" applyFill="1" applyBorder="1" applyAlignment="1">
      <alignment vertical="center"/>
    </xf>
    <xf numFmtId="16" fontId="84" fillId="0" borderId="42" xfId="0" applyNumberFormat="1" applyFont="1" applyFill="1" applyBorder="1" applyAlignment="1">
      <alignment vertical="center"/>
    </xf>
    <xf numFmtId="164" fontId="44" fillId="0" borderId="29" xfId="0" applyNumberFormat="1" applyFont="1" applyFill="1" applyBorder="1" applyAlignment="1">
      <alignment vertical="center"/>
    </xf>
    <xf numFmtId="0" fontId="85" fillId="0" borderId="0" xfId="0" applyFont="1" applyFill="1" applyAlignment="1">
      <alignment vertical="center"/>
    </xf>
    <xf numFmtId="164" fontId="44" fillId="0" borderId="43" xfId="0" applyNumberFormat="1" applyFont="1" applyFill="1" applyBorder="1" applyAlignment="1">
      <alignment vertical="center"/>
    </xf>
    <xf numFmtId="164" fontId="84" fillId="0" borderId="43" xfId="0" applyNumberFormat="1" applyFont="1" applyFill="1" applyBorder="1" applyAlignment="1">
      <alignment vertical="center"/>
    </xf>
    <xf numFmtId="3" fontId="84" fillId="0" borderId="43" xfId="0" applyNumberFormat="1" applyFont="1" applyFill="1" applyBorder="1" applyAlignment="1">
      <alignment vertical="center"/>
    </xf>
    <xf numFmtId="0" fontId="86" fillId="0" borderId="0" xfId="0" applyFont="1" applyFill="1" applyAlignment="1">
      <alignment vertical="center"/>
    </xf>
    <xf numFmtId="16" fontId="48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3" fontId="35" fillId="0" borderId="0" xfId="0" applyNumberFormat="1" applyFont="1" applyFill="1" applyAlignment="1">
      <alignment vertical="center" wrapText="1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46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71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46" fillId="0" borderId="7" xfId="2" applyNumberFormat="1" applyFont="1" applyFill="1" applyBorder="1" applyAlignment="1"/>
    <xf numFmtId="4" fontId="46" fillId="0" borderId="7" xfId="2" applyNumberFormat="1" applyFont="1" applyFill="1" applyBorder="1" applyAlignment="1"/>
    <xf numFmtId="43" fontId="46" fillId="0" borderId="86" xfId="0" applyNumberFormat="1" applyFont="1" applyFill="1" applyBorder="1" applyAlignment="1"/>
    <xf numFmtId="4" fontId="46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46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46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41" fontId="46" fillId="0" borderId="7" xfId="2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46" fillId="0" borderId="47" xfId="2" applyNumberFormat="1" applyFont="1" applyFill="1" applyBorder="1" applyAlignment="1">
      <alignment horizontal="left" vertical="center"/>
    </xf>
    <xf numFmtId="0" fontId="17" fillId="0" borderId="47" xfId="0" applyFont="1" applyBorder="1" applyAlignment="1">
      <alignment horizontal="center" vertical="center"/>
    </xf>
    <xf numFmtId="0" fontId="17" fillId="0" borderId="47" xfId="0" applyFont="1" applyFill="1" applyBorder="1" applyAlignment="1">
      <alignment horizontal="left" vertical="center"/>
    </xf>
    <xf numFmtId="0" fontId="17" fillId="0" borderId="47" xfId="0" applyFont="1" applyFill="1" applyBorder="1" applyAlignment="1">
      <alignment vertical="center"/>
    </xf>
    <xf numFmtId="175" fontId="17" fillId="0" borderId="47" xfId="0" applyNumberFormat="1" applyFont="1" applyFill="1" applyBorder="1" applyAlignment="1">
      <alignment vertical="center"/>
    </xf>
    <xf numFmtId="4" fontId="46" fillId="0" borderId="47" xfId="2" applyNumberFormat="1" applyFont="1" applyFill="1" applyBorder="1" applyAlignment="1"/>
    <xf numFmtId="43" fontId="46" fillId="0" borderId="88" xfId="0" applyNumberFormat="1" applyFont="1" applyFill="1" applyBorder="1" applyAlignment="1"/>
    <xf numFmtId="0" fontId="17" fillId="0" borderId="89" xfId="0" quotePrefix="1" applyFont="1" applyFill="1" applyBorder="1" applyAlignment="1">
      <alignment horizontal="center" vertical="center"/>
    </xf>
    <xf numFmtId="4" fontId="46" fillId="0" borderId="13" xfId="2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vertical="center"/>
    </xf>
    <xf numFmtId="175" fontId="17" fillId="0" borderId="13" xfId="0" applyNumberFormat="1" applyFont="1" applyFill="1" applyBorder="1" applyAlignment="1">
      <alignment vertical="center"/>
    </xf>
    <xf numFmtId="41" fontId="46" fillId="0" borderId="13" xfId="2" applyNumberFormat="1" applyFont="1" applyFill="1" applyBorder="1" applyAlignment="1">
      <alignment vertical="center"/>
    </xf>
    <xf numFmtId="4" fontId="46" fillId="0" borderId="13" xfId="2" applyNumberFormat="1" applyFont="1" applyFill="1" applyBorder="1" applyAlignment="1"/>
    <xf numFmtId="43" fontId="46" fillId="0" borderId="90" xfId="0" applyNumberFormat="1" applyFont="1" applyFill="1" applyBorder="1" applyAlignment="1"/>
    <xf numFmtId="0" fontId="17" fillId="0" borderId="91" xfId="0" quotePrefix="1" applyFont="1" applyFill="1" applyBorder="1" applyAlignment="1">
      <alignment horizontal="center" vertical="center"/>
    </xf>
    <xf numFmtId="4" fontId="46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46" fillId="0" borderId="11" xfId="2" applyNumberFormat="1" applyFont="1" applyFill="1" applyBorder="1" applyAlignment="1"/>
    <xf numFmtId="4" fontId="46" fillId="0" borderId="11" xfId="2" applyNumberFormat="1" applyFont="1" applyFill="1" applyBorder="1" applyAlignment="1"/>
    <xf numFmtId="175" fontId="33" fillId="2" borderId="21" xfId="0" applyNumberFormat="1" applyFont="1" applyFill="1" applyBorder="1" applyAlignment="1">
      <alignment horizontal="left"/>
    </xf>
    <xf numFmtId="164" fontId="66" fillId="2" borderId="5" xfId="2" applyNumberFormat="1" applyFont="1" applyFill="1" applyBorder="1" applyAlignment="1">
      <alignment horizontal="left"/>
    </xf>
    <xf numFmtId="164" fontId="66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40" fillId="2" borderId="5" xfId="0" applyFont="1" applyFill="1" applyBorder="1"/>
    <xf numFmtId="175" fontId="17" fillId="2" borderId="5" xfId="0" applyNumberFormat="1" applyFont="1" applyFill="1" applyBorder="1"/>
    <xf numFmtId="41" fontId="66" fillId="2" borderId="5" xfId="2" applyNumberFormat="1" applyFont="1" applyFill="1" applyBorder="1" applyAlignment="1">
      <alignment horizontal="right"/>
    </xf>
    <xf numFmtId="4" fontId="20" fillId="2" borderId="5" xfId="2" applyNumberFormat="1" applyFont="1" applyFill="1" applyBorder="1" applyAlignment="1">
      <alignment horizontal="right"/>
    </xf>
    <xf numFmtId="43" fontId="66" fillId="2" borderId="22" xfId="2" applyNumberFormat="1" applyFont="1" applyFill="1" applyBorder="1" applyAlignment="1"/>
    <xf numFmtId="175" fontId="41" fillId="0" borderId="91" xfId="0" applyNumberFormat="1" applyFont="1" applyBorder="1"/>
    <xf numFmtId="175" fontId="41" fillId="0" borderId="11" xfId="0" applyNumberFormat="1" applyFont="1" applyBorder="1"/>
    <xf numFmtId="41" fontId="46" fillId="0" borderId="11" xfId="2" applyNumberFormat="1" applyFont="1" applyFill="1" applyBorder="1" applyAlignment="1">
      <alignment horizontal="center"/>
    </xf>
    <xf numFmtId="4" fontId="46" fillId="0" borderId="11" xfId="2" applyNumberFormat="1" applyFont="1" applyFill="1" applyBorder="1" applyAlignment="1">
      <alignment horizontal="center"/>
    </xf>
    <xf numFmtId="43" fontId="46" fillId="0" borderId="92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41" fillId="0" borderId="83" xfId="0" applyNumberFormat="1" applyFont="1" applyBorder="1"/>
    <xf numFmtId="175" fontId="41" fillId="0" borderId="6" xfId="0" applyNumberFormat="1" applyFont="1" applyBorder="1"/>
    <xf numFmtId="41" fontId="46" fillId="0" borderId="6" xfId="2" applyNumberFormat="1" applyFont="1" applyFill="1" applyBorder="1" applyAlignment="1">
      <alignment horizontal="center"/>
    </xf>
    <xf numFmtId="4" fontId="46" fillId="0" borderId="6" xfId="2" applyNumberFormat="1" applyFont="1" applyFill="1" applyBorder="1" applyAlignment="1">
      <alignment horizontal="center"/>
    </xf>
    <xf numFmtId="43" fontId="46" fillId="0" borderId="84" xfId="0" applyNumberFormat="1" applyFont="1" applyFill="1" applyBorder="1" applyAlignment="1"/>
    <xf numFmtId="0" fontId="17" fillId="0" borderId="58" xfId="0" applyFont="1" applyFill="1" applyBorder="1"/>
    <xf numFmtId="0" fontId="87" fillId="0" borderId="7" xfId="0" applyFont="1" applyFill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40" fillId="2" borderId="5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/>
    </xf>
    <xf numFmtId="4" fontId="65" fillId="0" borderId="0" xfId="0" applyNumberFormat="1" applyFont="1" applyBorder="1" applyAlignment="1">
      <alignment horizontal="center"/>
    </xf>
    <xf numFmtId="0" fontId="35" fillId="0" borderId="77" xfId="0" applyFont="1" applyFill="1" applyBorder="1" applyAlignment="1">
      <alignment horizontal="left" vertical="center" wrapText="1"/>
    </xf>
    <xf numFmtId="0" fontId="36" fillId="0" borderId="32" xfId="0" applyFont="1" applyFill="1" applyBorder="1" applyAlignment="1">
      <alignment horizontal="left" vertical="center" wrapText="1"/>
    </xf>
    <xf numFmtId="0" fontId="35" fillId="0" borderId="76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center" vertical="center"/>
    </xf>
    <xf numFmtId="0" fontId="71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50" fillId="0" borderId="1" xfId="0" applyNumberFormat="1" applyFont="1" applyFill="1" applyBorder="1" applyAlignment="1">
      <alignment vertical="center"/>
    </xf>
    <xf numFmtId="0" fontId="50" fillId="0" borderId="1" xfId="0" applyFont="1" applyFill="1" applyBorder="1" applyAlignment="1">
      <alignment vertical="center"/>
    </xf>
    <xf numFmtId="176" fontId="50" fillId="0" borderId="1" xfId="0" applyNumberFormat="1" applyFont="1" applyFill="1" applyBorder="1" applyAlignment="1">
      <alignment horizontal="center" vertical="center"/>
    </xf>
    <xf numFmtId="0" fontId="35" fillId="0" borderId="32" xfId="0" quotePrefix="1" applyFont="1" applyFill="1" applyBorder="1" applyAlignment="1">
      <alignment horizontal="left" vertical="center" wrapText="1"/>
    </xf>
    <xf numFmtId="0" fontId="35" fillId="0" borderId="75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vertical="center" wrapText="1"/>
    </xf>
    <xf numFmtId="0" fontId="30" fillId="0" borderId="49" xfId="0" applyFont="1" applyFill="1" applyBorder="1" applyAlignment="1">
      <alignment vertical="center" wrapText="1"/>
    </xf>
    <xf numFmtId="0" fontId="36" fillId="0" borderId="75" xfId="0" applyFont="1" applyFill="1" applyBorder="1" applyAlignment="1">
      <alignment horizontal="left" vertical="center"/>
    </xf>
    <xf numFmtId="0" fontId="30" fillId="0" borderId="44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 wrapText="1"/>
    </xf>
    <xf numFmtId="0" fontId="35" fillId="0" borderId="32" xfId="0" applyFont="1" applyFill="1" applyBorder="1" applyAlignment="1">
      <alignment horizontal="left" vertical="center" wrapText="1"/>
    </xf>
    <xf numFmtId="41" fontId="50" fillId="0" borderId="0" xfId="2" applyNumberFormat="1" applyFont="1" applyAlignment="1">
      <alignment vertical="center"/>
    </xf>
    <xf numFmtId="41" fontId="59" fillId="4" borderId="51" xfId="2" applyNumberFormat="1" applyFont="1" applyFill="1" applyBorder="1" applyAlignment="1">
      <alignment horizontal="center" vertical="center"/>
    </xf>
    <xf numFmtId="41" fontId="50" fillId="0" borderId="64" xfId="2" applyNumberFormat="1" applyFont="1" applyBorder="1" applyAlignment="1">
      <alignment vertical="center"/>
    </xf>
    <xf numFmtId="41" fontId="50" fillId="0" borderId="5" xfId="2" applyNumberFormat="1" applyFont="1" applyFill="1" applyBorder="1" applyAlignment="1">
      <alignment vertical="center"/>
    </xf>
    <xf numFmtId="41" fontId="50" fillId="2" borderId="5" xfId="2" applyNumberFormat="1" applyFont="1" applyFill="1" applyBorder="1" applyAlignment="1">
      <alignment vertical="center"/>
    </xf>
    <xf numFmtId="41" fontId="50" fillId="0" borderId="0" xfId="0" applyNumberFormat="1" applyFont="1" applyAlignment="1">
      <alignment vertical="center"/>
    </xf>
    <xf numFmtId="0" fontId="74" fillId="0" borderId="75" xfId="0" applyFont="1" applyFill="1" applyBorder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49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73" fillId="0" borderId="93" xfId="0" quotePrefix="1" applyNumberFormat="1" applyFont="1" applyFill="1" applyBorder="1" applyAlignment="1">
      <alignment vertical="center"/>
    </xf>
    <xf numFmtId="0" fontId="17" fillId="0" borderId="94" xfId="0" quotePrefix="1" applyFont="1" applyFill="1" applyBorder="1" applyAlignment="1">
      <alignment horizontal="center" vertical="center"/>
    </xf>
    <xf numFmtId="4" fontId="46" fillId="0" borderId="2" xfId="2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left"/>
    </xf>
    <xf numFmtId="0" fontId="17" fillId="0" borderId="2" xfId="0" applyFont="1" applyFill="1" applyBorder="1"/>
    <xf numFmtId="175" fontId="17" fillId="0" borderId="2" xfId="0" applyNumberFormat="1" applyFont="1" applyFill="1" applyBorder="1"/>
    <xf numFmtId="41" fontId="46" fillId="0" borderId="2" xfId="2" applyNumberFormat="1" applyFont="1" applyFill="1" applyBorder="1" applyAlignment="1"/>
    <xf numFmtId="4" fontId="46" fillId="0" borderId="2" xfId="2" applyNumberFormat="1" applyFont="1" applyFill="1" applyBorder="1" applyAlignment="1"/>
    <xf numFmtId="43" fontId="46" fillId="0" borderId="95" xfId="0" applyNumberFormat="1" applyFont="1" applyFill="1" applyBorder="1" applyAlignment="1"/>
    <xf numFmtId="0" fontId="88" fillId="0" borderId="0" xfId="0" applyFont="1" applyFill="1" applyAlignment="1">
      <alignment horizontal="center" vertical="center"/>
    </xf>
    <xf numFmtId="0" fontId="88" fillId="0" borderId="85" xfId="0" quotePrefix="1" applyFont="1" applyFill="1" applyBorder="1" applyAlignment="1">
      <alignment horizontal="center" vertical="center"/>
    </xf>
    <xf numFmtId="4" fontId="88" fillId="0" borderId="7" xfId="2" applyNumberFormat="1" applyFont="1" applyFill="1" applyBorder="1" applyAlignment="1">
      <alignment horizontal="left"/>
    </xf>
    <xf numFmtId="0" fontId="88" fillId="0" borderId="7" xfId="0" applyFont="1" applyFill="1" applyBorder="1" applyAlignment="1">
      <alignment horizontal="center"/>
    </xf>
    <xf numFmtId="0" fontId="88" fillId="0" borderId="7" xfId="0" applyFont="1" applyFill="1" applyBorder="1" applyAlignment="1">
      <alignment horizontal="left"/>
    </xf>
    <xf numFmtId="0" fontId="88" fillId="0" borderId="7" xfId="0" applyFont="1" applyFill="1" applyBorder="1"/>
    <xf numFmtId="175" fontId="88" fillId="0" borderId="7" xfId="0" applyNumberFormat="1" applyFont="1" applyFill="1" applyBorder="1"/>
    <xf numFmtId="41" fontId="88" fillId="0" borderId="7" xfId="2" applyNumberFormat="1" applyFont="1" applyFill="1" applyBorder="1" applyAlignment="1"/>
    <xf numFmtId="4" fontId="88" fillId="0" borderId="7" xfId="2" applyNumberFormat="1" applyFont="1" applyFill="1" applyBorder="1" applyAlignment="1"/>
    <xf numFmtId="43" fontId="88" fillId="0" borderId="86" xfId="0" applyNumberFormat="1" applyFont="1" applyFill="1" applyBorder="1" applyAlignment="1"/>
    <xf numFmtId="0" fontId="88" fillId="0" borderId="0" xfId="0" applyFont="1" applyFill="1"/>
    <xf numFmtId="0" fontId="89" fillId="0" borderId="75" xfId="0" applyFont="1" applyFill="1" applyBorder="1" applyAlignment="1">
      <alignment horizontal="left" vertical="center"/>
    </xf>
    <xf numFmtId="16" fontId="73" fillId="0" borderId="76" xfId="0" quotePrefix="1" applyNumberFormat="1" applyFont="1" applyFill="1" applyBorder="1" applyAlignment="1">
      <alignment vertical="center"/>
    </xf>
    <xf numFmtId="0" fontId="89" fillId="0" borderId="75" xfId="0" quotePrefix="1" applyFont="1" applyFill="1" applyBorder="1" applyAlignment="1">
      <alignment horizontal="left"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16" fontId="50" fillId="0" borderId="3" xfId="0" applyNumberFormat="1" applyFont="1" applyFill="1" applyBorder="1" applyAlignment="1">
      <alignment horizontal="center" vertical="center"/>
    </xf>
    <xf numFmtId="175" fontId="50" fillId="0" borderId="96" xfId="0" applyNumberFormat="1" applyFont="1" applyFill="1" applyBorder="1" applyAlignment="1">
      <alignment vertical="center"/>
    </xf>
    <xf numFmtId="0" fontId="50" fillId="0" borderId="3" xfId="0" quotePrefix="1" applyNumberFormat="1" applyFont="1" applyFill="1" applyBorder="1" applyAlignment="1">
      <alignment horizontal="center" vertical="center"/>
    </xf>
    <xf numFmtId="176" fontId="50" fillId="0" borderId="3" xfId="0" applyNumberFormat="1" applyFont="1" applyFill="1" applyBorder="1" applyAlignment="1">
      <alignment horizontal="center" vertical="center"/>
    </xf>
    <xf numFmtId="0" fontId="50" fillId="0" borderId="3" xfId="0" applyFont="1" applyFill="1" applyBorder="1" applyAlignment="1">
      <alignment vertical="center"/>
    </xf>
    <xf numFmtId="176" fontId="50" fillId="0" borderId="3" xfId="0" applyNumberFormat="1" applyFont="1" applyFill="1" applyBorder="1" applyAlignment="1">
      <alignment vertical="center"/>
    </xf>
    <xf numFmtId="0" fontId="50" fillId="0" borderId="3" xfId="0" applyFont="1" applyFill="1" applyBorder="1" applyAlignment="1">
      <alignment horizontal="center" vertical="center"/>
    </xf>
    <xf numFmtId="4" fontId="50" fillId="0" borderId="3" xfId="2" applyNumberFormat="1" applyFont="1" applyFill="1" applyBorder="1" applyAlignment="1">
      <alignment vertical="center"/>
    </xf>
    <xf numFmtId="4" fontId="50" fillId="0" borderId="3" xfId="0" applyNumberFormat="1" applyFont="1" applyFill="1" applyBorder="1" applyAlignment="1">
      <alignment vertical="center"/>
    </xf>
    <xf numFmtId="41" fontId="50" fillId="0" borderId="3" xfId="2" applyNumberFormat="1" applyFont="1" applyFill="1" applyBorder="1" applyAlignment="1">
      <alignment vertical="center"/>
    </xf>
    <xf numFmtId="164" fontId="3" fillId="0" borderId="58" xfId="2" applyNumberFormat="1" applyFont="1" applyFill="1" applyBorder="1" applyAlignment="1">
      <alignment horizontal="center" vertical="center" wrapText="1"/>
    </xf>
    <xf numFmtId="164" fontId="3" fillId="0" borderId="58" xfId="0" applyNumberFormat="1" applyFont="1" applyFill="1" applyBorder="1" applyAlignment="1">
      <alignment vertical="center"/>
    </xf>
    <xf numFmtId="0" fontId="59" fillId="4" borderId="51" xfId="0" applyFont="1" applyFill="1" applyBorder="1" applyAlignment="1">
      <alignment vertical="center"/>
    </xf>
    <xf numFmtId="4" fontId="46" fillId="0" borderId="13" xfId="2" applyNumberFormat="1" applyFont="1" applyFill="1" applyBorder="1" applyAlignment="1">
      <alignment horizontal="left"/>
    </xf>
    <xf numFmtId="0" fontId="17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left"/>
    </xf>
    <xf numFmtId="0" fontId="17" fillId="0" borderId="13" xfId="0" applyFont="1" applyFill="1" applyBorder="1"/>
    <xf numFmtId="175" fontId="17" fillId="0" borderId="13" xfId="0" applyNumberFormat="1" applyFont="1" applyFill="1" applyBorder="1"/>
    <xf numFmtId="0" fontId="46" fillId="0" borderId="0" xfId="0" applyFont="1" applyAlignment="1">
      <alignment horizontal="center" vertical="center"/>
    </xf>
    <xf numFmtId="0" fontId="46" fillId="0" borderId="85" xfId="0" quotePrefix="1" applyFont="1" applyFill="1" applyBorder="1" applyAlignment="1">
      <alignment horizontal="center" vertical="center"/>
    </xf>
    <xf numFmtId="0" fontId="46" fillId="0" borderId="7" xfId="0" applyFont="1" applyFill="1" applyBorder="1" applyAlignment="1">
      <alignment horizontal="center"/>
    </xf>
    <xf numFmtId="0" fontId="46" fillId="0" borderId="7" xfId="0" applyFont="1" applyFill="1" applyBorder="1" applyAlignment="1">
      <alignment horizontal="left"/>
    </xf>
    <xf numFmtId="0" fontId="46" fillId="0" borderId="7" xfId="0" applyFont="1" applyFill="1" applyBorder="1"/>
    <xf numFmtId="0" fontId="87" fillId="0" borderId="7" xfId="0" applyFont="1" applyBorder="1" applyAlignment="1">
      <alignment horizontal="center" vertical="center"/>
    </xf>
    <xf numFmtId="175" fontId="46" fillId="0" borderId="7" xfId="0" applyNumberFormat="1" applyFont="1" applyFill="1" applyBorder="1"/>
    <xf numFmtId="0" fontId="46" fillId="0" borderId="0" xfId="0" applyFont="1"/>
    <xf numFmtId="0" fontId="16" fillId="0" borderId="0" xfId="0" applyFont="1" applyAlignment="1">
      <alignment horizontal="center"/>
    </xf>
    <xf numFmtId="0" fontId="10" fillId="0" borderId="7" xfId="0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46" fillId="0" borderId="7" xfId="0" applyFont="1" applyFill="1" applyBorder="1" applyAlignment="1"/>
    <xf numFmtId="4" fontId="87" fillId="0" borderId="7" xfId="2" applyNumberFormat="1" applyFont="1" applyFill="1" applyBorder="1" applyAlignment="1">
      <alignment horizontal="left"/>
    </xf>
    <xf numFmtId="0" fontId="87" fillId="0" borderId="7" xfId="0" applyFont="1" applyFill="1" applyBorder="1" applyAlignment="1">
      <alignment vertical="center"/>
    </xf>
    <xf numFmtId="175" fontId="46" fillId="0" borderId="7" xfId="0" applyNumberFormat="1" applyFont="1" applyBorder="1"/>
    <xf numFmtId="0" fontId="46" fillId="0" borderId="7" xfId="0" quotePrefix="1" applyFont="1" applyFill="1" applyBorder="1" applyAlignment="1">
      <alignment horizontal="left"/>
    </xf>
    <xf numFmtId="0" fontId="46" fillId="0" borderId="11" xfId="0" applyFont="1" applyFill="1" applyBorder="1" applyAlignment="1">
      <alignment horizontal="center"/>
    </xf>
    <xf numFmtId="0" fontId="46" fillId="0" borderId="11" xfId="0" applyFont="1" applyFill="1" applyBorder="1" applyAlignment="1">
      <alignment horizontal="left"/>
    </xf>
    <xf numFmtId="0" fontId="46" fillId="0" borderId="11" xfId="0" applyFont="1" applyFill="1" applyBorder="1"/>
    <xf numFmtId="0" fontId="46" fillId="0" borderId="58" xfId="0" applyFont="1" applyFill="1" applyBorder="1"/>
    <xf numFmtId="0" fontId="46" fillId="0" borderId="0" xfId="0" applyFont="1" applyFill="1" applyAlignment="1">
      <alignment horizontal="center" vertical="center"/>
    </xf>
    <xf numFmtId="0" fontId="87" fillId="0" borderId="7" xfId="0" applyFont="1" applyFill="1" applyBorder="1" applyAlignment="1">
      <alignment horizontal="center" vertical="center"/>
    </xf>
    <xf numFmtId="0" fontId="46" fillId="0" borderId="0" xfId="0" applyFont="1" applyFill="1"/>
    <xf numFmtId="0" fontId="17" fillId="0" borderId="0" xfId="0" applyFont="1" applyAlignment="1">
      <alignment horizontal="center"/>
    </xf>
    <xf numFmtId="43" fontId="46" fillId="0" borderId="86" xfId="0" quotePrefix="1" applyNumberFormat="1" applyFont="1" applyFill="1" applyBorder="1" applyAlignment="1"/>
    <xf numFmtId="0" fontId="71" fillId="0" borderId="0" xfId="0" applyFont="1" applyAlignment="1">
      <alignment horizontal="center"/>
    </xf>
    <xf numFmtId="0" fontId="71" fillId="0" borderId="7" xfId="0" applyFont="1" applyBorder="1" applyAlignment="1">
      <alignment horizontal="center"/>
    </xf>
    <xf numFmtId="16" fontId="90" fillId="9" borderId="51" xfId="0" applyNumberFormat="1" applyFont="1" applyFill="1" applyBorder="1" applyAlignment="1">
      <alignment horizontal="center" vertical="center" wrapText="1"/>
    </xf>
    <xf numFmtId="175" fontId="91" fillId="9" borderId="71" xfId="0" applyNumberFormat="1" applyFont="1" applyFill="1" applyBorder="1" applyAlignment="1">
      <alignment horizontal="center" vertical="center" wrapText="1"/>
    </xf>
    <xf numFmtId="0" fontId="92" fillId="9" borderId="51" xfId="0" applyNumberFormat="1" applyFont="1" applyFill="1" applyBorder="1" applyAlignment="1">
      <alignment horizontal="center" vertical="center" wrapText="1"/>
    </xf>
    <xf numFmtId="0" fontId="92" fillId="9" borderId="51" xfId="0" applyFont="1" applyFill="1" applyBorder="1" applyAlignment="1">
      <alignment horizontal="center" vertical="center"/>
    </xf>
    <xf numFmtId="4" fontId="92" fillId="9" borderId="51" xfId="0" applyNumberFormat="1" applyFont="1" applyFill="1" applyBorder="1" applyAlignment="1">
      <alignment horizontal="center" vertical="center" wrapText="1"/>
    </xf>
    <xf numFmtId="41" fontId="92" fillId="9" borderId="51" xfId="2" applyNumberFormat="1" applyFont="1" applyFill="1" applyBorder="1" applyAlignment="1">
      <alignment horizontal="center" vertical="center"/>
    </xf>
    <xf numFmtId="4" fontId="92" fillId="9" borderId="51" xfId="2" applyNumberFormat="1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 wrapText="1"/>
    </xf>
    <xf numFmtId="0" fontId="46" fillId="0" borderId="11" xfId="0" applyFont="1" applyFill="1" applyBorder="1" applyAlignment="1"/>
    <xf numFmtId="0" fontId="46" fillId="0" borderId="58" xfId="0" applyFont="1" applyFill="1" applyBorder="1" applyAlignment="1"/>
    <xf numFmtId="43" fontId="46" fillId="0" borderId="92" xfId="0" quotePrefix="1" applyNumberFormat="1" applyFont="1" applyFill="1" applyBorder="1" applyAlignment="1"/>
    <xf numFmtId="4" fontId="46" fillId="0" borderId="7" xfId="2" applyNumberFormat="1" applyFont="1" applyBorder="1"/>
    <xf numFmtId="43" fontId="46" fillId="0" borderId="86" xfId="0" applyNumberFormat="1" applyFont="1" applyBorder="1" applyAlignment="1"/>
    <xf numFmtId="0" fontId="16" fillId="0" borderId="0" xfId="0" applyFont="1" applyAlignment="1">
      <alignment horizontal="center"/>
    </xf>
    <xf numFmtId="0" fontId="71" fillId="0" borderId="60" xfId="0" applyFont="1" applyBorder="1" applyAlignment="1">
      <alignment horizontal="center"/>
    </xf>
    <xf numFmtId="0" fontId="87" fillId="0" borderId="7" xfId="0" applyFont="1" applyBorder="1" applyAlignment="1">
      <alignment horizontal="center"/>
    </xf>
    <xf numFmtId="165" fontId="3" fillId="0" borderId="0" xfId="1" applyNumberFormat="1" applyFont="1" applyFill="1" applyBorder="1" applyAlignment="1">
      <alignment vertical="center"/>
    </xf>
    <xf numFmtId="4" fontId="66" fillId="2" borderId="5" xfId="2" applyNumberFormat="1" applyFont="1" applyFill="1" applyBorder="1" applyAlignment="1">
      <alignment horizontal="right"/>
    </xf>
    <xf numFmtId="0" fontId="71" fillId="0" borderId="7" xfId="0" applyFont="1" applyFill="1" applyBorder="1" applyAlignment="1">
      <alignment horizontal="center"/>
    </xf>
    <xf numFmtId="165" fontId="3" fillId="2" borderId="0" xfId="1" applyNumberFormat="1" applyFont="1" applyFill="1" applyAlignment="1">
      <alignment vertical="center"/>
    </xf>
    <xf numFmtId="41" fontId="93" fillId="0" borderId="5" xfId="2" applyNumberFormat="1" applyFont="1" applyFill="1" applyBorder="1" applyAlignment="1">
      <alignment vertical="center"/>
    </xf>
    <xf numFmtId="0" fontId="3" fillId="10" borderId="7" xfId="0" applyNumberFormat="1" applyFont="1" applyFill="1" applyBorder="1" applyAlignment="1">
      <alignment vertical="center"/>
    </xf>
    <xf numFmtId="164" fontId="3" fillId="10" borderId="7" xfId="2" applyNumberFormat="1" applyFont="1" applyFill="1" applyBorder="1" applyAlignment="1">
      <alignment horizontal="center" vertical="center" wrapText="1"/>
    </xf>
    <xf numFmtId="164" fontId="3" fillId="0" borderId="97" xfId="2" applyNumberFormat="1" applyFont="1" applyFill="1" applyBorder="1" applyAlignment="1">
      <alignment horizontal="center" vertical="center" wrapText="1"/>
    </xf>
    <xf numFmtId="0" fontId="87" fillId="0" borderId="60" xfId="0" applyFont="1" applyBorder="1" applyAlignment="1">
      <alignment horizontal="center"/>
    </xf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4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9" fillId="5" borderId="53" xfId="0" applyFont="1" applyFill="1" applyBorder="1" applyAlignment="1">
      <alignment horizontal="center" vertical="center" wrapText="1"/>
    </xf>
    <xf numFmtId="0" fontId="49" fillId="5" borderId="54" xfId="0" applyFont="1" applyFill="1" applyBorder="1" applyAlignment="1">
      <alignment horizontal="center" vertical="center" wrapText="1"/>
    </xf>
    <xf numFmtId="0" fontId="49" fillId="5" borderId="55" xfId="0" applyFont="1" applyFill="1" applyBorder="1" applyAlignment="1">
      <alignment horizontal="center" vertical="center" wrapText="1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174" fontId="2" fillId="4" borderId="1" xfId="0" applyNumberFormat="1" applyFont="1" applyFill="1" applyBorder="1" applyAlignment="1" applyProtection="1">
      <alignment horizontal="center" vertical="center"/>
    </xf>
    <xf numFmtId="174" fontId="2" fillId="4" borderId="3" xfId="0" applyNumberFormat="1" applyFont="1" applyFill="1" applyBorder="1" applyAlignment="1" applyProtection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 wrapText="1"/>
    </xf>
    <xf numFmtId="37" fontId="2" fillId="4" borderId="3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3" xfId="0" applyFont="1" applyFill="1" applyBorder="1" applyAlignment="1" applyProtection="1">
      <alignment horizontal="center" vertical="center" wrapText="1"/>
    </xf>
    <xf numFmtId="37" fontId="2" fillId="5" borderId="53" xfId="0" applyNumberFormat="1" applyFont="1" applyFill="1" applyBorder="1" applyAlignment="1" applyProtection="1">
      <alignment horizontal="center" vertical="center"/>
    </xf>
    <xf numFmtId="37" fontId="2" fillId="5" borderId="54" xfId="0" applyNumberFormat="1" applyFont="1" applyFill="1" applyBorder="1" applyAlignment="1" applyProtection="1">
      <alignment horizontal="center" vertical="center"/>
    </xf>
    <xf numFmtId="37" fontId="2" fillId="5" borderId="55" xfId="0" applyNumberFormat="1" applyFont="1" applyFill="1" applyBorder="1" applyAlignment="1" applyProtection="1">
      <alignment horizontal="center" vertical="center"/>
    </xf>
    <xf numFmtId="37" fontId="2" fillId="7" borderId="1" xfId="0" applyNumberFormat="1" applyFont="1" applyFill="1" applyBorder="1" applyAlignment="1" applyProtection="1">
      <alignment horizontal="center" vertical="center"/>
    </xf>
    <xf numFmtId="37" fontId="2" fillId="7" borderId="3" xfId="0" applyNumberFormat="1" applyFont="1" applyFill="1" applyBorder="1" applyAlignment="1" applyProtection="1">
      <alignment horizontal="center" vertical="center"/>
    </xf>
    <xf numFmtId="172" fontId="2" fillId="4" borderId="6" xfId="0" applyNumberFormat="1" applyFont="1" applyFill="1" applyBorder="1" applyAlignment="1">
      <alignment horizontal="center" vertical="center"/>
    </xf>
    <xf numFmtId="172" fontId="2" fillId="4" borderId="47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47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164" fontId="44" fillId="0" borderId="43" xfId="0" applyNumberFormat="1" applyFont="1" applyFill="1" applyBorder="1" applyAlignment="1">
      <alignment horizontal="center" vertical="center"/>
    </xf>
    <xf numFmtId="164" fontId="44" fillId="0" borderId="44" xfId="0" applyNumberFormat="1" applyFont="1" applyFill="1" applyBorder="1" applyAlignment="1">
      <alignment horizontal="center" vertical="center"/>
    </xf>
    <xf numFmtId="0" fontId="44" fillId="0" borderId="42" xfId="0" applyFont="1" applyFill="1" applyBorder="1" applyAlignment="1">
      <alignment horizontal="center" vertical="center"/>
    </xf>
    <xf numFmtId="0" fontId="44" fillId="0" borderId="43" xfId="0" applyFont="1" applyFill="1" applyBorder="1" applyAlignment="1">
      <alignment horizontal="center" vertical="center"/>
    </xf>
    <xf numFmtId="16" fontId="28" fillId="6" borderId="29" xfId="0" applyNumberFormat="1" applyFont="1" applyFill="1" applyBorder="1" applyAlignment="1">
      <alignment horizontal="center" vertical="center"/>
    </xf>
    <xf numFmtId="16" fontId="28" fillId="6" borderId="37" xfId="0" applyNumberFormat="1" applyFont="1" applyFill="1" applyBorder="1" applyAlignment="1">
      <alignment horizontal="center" vertical="center"/>
    </xf>
    <xf numFmtId="0" fontId="30" fillId="6" borderId="29" xfId="0" applyFont="1" applyFill="1" applyBorder="1" applyAlignment="1">
      <alignment horizontal="center" vertical="center" wrapText="1"/>
    </xf>
    <xf numFmtId="0" fontId="30" fillId="6" borderId="37" xfId="0" applyFont="1" applyFill="1" applyBorder="1" applyAlignment="1">
      <alignment horizontal="center" vertical="center" wrapText="1"/>
    </xf>
    <xf numFmtId="164" fontId="29" fillId="6" borderId="29" xfId="0" applyNumberFormat="1" applyFont="1" applyFill="1" applyBorder="1" applyAlignment="1">
      <alignment horizontal="center" vertical="center"/>
    </xf>
    <xf numFmtId="164" fontId="29" fillId="6" borderId="37" xfId="0" applyNumberFormat="1" applyFont="1" applyFill="1" applyBorder="1" applyAlignment="1">
      <alignment horizontal="center" vertical="center"/>
    </xf>
    <xf numFmtId="164" fontId="30" fillId="6" borderId="29" xfId="0" applyNumberFormat="1" applyFont="1" applyFill="1" applyBorder="1" applyAlignment="1">
      <alignment horizontal="center" vertical="center"/>
    </xf>
    <xf numFmtId="164" fontId="30" fillId="6" borderId="37" xfId="0" applyNumberFormat="1" applyFont="1" applyFill="1" applyBorder="1" applyAlignment="1">
      <alignment horizontal="center" vertical="center"/>
    </xf>
    <xf numFmtId="164" fontId="30" fillId="6" borderId="42" xfId="0" applyNumberFormat="1" applyFont="1" applyFill="1" applyBorder="1" applyAlignment="1">
      <alignment horizontal="center" vertical="center"/>
    </xf>
    <xf numFmtId="164" fontId="30" fillId="6" borderId="43" xfId="0" applyNumberFormat="1" applyFont="1" applyFill="1" applyBorder="1" applyAlignment="1">
      <alignment horizontal="center" vertical="center"/>
    </xf>
    <xf numFmtId="164" fontId="30" fillId="6" borderId="44" xfId="0" applyNumberFormat="1" applyFont="1" applyFill="1" applyBorder="1" applyAlignment="1">
      <alignment horizontal="center" vertical="center"/>
    </xf>
    <xf numFmtId="164" fontId="29" fillId="6" borderId="29" xfId="0" applyNumberFormat="1" applyFont="1" applyFill="1" applyBorder="1" applyAlignment="1">
      <alignment horizontal="center" vertical="center" wrapText="1"/>
    </xf>
    <xf numFmtId="164" fontId="29" fillId="6" borderId="37" xfId="0" applyNumberFormat="1" applyFont="1" applyFill="1" applyBorder="1" applyAlignment="1">
      <alignment horizontal="center" vertical="center" wrapText="1"/>
    </xf>
    <xf numFmtId="164" fontId="30" fillId="6" borderId="29" xfId="0" applyNumberFormat="1" applyFont="1" applyFill="1" applyBorder="1" applyAlignment="1">
      <alignment horizontal="center" vertical="center" wrapText="1"/>
    </xf>
    <xf numFmtId="164" fontId="30" fillId="6" borderId="37" xfId="0" applyNumberFormat="1" applyFont="1" applyFill="1" applyBorder="1" applyAlignment="1">
      <alignment horizontal="center" vertical="center" wrapText="1"/>
    </xf>
    <xf numFmtId="164" fontId="30" fillId="6" borderId="29" xfId="0" applyNumberFormat="1" applyFont="1" applyFill="1" applyBorder="1" applyAlignment="1">
      <alignment horizontal="center" wrapText="1"/>
    </xf>
    <xf numFmtId="164" fontId="30" fillId="6" borderId="37" xfId="0" applyNumberFormat="1" applyFont="1" applyFill="1" applyBorder="1" applyAlignment="1">
      <alignment horizontal="center" wrapText="1"/>
    </xf>
    <xf numFmtId="164" fontId="29" fillId="6" borderId="29" xfId="0" applyNumberFormat="1" applyFont="1" applyFill="1" applyBorder="1" applyAlignment="1">
      <alignment horizontal="center" wrapText="1"/>
    </xf>
    <xf numFmtId="164" fontId="29" fillId="6" borderId="37" xfId="0" applyNumberFormat="1" applyFont="1" applyFill="1" applyBorder="1" applyAlignment="1">
      <alignment horizontal="center" wrapText="1"/>
    </xf>
    <xf numFmtId="10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80" fillId="0" borderId="0" xfId="0" applyNumberFormat="1" applyFont="1" applyAlignment="1">
      <alignment horizontal="center"/>
    </xf>
    <xf numFmtId="0" fontId="80" fillId="0" borderId="0" xfId="0" applyFont="1" applyAlignment="1">
      <alignment horizontal="center"/>
    </xf>
    <xf numFmtId="0" fontId="33" fillId="0" borderId="31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3" fillId="0" borderId="30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33" xfId="0" applyFont="1" applyBorder="1" applyAlignment="1">
      <alignment horizontal="center"/>
    </xf>
    <xf numFmtId="0" fontId="40" fillId="0" borderId="34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66" xfId="0" applyFont="1" applyBorder="1" applyAlignment="1">
      <alignment horizontal="center"/>
    </xf>
    <xf numFmtId="0" fontId="40" fillId="0" borderId="67" xfId="0" applyFont="1" applyBorder="1" applyAlignment="1">
      <alignment horizontal="center"/>
    </xf>
    <xf numFmtId="0" fontId="40" fillId="0" borderId="68" xfId="0" applyFont="1" applyBorder="1" applyAlignment="1">
      <alignment horizontal="center"/>
    </xf>
    <xf numFmtId="0" fontId="79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42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3" fillId="0" borderId="0" xfId="2" applyNumberFormat="1" applyFont="1" applyBorder="1" applyAlignment="1">
      <alignment horizontal="center"/>
    </xf>
    <xf numFmtId="0" fontId="32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2/Hitung%20FP%20Keluaran%20-%20Feb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3/Hitung%20FP%20Keluaran%20-%20Mar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4/Hitung%20FP%20Keluaran%20-%20Apr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9/Hitung%20FP%20Keluaran%20-%20September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1102356</v>
          </cell>
        </row>
        <row r="158">
          <cell r="K158">
            <v>14880000</v>
          </cell>
        </row>
        <row r="278">
          <cell r="K278">
            <v>7317450</v>
          </cell>
        </row>
        <row r="398">
          <cell r="K398">
            <v>1664640</v>
          </cell>
        </row>
        <row r="518">
          <cell r="K518">
            <v>1636740</v>
          </cell>
        </row>
        <row r="638">
          <cell r="K638">
            <v>4483620</v>
          </cell>
        </row>
        <row r="758">
          <cell r="K758">
            <v>1179900</v>
          </cell>
        </row>
        <row r="878">
          <cell r="K878">
            <v>64337700</v>
          </cell>
        </row>
        <row r="998">
          <cell r="K998">
            <v>51835525</v>
          </cell>
        </row>
        <row r="1118">
          <cell r="K1118">
            <v>12852000</v>
          </cell>
        </row>
        <row r="1238">
          <cell r="K1238">
            <v>13072500</v>
          </cell>
        </row>
        <row r="1358">
          <cell r="K1358">
            <v>2626140</v>
          </cell>
        </row>
        <row r="1478">
          <cell r="K1478">
            <v>7131600</v>
          </cell>
        </row>
        <row r="1598">
          <cell r="K1598">
            <v>9151617</v>
          </cell>
        </row>
        <row r="1718">
          <cell r="K1718">
            <v>7497000</v>
          </cell>
        </row>
        <row r="1838">
          <cell r="K1838">
            <v>5760000</v>
          </cell>
        </row>
        <row r="1958">
          <cell r="K1958">
            <v>33057500</v>
          </cell>
        </row>
        <row r="2078">
          <cell r="K2078">
            <v>9128700</v>
          </cell>
        </row>
        <row r="2198">
          <cell r="K2198">
            <v>3288600</v>
          </cell>
        </row>
        <row r="2318">
          <cell r="K2318">
            <v>18081000</v>
          </cell>
        </row>
        <row r="2438">
          <cell r="K2438">
            <v>8980380</v>
          </cell>
        </row>
        <row r="2558">
          <cell r="K2558">
            <v>1599480</v>
          </cell>
        </row>
        <row r="2678">
          <cell r="K2678">
            <v>6333876</v>
          </cell>
        </row>
        <row r="2798">
          <cell r="K2798">
            <v>18304278</v>
          </cell>
        </row>
        <row r="2918">
          <cell r="K2918">
            <v>21543312</v>
          </cell>
        </row>
        <row r="3038">
          <cell r="K3038">
            <v>3288384</v>
          </cell>
        </row>
        <row r="3158">
          <cell r="K3158">
            <v>6203088</v>
          </cell>
        </row>
        <row r="3278">
          <cell r="K3278">
            <v>6860970</v>
          </cell>
        </row>
        <row r="3398">
          <cell r="K3398">
            <v>1686600</v>
          </cell>
        </row>
        <row r="3518">
          <cell r="K3518">
            <v>16644600</v>
          </cell>
        </row>
        <row r="3638">
          <cell r="K3638">
            <v>3276000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3141099</v>
          </cell>
        </row>
        <row r="158">
          <cell r="K158">
            <v>10773000</v>
          </cell>
        </row>
        <row r="278">
          <cell r="K278">
            <v>9828000</v>
          </cell>
        </row>
        <row r="398">
          <cell r="K398">
            <v>2946882</v>
          </cell>
        </row>
        <row r="518">
          <cell r="K518">
            <v>756900</v>
          </cell>
        </row>
        <row r="638">
          <cell r="K638">
            <v>2898000</v>
          </cell>
        </row>
        <row r="758">
          <cell r="K758">
            <v>6982972</v>
          </cell>
        </row>
        <row r="878">
          <cell r="K878">
            <v>2745270</v>
          </cell>
        </row>
        <row r="998">
          <cell r="K998">
            <v>6136200</v>
          </cell>
        </row>
        <row r="1118">
          <cell r="K1118">
            <v>4917105</v>
          </cell>
        </row>
        <row r="1238">
          <cell r="K1238">
            <v>6389928</v>
          </cell>
        </row>
        <row r="1358">
          <cell r="K1358">
            <v>601344</v>
          </cell>
        </row>
        <row r="1478">
          <cell r="K1478">
            <v>1344060</v>
          </cell>
        </row>
        <row r="1598">
          <cell r="K1598">
            <v>12591075</v>
          </cell>
        </row>
        <row r="1718">
          <cell r="K1718">
            <v>5568870</v>
          </cell>
        </row>
        <row r="1838">
          <cell r="K1838">
            <v>410400</v>
          </cell>
        </row>
        <row r="1958">
          <cell r="K1958">
            <v>986100</v>
          </cell>
        </row>
        <row r="2078">
          <cell r="K2078">
            <v>392040</v>
          </cell>
        </row>
        <row r="2198">
          <cell r="K2198">
            <v>5679936</v>
          </cell>
        </row>
        <row r="2318">
          <cell r="K2318">
            <v>3575880</v>
          </cell>
        </row>
        <row r="2438">
          <cell r="K2438">
            <v>18301500</v>
          </cell>
        </row>
        <row r="2558">
          <cell r="K2558">
            <v>428550</v>
          </cell>
        </row>
        <row r="2678">
          <cell r="K2678">
            <v>2753625</v>
          </cell>
        </row>
        <row r="2798">
          <cell r="K2798">
            <v>37394875</v>
          </cell>
        </row>
        <row r="2918">
          <cell r="K2918">
            <v>12334208</v>
          </cell>
        </row>
        <row r="3038">
          <cell r="K3038">
            <v>27658548</v>
          </cell>
        </row>
        <row r="3158">
          <cell r="K3158">
            <v>2473200</v>
          </cell>
        </row>
        <row r="3278">
          <cell r="K3278">
            <v>778500</v>
          </cell>
        </row>
        <row r="3398">
          <cell r="K3398">
            <v>4457880</v>
          </cell>
        </row>
        <row r="3518">
          <cell r="K3518">
            <v>1965600</v>
          </cell>
        </row>
        <row r="3638">
          <cell r="K3638">
            <v>3725406</v>
          </cell>
        </row>
        <row r="3758">
          <cell r="K3758">
            <v>3412500</v>
          </cell>
        </row>
        <row r="3878">
          <cell r="K3878">
            <v>5952000</v>
          </cell>
        </row>
        <row r="3998">
          <cell r="K3998">
            <v>2491200</v>
          </cell>
        </row>
        <row r="4118">
          <cell r="K4118">
            <v>1772280</v>
          </cell>
        </row>
        <row r="4238">
          <cell r="K4238">
            <v>19296000</v>
          </cell>
        </row>
        <row r="4358">
          <cell r="K4358">
            <v>5400000</v>
          </cell>
        </row>
        <row r="4478">
          <cell r="K4478">
            <v>1927800</v>
          </cell>
        </row>
        <row r="4598">
          <cell r="K4598">
            <v>4687200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4824000</v>
          </cell>
        </row>
        <row r="158">
          <cell r="K158">
            <v>16488000</v>
          </cell>
        </row>
        <row r="278">
          <cell r="K278">
            <v>841320</v>
          </cell>
        </row>
        <row r="398">
          <cell r="K398">
            <v>9838942.5</v>
          </cell>
        </row>
        <row r="518">
          <cell r="K518">
            <v>3967200</v>
          </cell>
        </row>
        <row r="638">
          <cell r="K638">
            <v>1007532</v>
          </cell>
        </row>
        <row r="758">
          <cell r="K758">
            <v>2720664</v>
          </cell>
        </row>
        <row r="878">
          <cell r="K878">
            <v>53013450</v>
          </cell>
        </row>
        <row r="998">
          <cell r="K998">
            <v>10415466</v>
          </cell>
        </row>
        <row r="1118">
          <cell r="K1118">
            <v>1678752</v>
          </cell>
        </row>
        <row r="1238">
          <cell r="K1238">
            <v>3628800</v>
          </cell>
        </row>
        <row r="1358">
          <cell r="K1358">
            <v>1171800</v>
          </cell>
        </row>
        <row r="1478">
          <cell r="K1478">
            <v>6614784</v>
          </cell>
        </row>
        <row r="1598">
          <cell r="K1598">
            <v>291600</v>
          </cell>
        </row>
        <row r="1718">
          <cell r="K1718">
            <v>648900</v>
          </cell>
        </row>
        <row r="1838">
          <cell r="K1838">
            <v>58678200</v>
          </cell>
        </row>
        <row r="1958">
          <cell r="K1958">
            <v>63875700</v>
          </cell>
        </row>
        <row r="2078">
          <cell r="K2078">
            <v>56768950</v>
          </cell>
        </row>
        <row r="2198">
          <cell r="K2198">
            <v>1566180</v>
          </cell>
        </row>
        <row r="2318">
          <cell r="K2318">
            <v>13041000</v>
          </cell>
        </row>
        <row r="2438">
          <cell r="K2438">
            <v>4895208</v>
          </cell>
        </row>
        <row r="2558">
          <cell r="K2558">
            <v>3135132</v>
          </cell>
        </row>
        <row r="2678">
          <cell r="K2678">
            <v>1709640</v>
          </cell>
        </row>
        <row r="2798">
          <cell r="K2798">
            <v>9720000</v>
          </cell>
        </row>
        <row r="2918">
          <cell r="K2918">
            <v>5456988</v>
          </cell>
        </row>
        <row r="3038">
          <cell r="K3038">
            <v>7749000</v>
          </cell>
        </row>
        <row r="3158">
          <cell r="K3158">
            <v>11699100</v>
          </cell>
        </row>
        <row r="3278">
          <cell r="K3278">
            <v>4089000</v>
          </cell>
        </row>
        <row r="3398">
          <cell r="K3398">
            <v>5797680</v>
          </cell>
        </row>
        <row r="3518">
          <cell r="K3518">
            <v>6203780</v>
          </cell>
        </row>
        <row r="3638">
          <cell r="K3638">
            <v>2721600</v>
          </cell>
        </row>
        <row r="3758">
          <cell r="K3758">
            <v>1193238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2553480</v>
          </cell>
        </row>
        <row r="148">
          <cell r="K148">
            <v>8884440</v>
          </cell>
        </row>
        <row r="262">
          <cell r="K262">
            <v>33967500</v>
          </cell>
        </row>
        <row r="376">
          <cell r="K376">
            <v>2274750</v>
          </cell>
        </row>
        <row r="490">
          <cell r="K490">
            <v>20081808</v>
          </cell>
        </row>
        <row r="604">
          <cell r="K604">
            <v>3251016</v>
          </cell>
        </row>
        <row r="718">
          <cell r="K718">
            <v>4761050</v>
          </cell>
        </row>
        <row r="832">
          <cell r="K832">
            <v>122040</v>
          </cell>
        </row>
        <row r="946">
          <cell r="K946">
            <v>11838960</v>
          </cell>
        </row>
        <row r="1060">
          <cell r="K1060">
            <v>1487700</v>
          </cell>
        </row>
        <row r="1174">
          <cell r="K1174">
            <v>8667300</v>
          </cell>
        </row>
        <row r="1288">
          <cell r="K1288">
            <v>4875552</v>
          </cell>
        </row>
        <row r="1402">
          <cell r="K1402">
            <v>6841800</v>
          </cell>
        </row>
        <row r="1516">
          <cell r="K1516">
            <v>4425840</v>
          </cell>
        </row>
        <row r="1630">
          <cell r="K1630">
            <v>8212829</v>
          </cell>
        </row>
        <row r="1744">
          <cell r="K1744">
            <v>9486828</v>
          </cell>
        </row>
        <row r="1858">
          <cell r="K1858">
            <v>1080000</v>
          </cell>
        </row>
        <row r="1972">
          <cell r="K1972">
            <v>3549960</v>
          </cell>
        </row>
        <row r="2086">
          <cell r="K2086">
            <v>4638717</v>
          </cell>
        </row>
        <row r="2200">
          <cell r="K2200">
            <v>5943000</v>
          </cell>
        </row>
        <row r="2314">
          <cell r="K2314">
            <v>22383900</v>
          </cell>
        </row>
        <row r="2428">
          <cell r="K2428">
            <v>19008000</v>
          </cell>
        </row>
        <row r="2542">
          <cell r="K2542">
            <v>9876825</v>
          </cell>
        </row>
        <row r="2656">
          <cell r="K2656">
            <v>8879220</v>
          </cell>
        </row>
        <row r="2770">
          <cell r="K2770">
            <v>4515300</v>
          </cell>
        </row>
        <row r="2884">
          <cell r="K2884">
            <v>11460750</v>
          </cell>
        </row>
        <row r="2998">
          <cell r="K2998">
            <v>1555200</v>
          </cell>
        </row>
        <row r="3112">
          <cell r="K3112">
            <v>40425000</v>
          </cell>
        </row>
        <row r="3226">
          <cell r="K3226">
            <v>13388778</v>
          </cell>
        </row>
        <row r="3340">
          <cell r="K3340">
            <v>10737072</v>
          </cell>
        </row>
        <row r="3454">
          <cell r="K3454">
            <v>2589300</v>
          </cell>
        </row>
        <row r="3568">
          <cell r="K3568">
            <v>27865110</v>
          </cell>
        </row>
        <row r="3682">
          <cell r="K3682">
            <v>32065950</v>
          </cell>
        </row>
        <row r="3796">
          <cell r="K3796">
            <v>10368000</v>
          </cell>
        </row>
        <row r="3910">
          <cell r="K3910">
            <v>4865625</v>
          </cell>
        </row>
        <row r="4024">
          <cell r="K4024">
            <v>2301360</v>
          </cell>
        </row>
        <row r="4138">
          <cell r="K4138">
            <v>2501250</v>
          </cell>
        </row>
        <row r="4252">
          <cell r="K4252">
            <v>2621815</v>
          </cell>
        </row>
        <row r="4366">
          <cell r="K4366">
            <v>681440</v>
          </cell>
        </row>
        <row r="4480">
          <cell r="K4480">
            <v>140400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89" t="s">
        <v>83</v>
      </c>
      <c r="B1" s="789"/>
      <c r="C1" s="789"/>
      <c r="D1" s="789"/>
      <c r="E1" s="789"/>
      <c r="F1" s="789"/>
      <c r="G1" s="789"/>
      <c r="H1" s="789"/>
      <c r="I1" s="789"/>
    </row>
    <row r="2" spans="1:256" ht="14.25" x14ac:dyDescent="0.2">
      <c r="A2" s="789" t="s">
        <v>84</v>
      </c>
      <c r="B2" s="789"/>
      <c r="C2" s="789"/>
      <c r="D2" s="789"/>
      <c r="E2" s="789"/>
      <c r="F2" s="789"/>
      <c r="G2" s="789"/>
      <c r="H2" s="789"/>
      <c r="I2" s="789"/>
    </row>
    <row r="3" spans="1:256" ht="14.25" x14ac:dyDescent="0.2">
      <c r="A3" s="789" t="s">
        <v>49</v>
      </c>
      <c r="B3" s="789"/>
      <c r="C3" s="789"/>
      <c r="D3" s="789"/>
      <c r="E3" s="789"/>
      <c r="F3" s="789"/>
      <c r="G3" s="789"/>
      <c r="H3" s="789"/>
      <c r="I3" s="789"/>
    </row>
    <row r="4" spans="1:256" ht="14.25" x14ac:dyDescent="0.2">
      <c r="A4" s="789" t="s">
        <v>85</v>
      </c>
      <c r="B4" s="789"/>
      <c r="C4" s="789"/>
      <c r="D4" s="789"/>
      <c r="E4" s="789"/>
      <c r="F4" s="789"/>
      <c r="G4" s="789"/>
      <c r="H4" s="789"/>
      <c r="I4" s="789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90" t="s">
        <v>86</v>
      </c>
      <c r="B6" s="792" t="s">
        <v>87</v>
      </c>
      <c r="C6" s="794" t="s">
        <v>88</v>
      </c>
      <c r="D6" s="65" t="s">
        <v>89</v>
      </c>
      <c r="E6" s="796" t="s">
        <v>90</v>
      </c>
      <c r="F6" s="796"/>
      <c r="G6" s="794" t="s">
        <v>91</v>
      </c>
      <c r="H6" s="794"/>
      <c r="I6" s="797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91"/>
      <c r="B7" s="793"/>
      <c r="C7" s="795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98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99" t="s">
        <v>97</v>
      </c>
      <c r="B11" s="800"/>
      <c r="C11" s="800"/>
      <c r="D11" s="800"/>
      <c r="E11" s="803">
        <f>SUM(E8:E10)</f>
        <v>200000000</v>
      </c>
      <c r="F11" s="805">
        <f>SUM(F8:F10)</f>
        <v>4000000</v>
      </c>
      <c r="G11" s="807"/>
      <c r="H11" s="809"/>
      <c r="I11" s="787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01"/>
      <c r="B12" s="802"/>
      <c r="C12" s="802"/>
      <c r="D12" s="802"/>
      <c r="E12" s="804"/>
      <c r="F12" s="806"/>
      <c r="G12" s="808"/>
      <c r="H12" s="810"/>
      <c r="I12" s="788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showGridLines="0" zoomScaleNormal="100" workbookViewId="0">
      <pane xSplit="3" ySplit="6" topLeftCell="L26" activePane="bottomRight" state="frozen"/>
      <selection pane="topRight" activeCell="D1" sqref="D1"/>
      <selection pane="bottomLeft" activeCell="A7" sqref="A7"/>
      <selection pane="bottomRight" activeCell="P18" sqref="P18:P22"/>
    </sheetView>
  </sheetViews>
  <sheetFormatPr defaultRowHeight="12.75" x14ac:dyDescent="0.25"/>
  <cols>
    <col min="1" max="1" width="6.42578125" style="206" customWidth="1"/>
    <col min="2" max="2" width="27.7109375" style="175" customWidth="1"/>
    <col min="3" max="3" width="18.7109375" style="176" hidden="1" customWidth="1"/>
    <col min="4" max="4" width="18.5703125" style="176" customWidth="1"/>
    <col min="5" max="5" width="36.5703125" style="175" hidden="1" customWidth="1"/>
    <col min="6" max="6" width="18.28515625" style="207" hidden="1" customWidth="1"/>
    <col min="7" max="7" width="8.28515625" style="208" customWidth="1"/>
    <col min="8" max="9" width="12.7109375" style="179" customWidth="1"/>
    <col min="10" max="10" width="12.7109375" style="208" customWidth="1"/>
    <col min="11" max="14" width="12.7109375" style="180" customWidth="1"/>
    <col min="15" max="15" width="12.7109375" style="209" customWidth="1"/>
    <col min="16" max="18" width="12.7109375" style="213" customWidth="1"/>
    <col min="19" max="19" width="12.7109375" style="209" customWidth="1"/>
    <col min="20" max="20" width="12.7109375" style="184" customWidth="1"/>
    <col min="21" max="21" width="13.7109375" style="184" bestFit="1" customWidth="1"/>
    <col min="22" max="27" width="12.7109375" style="184" customWidth="1"/>
    <col min="28" max="28" width="14" style="184" customWidth="1"/>
    <col min="29" max="29" width="15.85546875" style="184" customWidth="1"/>
    <col min="30" max="30" width="10.140625" style="184" customWidth="1"/>
    <col min="31" max="31" width="11.7109375" style="184" customWidth="1"/>
    <col min="32" max="32" width="16" style="184" customWidth="1"/>
    <col min="33" max="33" width="15.42578125" style="184" customWidth="1"/>
    <col min="34" max="34" width="15.5703125" style="183" customWidth="1"/>
    <col min="35" max="35" width="16.140625" style="184" customWidth="1"/>
    <col min="36" max="36" width="13.85546875" style="184" customWidth="1"/>
    <col min="37" max="37" width="15.42578125" style="184" customWidth="1"/>
    <col min="38" max="55" width="15.7109375" style="184" customWidth="1"/>
    <col min="56" max="235" width="9.140625" style="184"/>
    <col min="236" max="236" width="4.7109375" style="184" customWidth="1"/>
    <col min="237" max="237" width="30.28515625" style="184" customWidth="1"/>
    <col min="238" max="238" width="19.42578125" style="184" customWidth="1"/>
    <col min="239" max="239" width="10.85546875" style="184" customWidth="1"/>
    <col min="240" max="240" width="13.28515625" style="184" customWidth="1"/>
    <col min="241" max="241" width="12.42578125" style="184" customWidth="1"/>
    <col min="242" max="242" width="12.42578125" style="184" bestFit="1" customWidth="1"/>
    <col min="243" max="243" width="12.28515625" style="184" customWidth="1"/>
    <col min="244" max="244" width="14.42578125" style="184" customWidth="1"/>
    <col min="245" max="245" width="12.5703125" style="184" customWidth="1"/>
    <col min="246" max="246" width="14.85546875" style="184" customWidth="1"/>
    <col min="247" max="251" width="14" style="184" customWidth="1"/>
    <col min="252" max="252" width="15.5703125" style="184" customWidth="1"/>
    <col min="253" max="253" width="14.5703125" style="184" customWidth="1"/>
    <col min="254" max="254" width="14.85546875" style="184" customWidth="1"/>
    <col min="255" max="255" width="13" style="184" customWidth="1"/>
    <col min="256" max="256" width="14.42578125" style="184" customWidth="1"/>
    <col min="257" max="257" width="14.140625" style="184" customWidth="1"/>
    <col min="258" max="258" width="15.42578125" style="184" customWidth="1"/>
    <col min="259" max="259" width="14.42578125" style="184" customWidth="1"/>
    <col min="260" max="260" width="14" style="184" customWidth="1"/>
    <col min="261" max="261" width="15.85546875" style="184" customWidth="1"/>
    <col min="262" max="262" width="13.7109375" style="184" bestFit="1" customWidth="1"/>
    <col min="263" max="263" width="10.140625" style="184" customWidth="1"/>
    <col min="264" max="264" width="11.7109375" style="184" customWidth="1"/>
    <col min="265" max="265" width="16" style="184" customWidth="1"/>
    <col min="266" max="266" width="15.42578125" style="184" customWidth="1"/>
    <col min="267" max="267" width="15.5703125" style="184" customWidth="1"/>
    <col min="268" max="268" width="16.140625" style="184" customWidth="1"/>
    <col min="269" max="269" width="13.85546875" style="184" customWidth="1"/>
    <col min="270" max="270" width="15.42578125" style="184" customWidth="1"/>
    <col min="271" max="271" width="9.28515625" style="184" bestFit="1" customWidth="1"/>
    <col min="272" max="491" width="9.140625" style="184"/>
    <col min="492" max="492" width="4.7109375" style="184" customWidth="1"/>
    <col min="493" max="493" width="30.28515625" style="184" customWidth="1"/>
    <col min="494" max="494" width="19.42578125" style="184" customWidth="1"/>
    <col min="495" max="495" width="10.85546875" style="184" customWidth="1"/>
    <col min="496" max="496" width="13.28515625" style="184" customWidth="1"/>
    <col min="497" max="497" width="12.42578125" style="184" customWidth="1"/>
    <col min="498" max="498" width="12.42578125" style="184" bestFit="1" customWidth="1"/>
    <col min="499" max="499" width="12.28515625" style="184" customWidth="1"/>
    <col min="500" max="500" width="14.42578125" style="184" customWidth="1"/>
    <col min="501" max="501" width="12.5703125" style="184" customWidth="1"/>
    <col min="502" max="502" width="14.85546875" style="184" customWidth="1"/>
    <col min="503" max="507" width="14" style="184" customWidth="1"/>
    <col min="508" max="508" width="15.5703125" style="184" customWidth="1"/>
    <col min="509" max="509" width="14.5703125" style="184" customWidth="1"/>
    <col min="510" max="510" width="14.85546875" style="184" customWidth="1"/>
    <col min="511" max="511" width="13" style="184" customWidth="1"/>
    <col min="512" max="512" width="14.42578125" style="184" customWidth="1"/>
    <col min="513" max="513" width="14.140625" style="184" customWidth="1"/>
    <col min="514" max="514" width="15.42578125" style="184" customWidth="1"/>
    <col min="515" max="515" width="14.42578125" style="184" customWidth="1"/>
    <col min="516" max="516" width="14" style="184" customWidth="1"/>
    <col min="517" max="517" width="15.85546875" style="184" customWidth="1"/>
    <col min="518" max="518" width="13.7109375" style="184" bestFit="1" customWidth="1"/>
    <col min="519" max="519" width="10.140625" style="184" customWidth="1"/>
    <col min="520" max="520" width="11.7109375" style="184" customWidth="1"/>
    <col min="521" max="521" width="16" style="184" customWidth="1"/>
    <col min="522" max="522" width="15.42578125" style="184" customWidth="1"/>
    <col min="523" max="523" width="15.5703125" style="184" customWidth="1"/>
    <col min="524" max="524" width="16.140625" style="184" customWidth="1"/>
    <col min="525" max="525" width="13.85546875" style="184" customWidth="1"/>
    <col min="526" max="526" width="15.42578125" style="184" customWidth="1"/>
    <col min="527" max="527" width="9.28515625" style="184" bestFit="1" customWidth="1"/>
    <col min="528" max="747" width="9.140625" style="184"/>
    <col min="748" max="748" width="4.7109375" style="184" customWidth="1"/>
    <col min="749" max="749" width="30.28515625" style="184" customWidth="1"/>
    <col min="750" max="750" width="19.42578125" style="184" customWidth="1"/>
    <col min="751" max="751" width="10.85546875" style="184" customWidth="1"/>
    <col min="752" max="752" width="13.28515625" style="184" customWidth="1"/>
    <col min="753" max="753" width="12.42578125" style="184" customWidth="1"/>
    <col min="754" max="754" width="12.42578125" style="184" bestFit="1" customWidth="1"/>
    <col min="755" max="755" width="12.28515625" style="184" customWidth="1"/>
    <col min="756" max="756" width="14.42578125" style="184" customWidth="1"/>
    <col min="757" max="757" width="12.5703125" style="184" customWidth="1"/>
    <col min="758" max="758" width="14.85546875" style="184" customWidth="1"/>
    <col min="759" max="763" width="14" style="184" customWidth="1"/>
    <col min="764" max="764" width="15.5703125" style="184" customWidth="1"/>
    <col min="765" max="765" width="14.5703125" style="184" customWidth="1"/>
    <col min="766" max="766" width="14.85546875" style="184" customWidth="1"/>
    <col min="767" max="767" width="13" style="184" customWidth="1"/>
    <col min="768" max="768" width="14.42578125" style="184" customWidth="1"/>
    <col min="769" max="769" width="14.140625" style="184" customWidth="1"/>
    <col min="770" max="770" width="15.42578125" style="184" customWidth="1"/>
    <col min="771" max="771" width="14.42578125" style="184" customWidth="1"/>
    <col min="772" max="772" width="14" style="184" customWidth="1"/>
    <col min="773" max="773" width="15.85546875" style="184" customWidth="1"/>
    <col min="774" max="774" width="13.7109375" style="184" bestFit="1" customWidth="1"/>
    <col min="775" max="775" width="10.140625" style="184" customWidth="1"/>
    <col min="776" max="776" width="11.7109375" style="184" customWidth="1"/>
    <col min="777" max="777" width="16" style="184" customWidth="1"/>
    <col min="778" max="778" width="15.42578125" style="184" customWidth="1"/>
    <col min="779" max="779" width="15.5703125" style="184" customWidth="1"/>
    <col min="780" max="780" width="16.140625" style="184" customWidth="1"/>
    <col min="781" max="781" width="13.85546875" style="184" customWidth="1"/>
    <col min="782" max="782" width="15.42578125" style="184" customWidth="1"/>
    <col min="783" max="783" width="9.28515625" style="184" bestFit="1" customWidth="1"/>
    <col min="784" max="1003" width="9.140625" style="184"/>
    <col min="1004" max="1004" width="4.7109375" style="184" customWidth="1"/>
    <col min="1005" max="1005" width="30.28515625" style="184" customWidth="1"/>
    <col min="1006" max="1006" width="19.42578125" style="184" customWidth="1"/>
    <col min="1007" max="1007" width="10.85546875" style="184" customWidth="1"/>
    <col min="1008" max="1008" width="13.28515625" style="184" customWidth="1"/>
    <col min="1009" max="1009" width="12.42578125" style="184" customWidth="1"/>
    <col min="1010" max="1010" width="12.42578125" style="184" bestFit="1" customWidth="1"/>
    <col min="1011" max="1011" width="12.28515625" style="184" customWidth="1"/>
    <col min="1012" max="1012" width="14.42578125" style="184" customWidth="1"/>
    <col min="1013" max="1013" width="12.5703125" style="184" customWidth="1"/>
    <col min="1014" max="1014" width="14.85546875" style="184" customWidth="1"/>
    <col min="1015" max="1019" width="14" style="184" customWidth="1"/>
    <col min="1020" max="1020" width="15.5703125" style="184" customWidth="1"/>
    <col min="1021" max="1021" width="14.5703125" style="184" customWidth="1"/>
    <col min="1022" max="1022" width="14.85546875" style="184" customWidth="1"/>
    <col min="1023" max="1023" width="13" style="184" customWidth="1"/>
    <col min="1024" max="1024" width="14.42578125" style="184" customWidth="1"/>
    <col min="1025" max="1025" width="14.140625" style="184" customWidth="1"/>
    <col min="1026" max="1026" width="15.42578125" style="184" customWidth="1"/>
    <col min="1027" max="1027" width="14.42578125" style="184" customWidth="1"/>
    <col min="1028" max="1028" width="14" style="184" customWidth="1"/>
    <col min="1029" max="1029" width="15.85546875" style="184" customWidth="1"/>
    <col min="1030" max="1030" width="13.7109375" style="184" bestFit="1" customWidth="1"/>
    <col min="1031" max="1031" width="10.140625" style="184" customWidth="1"/>
    <col min="1032" max="1032" width="11.7109375" style="184" customWidth="1"/>
    <col min="1033" max="1033" width="16" style="184" customWidth="1"/>
    <col min="1034" max="1034" width="15.42578125" style="184" customWidth="1"/>
    <col min="1035" max="1035" width="15.5703125" style="184" customWidth="1"/>
    <col min="1036" max="1036" width="16.140625" style="184" customWidth="1"/>
    <col min="1037" max="1037" width="13.85546875" style="184" customWidth="1"/>
    <col min="1038" max="1038" width="15.42578125" style="184" customWidth="1"/>
    <col min="1039" max="1039" width="9.28515625" style="184" bestFit="1" customWidth="1"/>
    <col min="1040" max="1259" width="9.140625" style="184"/>
    <col min="1260" max="1260" width="4.7109375" style="184" customWidth="1"/>
    <col min="1261" max="1261" width="30.28515625" style="184" customWidth="1"/>
    <col min="1262" max="1262" width="19.42578125" style="184" customWidth="1"/>
    <col min="1263" max="1263" width="10.85546875" style="184" customWidth="1"/>
    <col min="1264" max="1264" width="13.28515625" style="184" customWidth="1"/>
    <col min="1265" max="1265" width="12.42578125" style="184" customWidth="1"/>
    <col min="1266" max="1266" width="12.42578125" style="184" bestFit="1" customWidth="1"/>
    <col min="1267" max="1267" width="12.28515625" style="184" customWidth="1"/>
    <col min="1268" max="1268" width="14.42578125" style="184" customWidth="1"/>
    <col min="1269" max="1269" width="12.5703125" style="184" customWidth="1"/>
    <col min="1270" max="1270" width="14.85546875" style="184" customWidth="1"/>
    <col min="1271" max="1275" width="14" style="184" customWidth="1"/>
    <col min="1276" max="1276" width="15.5703125" style="184" customWidth="1"/>
    <col min="1277" max="1277" width="14.5703125" style="184" customWidth="1"/>
    <col min="1278" max="1278" width="14.85546875" style="184" customWidth="1"/>
    <col min="1279" max="1279" width="13" style="184" customWidth="1"/>
    <col min="1280" max="1280" width="14.42578125" style="184" customWidth="1"/>
    <col min="1281" max="1281" width="14.140625" style="184" customWidth="1"/>
    <col min="1282" max="1282" width="15.42578125" style="184" customWidth="1"/>
    <col min="1283" max="1283" width="14.42578125" style="184" customWidth="1"/>
    <col min="1284" max="1284" width="14" style="184" customWidth="1"/>
    <col min="1285" max="1285" width="15.85546875" style="184" customWidth="1"/>
    <col min="1286" max="1286" width="13.7109375" style="184" bestFit="1" customWidth="1"/>
    <col min="1287" max="1287" width="10.140625" style="184" customWidth="1"/>
    <col min="1288" max="1288" width="11.7109375" style="184" customWidth="1"/>
    <col min="1289" max="1289" width="16" style="184" customWidth="1"/>
    <col min="1290" max="1290" width="15.42578125" style="184" customWidth="1"/>
    <col min="1291" max="1291" width="15.5703125" style="184" customWidth="1"/>
    <col min="1292" max="1292" width="16.140625" style="184" customWidth="1"/>
    <col min="1293" max="1293" width="13.85546875" style="184" customWidth="1"/>
    <col min="1294" max="1294" width="15.42578125" style="184" customWidth="1"/>
    <col min="1295" max="1295" width="9.28515625" style="184" bestFit="1" customWidth="1"/>
    <col min="1296" max="1515" width="9.140625" style="184"/>
    <col min="1516" max="1516" width="4.7109375" style="184" customWidth="1"/>
    <col min="1517" max="1517" width="30.28515625" style="184" customWidth="1"/>
    <col min="1518" max="1518" width="19.42578125" style="184" customWidth="1"/>
    <col min="1519" max="1519" width="10.85546875" style="184" customWidth="1"/>
    <col min="1520" max="1520" width="13.28515625" style="184" customWidth="1"/>
    <col min="1521" max="1521" width="12.42578125" style="184" customWidth="1"/>
    <col min="1522" max="1522" width="12.42578125" style="184" bestFit="1" customWidth="1"/>
    <col min="1523" max="1523" width="12.28515625" style="184" customWidth="1"/>
    <col min="1524" max="1524" width="14.42578125" style="184" customWidth="1"/>
    <col min="1525" max="1525" width="12.5703125" style="184" customWidth="1"/>
    <col min="1526" max="1526" width="14.85546875" style="184" customWidth="1"/>
    <col min="1527" max="1531" width="14" style="184" customWidth="1"/>
    <col min="1532" max="1532" width="15.5703125" style="184" customWidth="1"/>
    <col min="1533" max="1533" width="14.5703125" style="184" customWidth="1"/>
    <col min="1534" max="1534" width="14.85546875" style="184" customWidth="1"/>
    <col min="1535" max="1535" width="13" style="184" customWidth="1"/>
    <col min="1536" max="1536" width="14.42578125" style="184" customWidth="1"/>
    <col min="1537" max="1537" width="14.140625" style="184" customWidth="1"/>
    <col min="1538" max="1538" width="15.42578125" style="184" customWidth="1"/>
    <col min="1539" max="1539" width="14.42578125" style="184" customWidth="1"/>
    <col min="1540" max="1540" width="14" style="184" customWidth="1"/>
    <col min="1541" max="1541" width="15.85546875" style="184" customWidth="1"/>
    <col min="1542" max="1542" width="13.7109375" style="184" bestFit="1" customWidth="1"/>
    <col min="1543" max="1543" width="10.140625" style="184" customWidth="1"/>
    <col min="1544" max="1544" width="11.7109375" style="184" customWidth="1"/>
    <col min="1545" max="1545" width="16" style="184" customWidth="1"/>
    <col min="1546" max="1546" width="15.42578125" style="184" customWidth="1"/>
    <col min="1547" max="1547" width="15.5703125" style="184" customWidth="1"/>
    <col min="1548" max="1548" width="16.140625" style="184" customWidth="1"/>
    <col min="1549" max="1549" width="13.85546875" style="184" customWidth="1"/>
    <col min="1550" max="1550" width="15.42578125" style="184" customWidth="1"/>
    <col min="1551" max="1551" width="9.28515625" style="184" bestFit="1" customWidth="1"/>
    <col min="1552" max="1771" width="9.140625" style="184"/>
    <col min="1772" max="1772" width="4.7109375" style="184" customWidth="1"/>
    <col min="1773" max="1773" width="30.28515625" style="184" customWidth="1"/>
    <col min="1774" max="1774" width="19.42578125" style="184" customWidth="1"/>
    <col min="1775" max="1775" width="10.85546875" style="184" customWidth="1"/>
    <col min="1776" max="1776" width="13.28515625" style="184" customWidth="1"/>
    <col min="1777" max="1777" width="12.42578125" style="184" customWidth="1"/>
    <col min="1778" max="1778" width="12.42578125" style="184" bestFit="1" customWidth="1"/>
    <col min="1779" max="1779" width="12.28515625" style="184" customWidth="1"/>
    <col min="1780" max="1780" width="14.42578125" style="184" customWidth="1"/>
    <col min="1781" max="1781" width="12.5703125" style="184" customWidth="1"/>
    <col min="1782" max="1782" width="14.85546875" style="184" customWidth="1"/>
    <col min="1783" max="1787" width="14" style="184" customWidth="1"/>
    <col min="1788" max="1788" width="15.5703125" style="184" customWidth="1"/>
    <col min="1789" max="1789" width="14.5703125" style="184" customWidth="1"/>
    <col min="1790" max="1790" width="14.85546875" style="184" customWidth="1"/>
    <col min="1791" max="1791" width="13" style="184" customWidth="1"/>
    <col min="1792" max="1792" width="14.42578125" style="184" customWidth="1"/>
    <col min="1793" max="1793" width="14.140625" style="184" customWidth="1"/>
    <col min="1794" max="1794" width="15.42578125" style="184" customWidth="1"/>
    <col min="1795" max="1795" width="14.42578125" style="184" customWidth="1"/>
    <col min="1796" max="1796" width="14" style="184" customWidth="1"/>
    <col min="1797" max="1797" width="15.85546875" style="184" customWidth="1"/>
    <col min="1798" max="1798" width="13.7109375" style="184" bestFit="1" customWidth="1"/>
    <col min="1799" max="1799" width="10.140625" style="184" customWidth="1"/>
    <col min="1800" max="1800" width="11.7109375" style="184" customWidth="1"/>
    <col min="1801" max="1801" width="16" style="184" customWidth="1"/>
    <col min="1802" max="1802" width="15.42578125" style="184" customWidth="1"/>
    <col min="1803" max="1803" width="15.5703125" style="184" customWidth="1"/>
    <col min="1804" max="1804" width="16.140625" style="184" customWidth="1"/>
    <col min="1805" max="1805" width="13.85546875" style="184" customWidth="1"/>
    <col min="1806" max="1806" width="15.42578125" style="184" customWidth="1"/>
    <col min="1807" max="1807" width="9.28515625" style="184" bestFit="1" customWidth="1"/>
    <col min="1808" max="2027" width="9.140625" style="184"/>
    <col min="2028" max="2028" width="4.7109375" style="184" customWidth="1"/>
    <col min="2029" max="2029" width="30.28515625" style="184" customWidth="1"/>
    <col min="2030" max="2030" width="19.42578125" style="184" customWidth="1"/>
    <col min="2031" max="2031" width="10.85546875" style="184" customWidth="1"/>
    <col min="2032" max="2032" width="13.28515625" style="184" customWidth="1"/>
    <col min="2033" max="2033" width="12.42578125" style="184" customWidth="1"/>
    <col min="2034" max="2034" width="12.42578125" style="184" bestFit="1" customWidth="1"/>
    <col min="2035" max="2035" width="12.28515625" style="184" customWidth="1"/>
    <col min="2036" max="2036" width="14.42578125" style="184" customWidth="1"/>
    <col min="2037" max="2037" width="12.5703125" style="184" customWidth="1"/>
    <col min="2038" max="2038" width="14.85546875" style="184" customWidth="1"/>
    <col min="2039" max="2043" width="14" style="184" customWidth="1"/>
    <col min="2044" max="2044" width="15.5703125" style="184" customWidth="1"/>
    <col min="2045" max="2045" width="14.5703125" style="184" customWidth="1"/>
    <col min="2046" max="2046" width="14.85546875" style="184" customWidth="1"/>
    <col min="2047" max="2047" width="13" style="184" customWidth="1"/>
    <col min="2048" max="2048" width="14.42578125" style="184" customWidth="1"/>
    <col min="2049" max="2049" width="14.140625" style="184" customWidth="1"/>
    <col min="2050" max="2050" width="15.42578125" style="184" customWidth="1"/>
    <col min="2051" max="2051" width="14.42578125" style="184" customWidth="1"/>
    <col min="2052" max="2052" width="14" style="184" customWidth="1"/>
    <col min="2053" max="2053" width="15.85546875" style="184" customWidth="1"/>
    <col min="2054" max="2054" width="13.7109375" style="184" bestFit="1" customWidth="1"/>
    <col min="2055" max="2055" width="10.140625" style="184" customWidth="1"/>
    <col min="2056" max="2056" width="11.7109375" style="184" customWidth="1"/>
    <col min="2057" max="2057" width="16" style="184" customWidth="1"/>
    <col min="2058" max="2058" width="15.42578125" style="184" customWidth="1"/>
    <col min="2059" max="2059" width="15.5703125" style="184" customWidth="1"/>
    <col min="2060" max="2060" width="16.140625" style="184" customWidth="1"/>
    <col min="2061" max="2061" width="13.85546875" style="184" customWidth="1"/>
    <col min="2062" max="2062" width="15.42578125" style="184" customWidth="1"/>
    <col min="2063" max="2063" width="9.28515625" style="184" bestFit="1" customWidth="1"/>
    <col min="2064" max="2283" width="9.140625" style="184"/>
    <col min="2284" max="2284" width="4.7109375" style="184" customWidth="1"/>
    <col min="2285" max="2285" width="30.28515625" style="184" customWidth="1"/>
    <col min="2286" max="2286" width="19.42578125" style="184" customWidth="1"/>
    <col min="2287" max="2287" width="10.85546875" style="184" customWidth="1"/>
    <col min="2288" max="2288" width="13.28515625" style="184" customWidth="1"/>
    <col min="2289" max="2289" width="12.42578125" style="184" customWidth="1"/>
    <col min="2290" max="2290" width="12.42578125" style="184" bestFit="1" customWidth="1"/>
    <col min="2291" max="2291" width="12.28515625" style="184" customWidth="1"/>
    <col min="2292" max="2292" width="14.42578125" style="184" customWidth="1"/>
    <col min="2293" max="2293" width="12.5703125" style="184" customWidth="1"/>
    <col min="2294" max="2294" width="14.85546875" style="184" customWidth="1"/>
    <col min="2295" max="2299" width="14" style="184" customWidth="1"/>
    <col min="2300" max="2300" width="15.5703125" style="184" customWidth="1"/>
    <col min="2301" max="2301" width="14.5703125" style="184" customWidth="1"/>
    <col min="2302" max="2302" width="14.85546875" style="184" customWidth="1"/>
    <col min="2303" max="2303" width="13" style="184" customWidth="1"/>
    <col min="2304" max="2304" width="14.42578125" style="184" customWidth="1"/>
    <col min="2305" max="2305" width="14.140625" style="184" customWidth="1"/>
    <col min="2306" max="2306" width="15.42578125" style="184" customWidth="1"/>
    <col min="2307" max="2307" width="14.42578125" style="184" customWidth="1"/>
    <col min="2308" max="2308" width="14" style="184" customWidth="1"/>
    <col min="2309" max="2309" width="15.85546875" style="184" customWidth="1"/>
    <col min="2310" max="2310" width="13.7109375" style="184" bestFit="1" customWidth="1"/>
    <col min="2311" max="2311" width="10.140625" style="184" customWidth="1"/>
    <col min="2312" max="2312" width="11.7109375" style="184" customWidth="1"/>
    <col min="2313" max="2313" width="16" style="184" customWidth="1"/>
    <col min="2314" max="2314" width="15.42578125" style="184" customWidth="1"/>
    <col min="2315" max="2315" width="15.5703125" style="184" customWidth="1"/>
    <col min="2316" max="2316" width="16.140625" style="184" customWidth="1"/>
    <col min="2317" max="2317" width="13.85546875" style="184" customWidth="1"/>
    <col min="2318" max="2318" width="15.42578125" style="184" customWidth="1"/>
    <col min="2319" max="2319" width="9.28515625" style="184" bestFit="1" customWidth="1"/>
    <col min="2320" max="2539" width="9.140625" style="184"/>
    <col min="2540" max="2540" width="4.7109375" style="184" customWidth="1"/>
    <col min="2541" max="2541" width="30.28515625" style="184" customWidth="1"/>
    <col min="2542" max="2542" width="19.42578125" style="184" customWidth="1"/>
    <col min="2543" max="2543" width="10.85546875" style="184" customWidth="1"/>
    <col min="2544" max="2544" width="13.28515625" style="184" customWidth="1"/>
    <col min="2545" max="2545" width="12.42578125" style="184" customWidth="1"/>
    <col min="2546" max="2546" width="12.42578125" style="184" bestFit="1" customWidth="1"/>
    <col min="2547" max="2547" width="12.28515625" style="184" customWidth="1"/>
    <col min="2548" max="2548" width="14.42578125" style="184" customWidth="1"/>
    <col min="2549" max="2549" width="12.5703125" style="184" customWidth="1"/>
    <col min="2550" max="2550" width="14.85546875" style="184" customWidth="1"/>
    <col min="2551" max="2555" width="14" style="184" customWidth="1"/>
    <col min="2556" max="2556" width="15.5703125" style="184" customWidth="1"/>
    <col min="2557" max="2557" width="14.5703125" style="184" customWidth="1"/>
    <col min="2558" max="2558" width="14.85546875" style="184" customWidth="1"/>
    <col min="2559" max="2559" width="13" style="184" customWidth="1"/>
    <col min="2560" max="2560" width="14.42578125" style="184" customWidth="1"/>
    <col min="2561" max="2561" width="14.140625" style="184" customWidth="1"/>
    <col min="2562" max="2562" width="15.42578125" style="184" customWidth="1"/>
    <col min="2563" max="2563" width="14.42578125" style="184" customWidth="1"/>
    <col min="2564" max="2564" width="14" style="184" customWidth="1"/>
    <col min="2565" max="2565" width="15.85546875" style="184" customWidth="1"/>
    <col min="2566" max="2566" width="13.7109375" style="184" bestFit="1" customWidth="1"/>
    <col min="2567" max="2567" width="10.140625" style="184" customWidth="1"/>
    <col min="2568" max="2568" width="11.7109375" style="184" customWidth="1"/>
    <col min="2569" max="2569" width="16" style="184" customWidth="1"/>
    <col min="2570" max="2570" width="15.42578125" style="184" customWidth="1"/>
    <col min="2571" max="2571" width="15.5703125" style="184" customWidth="1"/>
    <col min="2572" max="2572" width="16.140625" style="184" customWidth="1"/>
    <col min="2573" max="2573" width="13.85546875" style="184" customWidth="1"/>
    <col min="2574" max="2574" width="15.42578125" style="184" customWidth="1"/>
    <col min="2575" max="2575" width="9.28515625" style="184" bestFit="1" customWidth="1"/>
    <col min="2576" max="2795" width="9.140625" style="184"/>
    <col min="2796" max="2796" width="4.7109375" style="184" customWidth="1"/>
    <col min="2797" max="2797" width="30.28515625" style="184" customWidth="1"/>
    <col min="2798" max="2798" width="19.42578125" style="184" customWidth="1"/>
    <col min="2799" max="2799" width="10.85546875" style="184" customWidth="1"/>
    <col min="2800" max="2800" width="13.28515625" style="184" customWidth="1"/>
    <col min="2801" max="2801" width="12.42578125" style="184" customWidth="1"/>
    <col min="2802" max="2802" width="12.42578125" style="184" bestFit="1" customWidth="1"/>
    <col min="2803" max="2803" width="12.28515625" style="184" customWidth="1"/>
    <col min="2804" max="2804" width="14.42578125" style="184" customWidth="1"/>
    <col min="2805" max="2805" width="12.5703125" style="184" customWidth="1"/>
    <col min="2806" max="2806" width="14.85546875" style="184" customWidth="1"/>
    <col min="2807" max="2811" width="14" style="184" customWidth="1"/>
    <col min="2812" max="2812" width="15.5703125" style="184" customWidth="1"/>
    <col min="2813" max="2813" width="14.5703125" style="184" customWidth="1"/>
    <col min="2814" max="2814" width="14.85546875" style="184" customWidth="1"/>
    <col min="2815" max="2815" width="13" style="184" customWidth="1"/>
    <col min="2816" max="2816" width="14.42578125" style="184" customWidth="1"/>
    <col min="2817" max="2817" width="14.140625" style="184" customWidth="1"/>
    <col min="2818" max="2818" width="15.42578125" style="184" customWidth="1"/>
    <col min="2819" max="2819" width="14.42578125" style="184" customWidth="1"/>
    <col min="2820" max="2820" width="14" style="184" customWidth="1"/>
    <col min="2821" max="2821" width="15.85546875" style="184" customWidth="1"/>
    <col min="2822" max="2822" width="13.7109375" style="184" bestFit="1" customWidth="1"/>
    <col min="2823" max="2823" width="10.140625" style="184" customWidth="1"/>
    <col min="2824" max="2824" width="11.7109375" style="184" customWidth="1"/>
    <col min="2825" max="2825" width="16" style="184" customWidth="1"/>
    <col min="2826" max="2826" width="15.42578125" style="184" customWidth="1"/>
    <col min="2827" max="2827" width="15.5703125" style="184" customWidth="1"/>
    <col min="2828" max="2828" width="16.140625" style="184" customWidth="1"/>
    <col min="2829" max="2829" width="13.85546875" style="184" customWidth="1"/>
    <col min="2830" max="2830" width="15.42578125" style="184" customWidth="1"/>
    <col min="2831" max="2831" width="9.28515625" style="184" bestFit="1" customWidth="1"/>
    <col min="2832" max="3051" width="9.140625" style="184"/>
    <col min="3052" max="3052" width="4.7109375" style="184" customWidth="1"/>
    <col min="3053" max="3053" width="30.28515625" style="184" customWidth="1"/>
    <col min="3054" max="3054" width="19.42578125" style="184" customWidth="1"/>
    <col min="3055" max="3055" width="10.85546875" style="184" customWidth="1"/>
    <col min="3056" max="3056" width="13.28515625" style="184" customWidth="1"/>
    <col min="3057" max="3057" width="12.42578125" style="184" customWidth="1"/>
    <col min="3058" max="3058" width="12.42578125" style="184" bestFit="1" customWidth="1"/>
    <col min="3059" max="3059" width="12.28515625" style="184" customWidth="1"/>
    <col min="3060" max="3060" width="14.42578125" style="184" customWidth="1"/>
    <col min="3061" max="3061" width="12.5703125" style="184" customWidth="1"/>
    <col min="3062" max="3062" width="14.85546875" style="184" customWidth="1"/>
    <col min="3063" max="3067" width="14" style="184" customWidth="1"/>
    <col min="3068" max="3068" width="15.5703125" style="184" customWidth="1"/>
    <col min="3069" max="3069" width="14.5703125" style="184" customWidth="1"/>
    <col min="3070" max="3070" width="14.85546875" style="184" customWidth="1"/>
    <col min="3071" max="3071" width="13" style="184" customWidth="1"/>
    <col min="3072" max="3072" width="14.42578125" style="184" customWidth="1"/>
    <col min="3073" max="3073" width="14.140625" style="184" customWidth="1"/>
    <col min="3074" max="3074" width="15.42578125" style="184" customWidth="1"/>
    <col min="3075" max="3075" width="14.42578125" style="184" customWidth="1"/>
    <col min="3076" max="3076" width="14" style="184" customWidth="1"/>
    <col min="3077" max="3077" width="15.85546875" style="184" customWidth="1"/>
    <col min="3078" max="3078" width="13.7109375" style="184" bestFit="1" customWidth="1"/>
    <col min="3079" max="3079" width="10.140625" style="184" customWidth="1"/>
    <col min="3080" max="3080" width="11.7109375" style="184" customWidth="1"/>
    <col min="3081" max="3081" width="16" style="184" customWidth="1"/>
    <col min="3082" max="3082" width="15.42578125" style="184" customWidth="1"/>
    <col min="3083" max="3083" width="15.5703125" style="184" customWidth="1"/>
    <col min="3084" max="3084" width="16.140625" style="184" customWidth="1"/>
    <col min="3085" max="3085" width="13.85546875" style="184" customWidth="1"/>
    <col min="3086" max="3086" width="15.42578125" style="184" customWidth="1"/>
    <col min="3087" max="3087" width="9.28515625" style="184" bestFit="1" customWidth="1"/>
    <col min="3088" max="3307" width="9.140625" style="184"/>
    <col min="3308" max="3308" width="4.7109375" style="184" customWidth="1"/>
    <col min="3309" max="3309" width="30.28515625" style="184" customWidth="1"/>
    <col min="3310" max="3310" width="19.42578125" style="184" customWidth="1"/>
    <col min="3311" max="3311" width="10.85546875" style="184" customWidth="1"/>
    <col min="3312" max="3312" width="13.28515625" style="184" customWidth="1"/>
    <col min="3313" max="3313" width="12.42578125" style="184" customWidth="1"/>
    <col min="3314" max="3314" width="12.42578125" style="184" bestFit="1" customWidth="1"/>
    <col min="3315" max="3315" width="12.28515625" style="184" customWidth="1"/>
    <col min="3316" max="3316" width="14.42578125" style="184" customWidth="1"/>
    <col min="3317" max="3317" width="12.5703125" style="184" customWidth="1"/>
    <col min="3318" max="3318" width="14.85546875" style="184" customWidth="1"/>
    <col min="3319" max="3323" width="14" style="184" customWidth="1"/>
    <col min="3324" max="3324" width="15.5703125" style="184" customWidth="1"/>
    <col min="3325" max="3325" width="14.5703125" style="184" customWidth="1"/>
    <col min="3326" max="3326" width="14.85546875" style="184" customWidth="1"/>
    <col min="3327" max="3327" width="13" style="184" customWidth="1"/>
    <col min="3328" max="3328" width="14.42578125" style="184" customWidth="1"/>
    <col min="3329" max="3329" width="14.140625" style="184" customWidth="1"/>
    <col min="3330" max="3330" width="15.42578125" style="184" customWidth="1"/>
    <col min="3331" max="3331" width="14.42578125" style="184" customWidth="1"/>
    <col min="3332" max="3332" width="14" style="184" customWidth="1"/>
    <col min="3333" max="3333" width="15.85546875" style="184" customWidth="1"/>
    <col min="3334" max="3334" width="13.7109375" style="184" bestFit="1" customWidth="1"/>
    <col min="3335" max="3335" width="10.140625" style="184" customWidth="1"/>
    <col min="3336" max="3336" width="11.7109375" style="184" customWidth="1"/>
    <col min="3337" max="3337" width="16" style="184" customWidth="1"/>
    <col min="3338" max="3338" width="15.42578125" style="184" customWidth="1"/>
    <col min="3339" max="3339" width="15.5703125" style="184" customWidth="1"/>
    <col min="3340" max="3340" width="16.140625" style="184" customWidth="1"/>
    <col min="3341" max="3341" width="13.85546875" style="184" customWidth="1"/>
    <col min="3342" max="3342" width="15.42578125" style="184" customWidth="1"/>
    <col min="3343" max="3343" width="9.28515625" style="184" bestFit="1" customWidth="1"/>
    <col min="3344" max="3563" width="9.140625" style="184"/>
    <col min="3564" max="3564" width="4.7109375" style="184" customWidth="1"/>
    <col min="3565" max="3565" width="30.28515625" style="184" customWidth="1"/>
    <col min="3566" max="3566" width="19.42578125" style="184" customWidth="1"/>
    <col min="3567" max="3567" width="10.85546875" style="184" customWidth="1"/>
    <col min="3568" max="3568" width="13.28515625" style="184" customWidth="1"/>
    <col min="3569" max="3569" width="12.42578125" style="184" customWidth="1"/>
    <col min="3570" max="3570" width="12.42578125" style="184" bestFit="1" customWidth="1"/>
    <col min="3571" max="3571" width="12.28515625" style="184" customWidth="1"/>
    <col min="3572" max="3572" width="14.42578125" style="184" customWidth="1"/>
    <col min="3573" max="3573" width="12.5703125" style="184" customWidth="1"/>
    <col min="3574" max="3574" width="14.85546875" style="184" customWidth="1"/>
    <col min="3575" max="3579" width="14" style="184" customWidth="1"/>
    <col min="3580" max="3580" width="15.5703125" style="184" customWidth="1"/>
    <col min="3581" max="3581" width="14.5703125" style="184" customWidth="1"/>
    <col min="3582" max="3582" width="14.85546875" style="184" customWidth="1"/>
    <col min="3583" max="3583" width="13" style="184" customWidth="1"/>
    <col min="3584" max="3584" width="14.42578125" style="184" customWidth="1"/>
    <col min="3585" max="3585" width="14.140625" style="184" customWidth="1"/>
    <col min="3586" max="3586" width="15.42578125" style="184" customWidth="1"/>
    <col min="3587" max="3587" width="14.42578125" style="184" customWidth="1"/>
    <col min="3588" max="3588" width="14" style="184" customWidth="1"/>
    <col min="3589" max="3589" width="15.85546875" style="184" customWidth="1"/>
    <col min="3590" max="3590" width="13.7109375" style="184" bestFit="1" customWidth="1"/>
    <col min="3591" max="3591" width="10.140625" style="184" customWidth="1"/>
    <col min="3592" max="3592" width="11.7109375" style="184" customWidth="1"/>
    <col min="3593" max="3593" width="16" style="184" customWidth="1"/>
    <col min="3594" max="3594" width="15.42578125" style="184" customWidth="1"/>
    <col min="3595" max="3595" width="15.5703125" style="184" customWidth="1"/>
    <col min="3596" max="3596" width="16.140625" style="184" customWidth="1"/>
    <col min="3597" max="3597" width="13.85546875" style="184" customWidth="1"/>
    <col min="3598" max="3598" width="15.42578125" style="184" customWidth="1"/>
    <col min="3599" max="3599" width="9.28515625" style="184" bestFit="1" customWidth="1"/>
    <col min="3600" max="3819" width="9.140625" style="184"/>
    <col min="3820" max="3820" width="4.7109375" style="184" customWidth="1"/>
    <col min="3821" max="3821" width="30.28515625" style="184" customWidth="1"/>
    <col min="3822" max="3822" width="19.42578125" style="184" customWidth="1"/>
    <col min="3823" max="3823" width="10.85546875" style="184" customWidth="1"/>
    <col min="3824" max="3824" width="13.28515625" style="184" customWidth="1"/>
    <col min="3825" max="3825" width="12.42578125" style="184" customWidth="1"/>
    <col min="3826" max="3826" width="12.42578125" style="184" bestFit="1" customWidth="1"/>
    <col min="3827" max="3827" width="12.28515625" style="184" customWidth="1"/>
    <col min="3828" max="3828" width="14.42578125" style="184" customWidth="1"/>
    <col min="3829" max="3829" width="12.5703125" style="184" customWidth="1"/>
    <col min="3830" max="3830" width="14.85546875" style="184" customWidth="1"/>
    <col min="3831" max="3835" width="14" style="184" customWidth="1"/>
    <col min="3836" max="3836" width="15.5703125" style="184" customWidth="1"/>
    <col min="3837" max="3837" width="14.5703125" style="184" customWidth="1"/>
    <col min="3838" max="3838" width="14.85546875" style="184" customWidth="1"/>
    <col min="3839" max="3839" width="13" style="184" customWidth="1"/>
    <col min="3840" max="3840" width="14.42578125" style="184" customWidth="1"/>
    <col min="3841" max="3841" width="14.140625" style="184" customWidth="1"/>
    <col min="3842" max="3842" width="15.42578125" style="184" customWidth="1"/>
    <col min="3843" max="3843" width="14.42578125" style="184" customWidth="1"/>
    <col min="3844" max="3844" width="14" style="184" customWidth="1"/>
    <col min="3845" max="3845" width="15.85546875" style="184" customWidth="1"/>
    <col min="3846" max="3846" width="13.7109375" style="184" bestFit="1" customWidth="1"/>
    <col min="3847" max="3847" width="10.140625" style="184" customWidth="1"/>
    <col min="3848" max="3848" width="11.7109375" style="184" customWidth="1"/>
    <col min="3849" max="3849" width="16" style="184" customWidth="1"/>
    <col min="3850" max="3850" width="15.42578125" style="184" customWidth="1"/>
    <col min="3851" max="3851" width="15.5703125" style="184" customWidth="1"/>
    <col min="3852" max="3852" width="16.140625" style="184" customWidth="1"/>
    <col min="3853" max="3853" width="13.85546875" style="184" customWidth="1"/>
    <col min="3854" max="3854" width="15.42578125" style="184" customWidth="1"/>
    <col min="3855" max="3855" width="9.28515625" style="184" bestFit="1" customWidth="1"/>
    <col min="3856" max="4075" width="9.140625" style="184"/>
    <col min="4076" max="4076" width="4.7109375" style="184" customWidth="1"/>
    <col min="4077" max="4077" width="30.28515625" style="184" customWidth="1"/>
    <col min="4078" max="4078" width="19.42578125" style="184" customWidth="1"/>
    <col min="4079" max="4079" width="10.85546875" style="184" customWidth="1"/>
    <col min="4080" max="4080" width="13.28515625" style="184" customWidth="1"/>
    <col min="4081" max="4081" width="12.42578125" style="184" customWidth="1"/>
    <col min="4082" max="4082" width="12.42578125" style="184" bestFit="1" customWidth="1"/>
    <col min="4083" max="4083" width="12.28515625" style="184" customWidth="1"/>
    <col min="4084" max="4084" width="14.42578125" style="184" customWidth="1"/>
    <col min="4085" max="4085" width="12.5703125" style="184" customWidth="1"/>
    <col min="4086" max="4086" width="14.85546875" style="184" customWidth="1"/>
    <col min="4087" max="4091" width="14" style="184" customWidth="1"/>
    <col min="4092" max="4092" width="15.5703125" style="184" customWidth="1"/>
    <col min="4093" max="4093" width="14.5703125" style="184" customWidth="1"/>
    <col min="4094" max="4094" width="14.85546875" style="184" customWidth="1"/>
    <col min="4095" max="4095" width="13" style="184" customWidth="1"/>
    <col min="4096" max="4096" width="14.42578125" style="184" customWidth="1"/>
    <col min="4097" max="4097" width="14.140625" style="184" customWidth="1"/>
    <col min="4098" max="4098" width="15.42578125" style="184" customWidth="1"/>
    <col min="4099" max="4099" width="14.42578125" style="184" customWidth="1"/>
    <col min="4100" max="4100" width="14" style="184" customWidth="1"/>
    <col min="4101" max="4101" width="15.85546875" style="184" customWidth="1"/>
    <col min="4102" max="4102" width="13.7109375" style="184" bestFit="1" customWidth="1"/>
    <col min="4103" max="4103" width="10.140625" style="184" customWidth="1"/>
    <col min="4104" max="4104" width="11.7109375" style="184" customWidth="1"/>
    <col min="4105" max="4105" width="16" style="184" customWidth="1"/>
    <col min="4106" max="4106" width="15.42578125" style="184" customWidth="1"/>
    <col min="4107" max="4107" width="15.5703125" style="184" customWidth="1"/>
    <col min="4108" max="4108" width="16.140625" style="184" customWidth="1"/>
    <col min="4109" max="4109" width="13.85546875" style="184" customWidth="1"/>
    <col min="4110" max="4110" width="15.42578125" style="184" customWidth="1"/>
    <col min="4111" max="4111" width="9.28515625" style="184" bestFit="1" customWidth="1"/>
    <col min="4112" max="4331" width="9.140625" style="184"/>
    <col min="4332" max="4332" width="4.7109375" style="184" customWidth="1"/>
    <col min="4333" max="4333" width="30.28515625" style="184" customWidth="1"/>
    <col min="4334" max="4334" width="19.42578125" style="184" customWidth="1"/>
    <col min="4335" max="4335" width="10.85546875" style="184" customWidth="1"/>
    <col min="4336" max="4336" width="13.28515625" style="184" customWidth="1"/>
    <col min="4337" max="4337" width="12.42578125" style="184" customWidth="1"/>
    <col min="4338" max="4338" width="12.42578125" style="184" bestFit="1" customWidth="1"/>
    <col min="4339" max="4339" width="12.28515625" style="184" customWidth="1"/>
    <col min="4340" max="4340" width="14.42578125" style="184" customWidth="1"/>
    <col min="4341" max="4341" width="12.5703125" style="184" customWidth="1"/>
    <col min="4342" max="4342" width="14.85546875" style="184" customWidth="1"/>
    <col min="4343" max="4347" width="14" style="184" customWidth="1"/>
    <col min="4348" max="4348" width="15.5703125" style="184" customWidth="1"/>
    <col min="4349" max="4349" width="14.5703125" style="184" customWidth="1"/>
    <col min="4350" max="4350" width="14.85546875" style="184" customWidth="1"/>
    <col min="4351" max="4351" width="13" style="184" customWidth="1"/>
    <col min="4352" max="4352" width="14.42578125" style="184" customWidth="1"/>
    <col min="4353" max="4353" width="14.140625" style="184" customWidth="1"/>
    <col min="4354" max="4354" width="15.42578125" style="184" customWidth="1"/>
    <col min="4355" max="4355" width="14.42578125" style="184" customWidth="1"/>
    <col min="4356" max="4356" width="14" style="184" customWidth="1"/>
    <col min="4357" max="4357" width="15.85546875" style="184" customWidth="1"/>
    <col min="4358" max="4358" width="13.7109375" style="184" bestFit="1" customWidth="1"/>
    <col min="4359" max="4359" width="10.140625" style="184" customWidth="1"/>
    <col min="4360" max="4360" width="11.7109375" style="184" customWidth="1"/>
    <col min="4361" max="4361" width="16" style="184" customWidth="1"/>
    <col min="4362" max="4362" width="15.42578125" style="184" customWidth="1"/>
    <col min="4363" max="4363" width="15.5703125" style="184" customWidth="1"/>
    <col min="4364" max="4364" width="16.140625" style="184" customWidth="1"/>
    <col min="4365" max="4365" width="13.85546875" style="184" customWidth="1"/>
    <col min="4366" max="4366" width="15.42578125" style="184" customWidth="1"/>
    <col min="4367" max="4367" width="9.28515625" style="184" bestFit="1" customWidth="1"/>
    <col min="4368" max="4587" width="9.140625" style="184"/>
    <col min="4588" max="4588" width="4.7109375" style="184" customWidth="1"/>
    <col min="4589" max="4589" width="30.28515625" style="184" customWidth="1"/>
    <col min="4590" max="4590" width="19.42578125" style="184" customWidth="1"/>
    <col min="4591" max="4591" width="10.85546875" style="184" customWidth="1"/>
    <col min="4592" max="4592" width="13.28515625" style="184" customWidth="1"/>
    <col min="4593" max="4593" width="12.42578125" style="184" customWidth="1"/>
    <col min="4594" max="4594" width="12.42578125" style="184" bestFit="1" customWidth="1"/>
    <col min="4595" max="4595" width="12.28515625" style="184" customWidth="1"/>
    <col min="4596" max="4596" width="14.42578125" style="184" customWidth="1"/>
    <col min="4597" max="4597" width="12.5703125" style="184" customWidth="1"/>
    <col min="4598" max="4598" width="14.85546875" style="184" customWidth="1"/>
    <col min="4599" max="4603" width="14" style="184" customWidth="1"/>
    <col min="4604" max="4604" width="15.5703125" style="184" customWidth="1"/>
    <col min="4605" max="4605" width="14.5703125" style="184" customWidth="1"/>
    <col min="4606" max="4606" width="14.85546875" style="184" customWidth="1"/>
    <col min="4607" max="4607" width="13" style="184" customWidth="1"/>
    <col min="4608" max="4608" width="14.42578125" style="184" customWidth="1"/>
    <col min="4609" max="4609" width="14.140625" style="184" customWidth="1"/>
    <col min="4610" max="4610" width="15.42578125" style="184" customWidth="1"/>
    <col min="4611" max="4611" width="14.42578125" style="184" customWidth="1"/>
    <col min="4612" max="4612" width="14" style="184" customWidth="1"/>
    <col min="4613" max="4613" width="15.85546875" style="184" customWidth="1"/>
    <col min="4614" max="4614" width="13.7109375" style="184" bestFit="1" customWidth="1"/>
    <col min="4615" max="4615" width="10.140625" style="184" customWidth="1"/>
    <col min="4616" max="4616" width="11.7109375" style="184" customWidth="1"/>
    <col min="4617" max="4617" width="16" style="184" customWidth="1"/>
    <col min="4618" max="4618" width="15.42578125" style="184" customWidth="1"/>
    <col min="4619" max="4619" width="15.5703125" style="184" customWidth="1"/>
    <col min="4620" max="4620" width="16.140625" style="184" customWidth="1"/>
    <col min="4621" max="4621" width="13.85546875" style="184" customWidth="1"/>
    <col min="4622" max="4622" width="15.42578125" style="184" customWidth="1"/>
    <col min="4623" max="4623" width="9.28515625" style="184" bestFit="1" customWidth="1"/>
    <col min="4624" max="4843" width="9.140625" style="184"/>
    <col min="4844" max="4844" width="4.7109375" style="184" customWidth="1"/>
    <col min="4845" max="4845" width="30.28515625" style="184" customWidth="1"/>
    <col min="4846" max="4846" width="19.42578125" style="184" customWidth="1"/>
    <col min="4847" max="4847" width="10.85546875" style="184" customWidth="1"/>
    <col min="4848" max="4848" width="13.28515625" style="184" customWidth="1"/>
    <col min="4849" max="4849" width="12.42578125" style="184" customWidth="1"/>
    <col min="4850" max="4850" width="12.42578125" style="184" bestFit="1" customWidth="1"/>
    <col min="4851" max="4851" width="12.28515625" style="184" customWidth="1"/>
    <col min="4852" max="4852" width="14.42578125" style="184" customWidth="1"/>
    <col min="4853" max="4853" width="12.5703125" style="184" customWidth="1"/>
    <col min="4854" max="4854" width="14.85546875" style="184" customWidth="1"/>
    <col min="4855" max="4859" width="14" style="184" customWidth="1"/>
    <col min="4860" max="4860" width="15.5703125" style="184" customWidth="1"/>
    <col min="4861" max="4861" width="14.5703125" style="184" customWidth="1"/>
    <col min="4862" max="4862" width="14.85546875" style="184" customWidth="1"/>
    <col min="4863" max="4863" width="13" style="184" customWidth="1"/>
    <col min="4864" max="4864" width="14.42578125" style="184" customWidth="1"/>
    <col min="4865" max="4865" width="14.140625" style="184" customWidth="1"/>
    <col min="4866" max="4866" width="15.42578125" style="184" customWidth="1"/>
    <col min="4867" max="4867" width="14.42578125" style="184" customWidth="1"/>
    <col min="4868" max="4868" width="14" style="184" customWidth="1"/>
    <col min="4869" max="4869" width="15.85546875" style="184" customWidth="1"/>
    <col min="4870" max="4870" width="13.7109375" style="184" bestFit="1" customWidth="1"/>
    <col min="4871" max="4871" width="10.140625" style="184" customWidth="1"/>
    <col min="4872" max="4872" width="11.7109375" style="184" customWidth="1"/>
    <col min="4873" max="4873" width="16" style="184" customWidth="1"/>
    <col min="4874" max="4874" width="15.42578125" style="184" customWidth="1"/>
    <col min="4875" max="4875" width="15.5703125" style="184" customWidth="1"/>
    <col min="4876" max="4876" width="16.140625" style="184" customWidth="1"/>
    <col min="4877" max="4877" width="13.85546875" style="184" customWidth="1"/>
    <col min="4878" max="4878" width="15.42578125" style="184" customWidth="1"/>
    <col min="4879" max="4879" width="9.28515625" style="184" bestFit="1" customWidth="1"/>
    <col min="4880" max="5099" width="9.140625" style="184"/>
    <col min="5100" max="5100" width="4.7109375" style="184" customWidth="1"/>
    <col min="5101" max="5101" width="30.28515625" style="184" customWidth="1"/>
    <col min="5102" max="5102" width="19.42578125" style="184" customWidth="1"/>
    <col min="5103" max="5103" width="10.85546875" style="184" customWidth="1"/>
    <col min="5104" max="5104" width="13.28515625" style="184" customWidth="1"/>
    <col min="5105" max="5105" width="12.42578125" style="184" customWidth="1"/>
    <col min="5106" max="5106" width="12.42578125" style="184" bestFit="1" customWidth="1"/>
    <col min="5107" max="5107" width="12.28515625" style="184" customWidth="1"/>
    <col min="5108" max="5108" width="14.42578125" style="184" customWidth="1"/>
    <col min="5109" max="5109" width="12.5703125" style="184" customWidth="1"/>
    <col min="5110" max="5110" width="14.85546875" style="184" customWidth="1"/>
    <col min="5111" max="5115" width="14" style="184" customWidth="1"/>
    <col min="5116" max="5116" width="15.5703125" style="184" customWidth="1"/>
    <col min="5117" max="5117" width="14.5703125" style="184" customWidth="1"/>
    <col min="5118" max="5118" width="14.85546875" style="184" customWidth="1"/>
    <col min="5119" max="5119" width="13" style="184" customWidth="1"/>
    <col min="5120" max="5120" width="14.42578125" style="184" customWidth="1"/>
    <col min="5121" max="5121" width="14.140625" style="184" customWidth="1"/>
    <col min="5122" max="5122" width="15.42578125" style="184" customWidth="1"/>
    <col min="5123" max="5123" width="14.42578125" style="184" customWidth="1"/>
    <col min="5124" max="5124" width="14" style="184" customWidth="1"/>
    <col min="5125" max="5125" width="15.85546875" style="184" customWidth="1"/>
    <col min="5126" max="5126" width="13.7109375" style="184" bestFit="1" customWidth="1"/>
    <col min="5127" max="5127" width="10.140625" style="184" customWidth="1"/>
    <col min="5128" max="5128" width="11.7109375" style="184" customWidth="1"/>
    <col min="5129" max="5129" width="16" style="184" customWidth="1"/>
    <col min="5130" max="5130" width="15.42578125" style="184" customWidth="1"/>
    <col min="5131" max="5131" width="15.5703125" style="184" customWidth="1"/>
    <col min="5132" max="5132" width="16.140625" style="184" customWidth="1"/>
    <col min="5133" max="5133" width="13.85546875" style="184" customWidth="1"/>
    <col min="5134" max="5134" width="15.42578125" style="184" customWidth="1"/>
    <col min="5135" max="5135" width="9.28515625" style="184" bestFit="1" customWidth="1"/>
    <col min="5136" max="5355" width="9.140625" style="184"/>
    <col min="5356" max="5356" width="4.7109375" style="184" customWidth="1"/>
    <col min="5357" max="5357" width="30.28515625" style="184" customWidth="1"/>
    <col min="5358" max="5358" width="19.42578125" style="184" customWidth="1"/>
    <col min="5359" max="5359" width="10.85546875" style="184" customWidth="1"/>
    <col min="5360" max="5360" width="13.28515625" style="184" customWidth="1"/>
    <col min="5361" max="5361" width="12.42578125" style="184" customWidth="1"/>
    <col min="5362" max="5362" width="12.42578125" style="184" bestFit="1" customWidth="1"/>
    <col min="5363" max="5363" width="12.28515625" style="184" customWidth="1"/>
    <col min="5364" max="5364" width="14.42578125" style="184" customWidth="1"/>
    <col min="5365" max="5365" width="12.5703125" style="184" customWidth="1"/>
    <col min="5366" max="5366" width="14.85546875" style="184" customWidth="1"/>
    <col min="5367" max="5371" width="14" style="184" customWidth="1"/>
    <col min="5372" max="5372" width="15.5703125" style="184" customWidth="1"/>
    <col min="5373" max="5373" width="14.5703125" style="184" customWidth="1"/>
    <col min="5374" max="5374" width="14.85546875" style="184" customWidth="1"/>
    <col min="5375" max="5375" width="13" style="184" customWidth="1"/>
    <col min="5376" max="5376" width="14.42578125" style="184" customWidth="1"/>
    <col min="5377" max="5377" width="14.140625" style="184" customWidth="1"/>
    <col min="5378" max="5378" width="15.42578125" style="184" customWidth="1"/>
    <col min="5379" max="5379" width="14.42578125" style="184" customWidth="1"/>
    <col min="5380" max="5380" width="14" style="184" customWidth="1"/>
    <col min="5381" max="5381" width="15.85546875" style="184" customWidth="1"/>
    <col min="5382" max="5382" width="13.7109375" style="184" bestFit="1" customWidth="1"/>
    <col min="5383" max="5383" width="10.140625" style="184" customWidth="1"/>
    <col min="5384" max="5384" width="11.7109375" style="184" customWidth="1"/>
    <col min="5385" max="5385" width="16" style="184" customWidth="1"/>
    <col min="5386" max="5386" width="15.42578125" style="184" customWidth="1"/>
    <col min="5387" max="5387" width="15.5703125" style="184" customWidth="1"/>
    <col min="5388" max="5388" width="16.140625" style="184" customWidth="1"/>
    <col min="5389" max="5389" width="13.85546875" style="184" customWidth="1"/>
    <col min="5390" max="5390" width="15.42578125" style="184" customWidth="1"/>
    <col min="5391" max="5391" width="9.28515625" style="184" bestFit="1" customWidth="1"/>
    <col min="5392" max="5611" width="9.140625" style="184"/>
    <col min="5612" max="5612" width="4.7109375" style="184" customWidth="1"/>
    <col min="5613" max="5613" width="30.28515625" style="184" customWidth="1"/>
    <col min="5614" max="5614" width="19.42578125" style="184" customWidth="1"/>
    <col min="5615" max="5615" width="10.85546875" style="184" customWidth="1"/>
    <col min="5616" max="5616" width="13.28515625" style="184" customWidth="1"/>
    <col min="5617" max="5617" width="12.42578125" style="184" customWidth="1"/>
    <col min="5618" max="5618" width="12.42578125" style="184" bestFit="1" customWidth="1"/>
    <col min="5619" max="5619" width="12.28515625" style="184" customWidth="1"/>
    <col min="5620" max="5620" width="14.42578125" style="184" customWidth="1"/>
    <col min="5621" max="5621" width="12.5703125" style="184" customWidth="1"/>
    <col min="5622" max="5622" width="14.85546875" style="184" customWidth="1"/>
    <col min="5623" max="5627" width="14" style="184" customWidth="1"/>
    <col min="5628" max="5628" width="15.5703125" style="184" customWidth="1"/>
    <col min="5629" max="5629" width="14.5703125" style="184" customWidth="1"/>
    <col min="5630" max="5630" width="14.85546875" style="184" customWidth="1"/>
    <col min="5631" max="5631" width="13" style="184" customWidth="1"/>
    <col min="5632" max="5632" width="14.42578125" style="184" customWidth="1"/>
    <col min="5633" max="5633" width="14.140625" style="184" customWidth="1"/>
    <col min="5634" max="5634" width="15.42578125" style="184" customWidth="1"/>
    <col min="5635" max="5635" width="14.42578125" style="184" customWidth="1"/>
    <col min="5636" max="5636" width="14" style="184" customWidth="1"/>
    <col min="5637" max="5637" width="15.85546875" style="184" customWidth="1"/>
    <col min="5638" max="5638" width="13.7109375" style="184" bestFit="1" customWidth="1"/>
    <col min="5639" max="5639" width="10.140625" style="184" customWidth="1"/>
    <col min="5640" max="5640" width="11.7109375" style="184" customWidth="1"/>
    <col min="5641" max="5641" width="16" style="184" customWidth="1"/>
    <col min="5642" max="5642" width="15.42578125" style="184" customWidth="1"/>
    <col min="5643" max="5643" width="15.5703125" style="184" customWidth="1"/>
    <col min="5644" max="5644" width="16.140625" style="184" customWidth="1"/>
    <col min="5645" max="5645" width="13.85546875" style="184" customWidth="1"/>
    <col min="5646" max="5646" width="15.42578125" style="184" customWidth="1"/>
    <col min="5647" max="5647" width="9.28515625" style="184" bestFit="1" customWidth="1"/>
    <col min="5648" max="5867" width="9.140625" style="184"/>
    <col min="5868" max="5868" width="4.7109375" style="184" customWidth="1"/>
    <col min="5869" max="5869" width="30.28515625" style="184" customWidth="1"/>
    <col min="5870" max="5870" width="19.42578125" style="184" customWidth="1"/>
    <col min="5871" max="5871" width="10.85546875" style="184" customWidth="1"/>
    <col min="5872" max="5872" width="13.28515625" style="184" customWidth="1"/>
    <col min="5873" max="5873" width="12.42578125" style="184" customWidth="1"/>
    <col min="5874" max="5874" width="12.42578125" style="184" bestFit="1" customWidth="1"/>
    <col min="5875" max="5875" width="12.28515625" style="184" customWidth="1"/>
    <col min="5876" max="5876" width="14.42578125" style="184" customWidth="1"/>
    <col min="5877" max="5877" width="12.5703125" style="184" customWidth="1"/>
    <col min="5878" max="5878" width="14.85546875" style="184" customWidth="1"/>
    <col min="5879" max="5883" width="14" style="184" customWidth="1"/>
    <col min="5884" max="5884" width="15.5703125" style="184" customWidth="1"/>
    <col min="5885" max="5885" width="14.5703125" style="184" customWidth="1"/>
    <col min="5886" max="5886" width="14.85546875" style="184" customWidth="1"/>
    <col min="5887" max="5887" width="13" style="184" customWidth="1"/>
    <col min="5888" max="5888" width="14.42578125" style="184" customWidth="1"/>
    <col min="5889" max="5889" width="14.140625" style="184" customWidth="1"/>
    <col min="5890" max="5890" width="15.42578125" style="184" customWidth="1"/>
    <col min="5891" max="5891" width="14.42578125" style="184" customWidth="1"/>
    <col min="5892" max="5892" width="14" style="184" customWidth="1"/>
    <col min="5893" max="5893" width="15.85546875" style="184" customWidth="1"/>
    <col min="5894" max="5894" width="13.7109375" style="184" bestFit="1" customWidth="1"/>
    <col min="5895" max="5895" width="10.140625" style="184" customWidth="1"/>
    <col min="5896" max="5896" width="11.7109375" style="184" customWidth="1"/>
    <col min="5897" max="5897" width="16" style="184" customWidth="1"/>
    <col min="5898" max="5898" width="15.42578125" style="184" customWidth="1"/>
    <col min="5899" max="5899" width="15.5703125" style="184" customWidth="1"/>
    <col min="5900" max="5900" width="16.140625" style="184" customWidth="1"/>
    <col min="5901" max="5901" width="13.85546875" style="184" customWidth="1"/>
    <col min="5902" max="5902" width="15.42578125" style="184" customWidth="1"/>
    <col min="5903" max="5903" width="9.28515625" style="184" bestFit="1" customWidth="1"/>
    <col min="5904" max="6123" width="9.140625" style="184"/>
    <col min="6124" max="6124" width="4.7109375" style="184" customWidth="1"/>
    <col min="6125" max="6125" width="30.28515625" style="184" customWidth="1"/>
    <col min="6126" max="6126" width="19.42578125" style="184" customWidth="1"/>
    <col min="6127" max="6127" width="10.85546875" style="184" customWidth="1"/>
    <col min="6128" max="6128" width="13.28515625" style="184" customWidth="1"/>
    <col min="6129" max="6129" width="12.42578125" style="184" customWidth="1"/>
    <col min="6130" max="6130" width="12.42578125" style="184" bestFit="1" customWidth="1"/>
    <col min="6131" max="6131" width="12.28515625" style="184" customWidth="1"/>
    <col min="6132" max="6132" width="14.42578125" style="184" customWidth="1"/>
    <col min="6133" max="6133" width="12.5703125" style="184" customWidth="1"/>
    <col min="6134" max="6134" width="14.85546875" style="184" customWidth="1"/>
    <col min="6135" max="6139" width="14" style="184" customWidth="1"/>
    <col min="6140" max="6140" width="15.5703125" style="184" customWidth="1"/>
    <col min="6141" max="6141" width="14.5703125" style="184" customWidth="1"/>
    <col min="6142" max="6142" width="14.85546875" style="184" customWidth="1"/>
    <col min="6143" max="6143" width="13" style="184" customWidth="1"/>
    <col min="6144" max="6144" width="14.42578125" style="184" customWidth="1"/>
    <col min="6145" max="6145" width="14.140625" style="184" customWidth="1"/>
    <col min="6146" max="6146" width="15.42578125" style="184" customWidth="1"/>
    <col min="6147" max="6147" width="14.42578125" style="184" customWidth="1"/>
    <col min="6148" max="6148" width="14" style="184" customWidth="1"/>
    <col min="6149" max="6149" width="15.85546875" style="184" customWidth="1"/>
    <col min="6150" max="6150" width="13.7109375" style="184" bestFit="1" customWidth="1"/>
    <col min="6151" max="6151" width="10.140625" style="184" customWidth="1"/>
    <col min="6152" max="6152" width="11.7109375" style="184" customWidth="1"/>
    <col min="6153" max="6153" width="16" style="184" customWidth="1"/>
    <col min="6154" max="6154" width="15.42578125" style="184" customWidth="1"/>
    <col min="6155" max="6155" width="15.5703125" style="184" customWidth="1"/>
    <col min="6156" max="6156" width="16.140625" style="184" customWidth="1"/>
    <col min="6157" max="6157" width="13.85546875" style="184" customWidth="1"/>
    <col min="6158" max="6158" width="15.42578125" style="184" customWidth="1"/>
    <col min="6159" max="6159" width="9.28515625" style="184" bestFit="1" customWidth="1"/>
    <col min="6160" max="6379" width="9.140625" style="184"/>
    <col min="6380" max="6380" width="4.7109375" style="184" customWidth="1"/>
    <col min="6381" max="6381" width="30.28515625" style="184" customWidth="1"/>
    <col min="6382" max="6382" width="19.42578125" style="184" customWidth="1"/>
    <col min="6383" max="6383" width="10.85546875" style="184" customWidth="1"/>
    <col min="6384" max="6384" width="13.28515625" style="184" customWidth="1"/>
    <col min="6385" max="6385" width="12.42578125" style="184" customWidth="1"/>
    <col min="6386" max="6386" width="12.42578125" style="184" bestFit="1" customWidth="1"/>
    <col min="6387" max="6387" width="12.28515625" style="184" customWidth="1"/>
    <col min="6388" max="6388" width="14.42578125" style="184" customWidth="1"/>
    <col min="6389" max="6389" width="12.5703125" style="184" customWidth="1"/>
    <col min="6390" max="6390" width="14.85546875" style="184" customWidth="1"/>
    <col min="6391" max="6395" width="14" style="184" customWidth="1"/>
    <col min="6396" max="6396" width="15.5703125" style="184" customWidth="1"/>
    <col min="6397" max="6397" width="14.5703125" style="184" customWidth="1"/>
    <col min="6398" max="6398" width="14.85546875" style="184" customWidth="1"/>
    <col min="6399" max="6399" width="13" style="184" customWidth="1"/>
    <col min="6400" max="6400" width="14.42578125" style="184" customWidth="1"/>
    <col min="6401" max="6401" width="14.140625" style="184" customWidth="1"/>
    <col min="6402" max="6402" width="15.42578125" style="184" customWidth="1"/>
    <col min="6403" max="6403" width="14.42578125" style="184" customWidth="1"/>
    <col min="6404" max="6404" width="14" style="184" customWidth="1"/>
    <col min="6405" max="6405" width="15.85546875" style="184" customWidth="1"/>
    <col min="6406" max="6406" width="13.7109375" style="184" bestFit="1" customWidth="1"/>
    <col min="6407" max="6407" width="10.140625" style="184" customWidth="1"/>
    <col min="6408" max="6408" width="11.7109375" style="184" customWidth="1"/>
    <col min="6409" max="6409" width="16" style="184" customWidth="1"/>
    <col min="6410" max="6410" width="15.42578125" style="184" customWidth="1"/>
    <col min="6411" max="6411" width="15.5703125" style="184" customWidth="1"/>
    <col min="6412" max="6412" width="16.140625" style="184" customWidth="1"/>
    <col min="6413" max="6413" width="13.85546875" style="184" customWidth="1"/>
    <col min="6414" max="6414" width="15.42578125" style="184" customWidth="1"/>
    <col min="6415" max="6415" width="9.28515625" style="184" bestFit="1" customWidth="1"/>
    <col min="6416" max="6635" width="9.140625" style="184"/>
    <col min="6636" max="6636" width="4.7109375" style="184" customWidth="1"/>
    <col min="6637" max="6637" width="30.28515625" style="184" customWidth="1"/>
    <col min="6638" max="6638" width="19.42578125" style="184" customWidth="1"/>
    <col min="6639" max="6639" width="10.85546875" style="184" customWidth="1"/>
    <col min="6640" max="6640" width="13.28515625" style="184" customWidth="1"/>
    <col min="6641" max="6641" width="12.42578125" style="184" customWidth="1"/>
    <col min="6642" max="6642" width="12.42578125" style="184" bestFit="1" customWidth="1"/>
    <col min="6643" max="6643" width="12.28515625" style="184" customWidth="1"/>
    <col min="6644" max="6644" width="14.42578125" style="184" customWidth="1"/>
    <col min="6645" max="6645" width="12.5703125" style="184" customWidth="1"/>
    <col min="6646" max="6646" width="14.85546875" style="184" customWidth="1"/>
    <col min="6647" max="6651" width="14" style="184" customWidth="1"/>
    <col min="6652" max="6652" width="15.5703125" style="184" customWidth="1"/>
    <col min="6653" max="6653" width="14.5703125" style="184" customWidth="1"/>
    <col min="6654" max="6654" width="14.85546875" style="184" customWidth="1"/>
    <col min="6655" max="6655" width="13" style="184" customWidth="1"/>
    <col min="6656" max="6656" width="14.42578125" style="184" customWidth="1"/>
    <col min="6657" max="6657" width="14.140625" style="184" customWidth="1"/>
    <col min="6658" max="6658" width="15.42578125" style="184" customWidth="1"/>
    <col min="6659" max="6659" width="14.42578125" style="184" customWidth="1"/>
    <col min="6660" max="6660" width="14" style="184" customWidth="1"/>
    <col min="6661" max="6661" width="15.85546875" style="184" customWidth="1"/>
    <col min="6662" max="6662" width="13.7109375" style="184" bestFit="1" customWidth="1"/>
    <col min="6663" max="6663" width="10.140625" style="184" customWidth="1"/>
    <col min="6664" max="6664" width="11.7109375" style="184" customWidth="1"/>
    <col min="6665" max="6665" width="16" style="184" customWidth="1"/>
    <col min="6666" max="6666" width="15.42578125" style="184" customWidth="1"/>
    <col min="6667" max="6667" width="15.5703125" style="184" customWidth="1"/>
    <col min="6668" max="6668" width="16.140625" style="184" customWidth="1"/>
    <col min="6669" max="6669" width="13.85546875" style="184" customWidth="1"/>
    <col min="6670" max="6670" width="15.42578125" style="184" customWidth="1"/>
    <col min="6671" max="6671" width="9.28515625" style="184" bestFit="1" customWidth="1"/>
    <col min="6672" max="6891" width="9.140625" style="184"/>
    <col min="6892" max="6892" width="4.7109375" style="184" customWidth="1"/>
    <col min="6893" max="6893" width="30.28515625" style="184" customWidth="1"/>
    <col min="6894" max="6894" width="19.42578125" style="184" customWidth="1"/>
    <col min="6895" max="6895" width="10.85546875" style="184" customWidth="1"/>
    <col min="6896" max="6896" width="13.28515625" style="184" customWidth="1"/>
    <col min="6897" max="6897" width="12.42578125" style="184" customWidth="1"/>
    <col min="6898" max="6898" width="12.42578125" style="184" bestFit="1" customWidth="1"/>
    <col min="6899" max="6899" width="12.28515625" style="184" customWidth="1"/>
    <col min="6900" max="6900" width="14.42578125" style="184" customWidth="1"/>
    <col min="6901" max="6901" width="12.5703125" style="184" customWidth="1"/>
    <col min="6902" max="6902" width="14.85546875" style="184" customWidth="1"/>
    <col min="6903" max="6907" width="14" style="184" customWidth="1"/>
    <col min="6908" max="6908" width="15.5703125" style="184" customWidth="1"/>
    <col min="6909" max="6909" width="14.5703125" style="184" customWidth="1"/>
    <col min="6910" max="6910" width="14.85546875" style="184" customWidth="1"/>
    <col min="6911" max="6911" width="13" style="184" customWidth="1"/>
    <col min="6912" max="6912" width="14.42578125" style="184" customWidth="1"/>
    <col min="6913" max="6913" width="14.140625" style="184" customWidth="1"/>
    <col min="6914" max="6914" width="15.42578125" style="184" customWidth="1"/>
    <col min="6915" max="6915" width="14.42578125" style="184" customWidth="1"/>
    <col min="6916" max="6916" width="14" style="184" customWidth="1"/>
    <col min="6917" max="6917" width="15.85546875" style="184" customWidth="1"/>
    <col min="6918" max="6918" width="13.7109375" style="184" bestFit="1" customWidth="1"/>
    <col min="6919" max="6919" width="10.140625" style="184" customWidth="1"/>
    <col min="6920" max="6920" width="11.7109375" style="184" customWidth="1"/>
    <col min="6921" max="6921" width="16" style="184" customWidth="1"/>
    <col min="6922" max="6922" width="15.42578125" style="184" customWidth="1"/>
    <col min="6923" max="6923" width="15.5703125" style="184" customWidth="1"/>
    <col min="6924" max="6924" width="16.140625" style="184" customWidth="1"/>
    <col min="6925" max="6925" width="13.85546875" style="184" customWidth="1"/>
    <col min="6926" max="6926" width="15.42578125" style="184" customWidth="1"/>
    <col min="6927" max="6927" width="9.28515625" style="184" bestFit="1" customWidth="1"/>
    <col min="6928" max="7147" width="9.140625" style="184"/>
    <col min="7148" max="7148" width="4.7109375" style="184" customWidth="1"/>
    <col min="7149" max="7149" width="30.28515625" style="184" customWidth="1"/>
    <col min="7150" max="7150" width="19.42578125" style="184" customWidth="1"/>
    <col min="7151" max="7151" width="10.85546875" style="184" customWidth="1"/>
    <col min="7152" max="7152" width="13.28515625" style="184" customWidth="1"/>
    <col min="7153" max="7153" width="12.42578125" style="184" customWidth="1"/>
    <col min="7154" max="7154" width="12.42578125" style="184" bestFit="1" customWidth="1"/>
    <col min="7155" max="7155" width="12.28515625" style="184" customWidth="1"/>
    <col min="7156" max="7156" width="14.42578125" style="184" customWidth="1"/>
    <col min="7157" max="7157" width="12.5703125" style="184" customWidth="1"/>
    <col min="7158" max="7158" width="14.85546875" style="184" customWidth="1"/>
    <col min="7159" max="7163" width="14" style="184" customWidth="1"/>
    <col min="7164" max="7164" width="15.5703125" style="184" customWidth="1"/>
    <col min="7165" max="7165" width="14.5703125" style="184" customWidth="1"/>
    <col min="7166" max="7166" width="14.85546875" style="184" customWidth="1"/>
    <col min="7167" max="7167" width="13" style="184" customWidth="1"/>
    <col min="7168" max="7168" width="14.42578125" style="184" customWidth="1"/>
    <col min="7169" max="7169" width="14.140625" style="184" customWidth="1"/>
    <col min="7170" max="7170" width="15.42578125" style="184" customWidth="1"/>
    <col min="7171" max="7171" width="14.42578125" style="184" customWidth="1"/>
    <col min="7172" max="7172" width="14" style="184" customWidth="1"/>
    <col min="7173" max="7173" width="15.85546875" style="184" customWidth="1"/>
    <col min="7174" max="7174" width="13.7109375" style="184" bestFit="1" customWidth="1"/>
    <col min="7175" max="7175" width="10.140625" style="184" customWidth="1"/>
    <col min="7176" max="7176" width="11.7109375" style="184" customWidth="1"/>
    <col min="7177" max="7177" width="16" style="184" customWidth="1"/>
    <col min="7178" max="7178" width="15.42578125" style="184" customWidth="1"/>
    <col min="7179" max="7179" width="15.5703125" style="184" customWidth="1"/>
    <col min="7180" max="7180" width="16.140625" style="184" customWidth="1"/>
    <col min="7181" max="7181" width="13.85546875" style="184" customWidth="1"/>
    <col min="7182" max="7182" width="15.42578125" style="184" customWidth="1"/>
    <col min="7183" max="7183" width="9.28515625" style="184" bestFit="1" customWidth="1"/>
    <col min="7184" max="7403" width="9.140625" style="184"/>
    <col min="7404" max="7404" width="4.7109375" style="184" customWidth="1"/>
    <col min="7405" max="7405" width="30.28515625" style="184" customWidth="1"/>
    <col min="7406" max="7406" width="19.42578125" style="184" customWidth="1"/>
    <col min="7407" max="7407" width="10.85546875" style="184" customWidth="1"/>
    <col min="7408" max="7408" width="13.28515625" style="184" customWidth="1"/>
    <col min="7409" max="7409" width="12.42578125" style="184" customWidth="1"/>
    <col min="7410" max="7410" width="12.42578125" style="184" bestFit="1" customWidth="1"/>
    <col min="7411" max="7411" width="12.28515625" style="184" customWidth="1"/>
    <col min="7412" max="7412" width="14.42578125" style="184" customWidth="1"/>
    <col min="7413" max="7413" width="12.5703125" style="184" customWidth="1"/>
    <col min="7414" max="7414" width="14.85546875" style="184" customWidth="1"/>
    <col min="7415" max="7419" width="14" style="184" customWidth="1"/>
    <col min="7420" max="7420" width="15.5703125" style="184" customWidth="1"/>
    <col min="7421" max="7421" width="14.5703125" style="184" customWidth="1"/>
    <col min="7422" max="7422" width="14.85546875" style="184" customWidth="1"/>
    <col min="7423" max="7423" width="13" style="184" customWidth="1"/>
    <col min="7424" max="7424" width="14.42578125" style="184" customWidth="1"/>
    <col min="7425" max="7425" width="14.140625" style="184" customWidth="1"/>
    <col min="7426" max="7426" width="15.42578125" style="184" customWidth="1"/>
    <col min="7427" max="7427" width="14.42578125" style="184" customWidth="1"/>
    <col min="7428" max="7428" width="14" style="184" customWidth="1"/>
    <col min="7429" max="7429" width="15.85546875" style="184" customWidth="1"/>
    <col min="7430" max="7430" width="13.7109375" style="184" bestFit="1" customWidth="1"/>
    <col min="7431" max="7431" width="10.140625" style="184" customWidth="1"/>
    <col min="7432" max="7432" width="11.7109375" style="184" customWidth="1"/>
    <col min="7433" max="7433" width="16" style="184" customWidth="1"/>
    <col min="7434" max="7434" width="15.42578125" style="184" customWidth="1"/>
    <col min="7435" max="7435" width="15.5703125" style="184" customWidth="1"/>
    <col min="7436" max="7436" width="16.140625" style="184" customWidth="1"/>
    <col min="7437" max="7437" width="13.85546875" style="184" customWidth="1"/>
    <col min="7438" max="7438" width="15.42578125" style="184" customWidth="1"/>
    <col min="7439" max="7439" width="9.28515625" style="184" bestFit="1" customWidth="1"/>
    <col min="7440" max="7659" width="9.140625" style="184"/>
    <col min="7660" max="7660" width="4.7109375" style="184" customWidth="1"/>
    <col min="7661" max="7661" width="30.28515625" style="184" customWidth="1"/>
    <col min="7662" max="7662" width="19.42578125" style="184" customWidth="1"/>
    <col min="7663" max="7663" width="10.85546875" style="184" customWidth="1"/>
    <col min="7664" max="7664" width="13.28515625" style="184" customWidth="1"/>
    <col min="7665" max="7665" width="12.42578125" style="184" customWidth="1"/>
    <col min="7666" max="7666" width="12.42578125" style="184" bestFit="1" customWidth="1"/>
    <col min="7667" max="7667" width="12.28515625" style="184" customWidth="1"/>
    <col min="7668" max="7668" width="14.42578125" style="184" customWidth="1"/>
    <col min="7669" max="7669" width="12.5703125" style="184" customWidth="1"/>
    <col min="7670" max="7670" width="14.85546875" style="184" customWidth="1"/>
    <col min="7671" max="7675" width="14" style="184" customWidth="1"/>
    <col min="7676" max="7676" width="15.5703125" style="184" customWidth="1"/>
    <col min="7677" max="7677" width="14.5703125" style="184" customWidth="1"/>
    <col min="7678" max="7678" width="14.85546875" style="184" customWidth="1"/>
    <col min="7679" max="7679" width="13" style="184" customWidth="1"/>
    <col min="7680" max="7680" width="14.42578125" style="184" customWidth="1"/>
    <col min="7681" max="7681" width="14.140625" style="184" customWidth="1"/>
    <col min="7682" max="7682" width="15.42578125" style="184" customWidth="1"/>
    <col min="7683" max="7683" width="14.42578125" style="184" customWidth="1"/>
    <col min="7684" max="7684" width="14" style="184" customWidth="1"/>
    <col min="7685" max="7685" width="15.85546875" style="184" customWidth="1"/>
    <col min="7686" max="7686" width="13.7109375" style="184" bestFit="1" customWidth="1"/>
    <col min="7687" max="7687" width="10.140625" style="184" customWidth="1"/>
    <col min="7688" max="7688" width="11.7109375" style="184" customWidth="1"/>
    <col min="7689" max="7689" width="16" style="184" customWidth="1"/>
    <col min="7690" max="7690" width="15.42578125" style="184" customWidth="1"/>
    <col min="7691" max="7691" width="15.5703125" style="184" customWidth="1"/>
    <col min="7692" max="7692" width="16.140625" style="184" customWidth="1"/>
    <col min="7693" max="7693" width="13.85546875" style="184" customWidth="1"/>
    <col min="7694" max="7694" width="15.42578125" style="184" customWidth="1"/>
    <col min="7695" max="7695" width="9.28515625" style="184" bestFit="1" customWidth="1"/>
    <col min="7696" max="7915" width="9.140625" style="184"/>
    <col min="7916" max="7916" width="4.7109375" style="184" customWidth="1"/>
    <col min="7917" max="7917" width="30.28515625" style="184" customWidth="1"/>
    <col min="7918" max="7918" width="19.42578125" style="184" customWidth="1"/>
    <col min="7919" max="7919" width="10.85546875" style="184" customWidth="1"/>
    <col min="7920" max="7920" width="13.28515625" style="184" customWidth="1"/>
    <col min="7921" max="7921" width="12.42578125" style="184" customWidth="1"/>
    <col min="7922" max="7922" width="12.42578125" style="184" bestFit="1" customWidth="1"/>
    <col min="7923" max="7923" width="12.28515625" style="184" customWidth="1"/>
    <col min="7924" max="7924" width="14.42578125" style="184" customWidth="1"/>
    <col min="7925" max="7925" width="12.5703125" style="184" customWidth="1"/>
    <col min="7926" max="7926" width="14.85546875" style="184" customWidth="1"/>
    <col min="7927" max="7931" width="14" style="184" customWidth="1"/>
    <col min="7932" max="7932" width="15.5703125" style="184" customWidth="1"/>
    <col min="7933" max="7933" width="14.5703125" style="184" customWidth="1"/>
    <col min="7934" max="7934" width="14.85546875" style="184" customWidth="1"/>
    <col min="7935" max="7935" width="13" style="184" customWidth="1"/>
    <col min="7936" max="7936" width="14.42578125" style="184" customWidth="1"/>
    <col min="7937" max="7937" width="14.140625" style="184" customWidth="1"/>
    <col min="7938" max="7938" width="15.42578125" style="184" customWidth="1"/>
    <col min="7939" max="7939" width="14.42578125" style="184" customWidth="1"/>
    <col min="7940" max="7940" width="14" style="184" customWidth="1"/>
    <col min="7941" max="7941" width="15.85546875" style="184" customWidth="1"/>
    <col min="7942" max="7942" width="13.7109375" style="184" bestFit="1" customWidth="1"/>
    <col min="7943" max="7943" width="10.140625" style="184" customWidth="1"/>
    <col min="7944" max="7944" width="11.7109375" style="184" customWidth="1"/>
    <col min="7945" max="7945" width="16" style="184" customWidth="1"/>
    <col min="7946" max="7946" width="15.42578125" style="184" customWidth="1"/>
    <col min="7947" max="7947" width="15.5703125" style="184" customWidth="1"/>
    <col min="7948" max="7948" width="16.140625" style="184" customWidth="1"/>
    <col min="7949" max="7949" width="13.85546875" style="184" customWidth="1"/>
    <col min="7950" max="7950" width="15.42578125" style="184" customWidth="1"/>
    <col min="7951" max="7951" width="9.28515625" style="184" bestFit="1" customWidth="1"/>
    <col min="7952" max="8171" width="9.140625" style="184"/>
    <col min="8172" max="8172" width="4.7109375" style="184" customWidth="1"/>
    <col min="8173" max="8173" width="30.28515625" style="184" customWidth="1"/>
    <col min="8174" max="8174" width="19.42578125" style="184" customWidth="1"/>
    <col min="8175" max="8175" width="10.85546875" style="184" customWidth="1"/>
    <col min="8176" max="8176" width="13.28515625" style="184" customWidth="1"/>
    <col min="8177" max="8177" width="12.42578125" style="184" customWidth="1"/>
    <col min="8178" max="8178" width="12.42578125" style="184" bestFit="1" customWidth="1"/>
    <col min="8179" max="8179" width="12.28515625" style="184" customWidth="1"/>
    <col min="8180" max="8180" width="14.42578125" style="184" customWidth="1"/>
    <col min="8181" max="8181" width="12.5703125" style="184" customWidth="1"/>
    <col min="8182" max="8182" width="14.85546875" style="184" customWidth="1"/>
    <col min="8183" max="8187" width="14" style="184" customWidth="1"/>
    <col min="8188" max="8188" width="15.5703125" style="184" customWidth="1"/>
    <col min="8189" max="8189" width="14.5703125" style="184" customWidth="1"/>
    <col min="8190" max="8190" width="14.85546875" style="184" customWidth="1"/>
    <col min="8191" max="8191" width="13" style="184" customWidth="1"/>
    <col min="8192" max="8192" width="14.42578125" style="184" customWidth="1"/>
    <col min="8193" max="8193" width="14.140625" style="184" customWidth="1"/>
    <col min="8194" max="8194" width="15.42578125" style="184" customWidth="1"/>
    <col min="8195" max="8195" width="14.42578125" style="184" customWidth="1"/>
    <col min="8196" max="8196" width="14" style="184" customWidth="1"/>
    <col min="8197" max="8197" width="15.85546875" style="184" customWidth="1"/>
    <col min="8198" max="8198" width="13.7109375" style="184" bestFit="1" customWidth="1"/>
    <col min="8199" max="8199" width="10.140625" style="184" customWidth="1"/>
    <col min="8200" max="8200" width="11.7109375" style="184" customWidth="1"/>
    <col min="8201" max="8201" width="16" style="184" customWidth="1"/>
    <col min="8202" max="8202" width="15.42578125" style="184" customWidth="1"/>
    <col min="8203" max="8203" width="15.5703125" style="184" customWidth="1"/>
    <col min="8204" max="8204" width="16.140625" style="184" customWidth="1"/>
    <col min="8205" max="8205" width="13.85546875" style="184" customWidth="1"/>
    <col min="8206" max="8206" width="15.42578125" style="184" customWidth="1"/>
    <col min="8207" max="8207" width="9.28515625" style="184" bestFit="1" customWidth="1"/>
    <col min="8208" max="8427" width="9.140625" style="184"/>
    <col min="8428" max="8428" width="4.7109375" style="184" customWidth="1"/>
    <col min="8429" max="8429" width="30.28515625" style="184" customWidth="1"/>
    <col min="8430" max="8430" width="19.42578125" style="184" customWidth="1"/>
    <col min="8431" max="8431" width="10.85546875" style="184" customWidth="1"/>
    <col min="8432" max="8432" width="13.28515625" style="184" customWidth="1"/>
    <col min="8433" max="8433" width="12.42578125" style="184" customWidth="1"/>
    <col min="8434" max="8434" width="12.42578125" style="184" bestFit="1" customWidth="1"/>
    <col min="8435" max="8435" width="12.28515625" style="184" customWidth="1"/>
    <col min="8436" max="8436" width="14.42578125" style="184" customWidth="1"/>
    <col min="8437" max="8437" width="12.5703125" style="184" customWidth="1"/>
    <col min="8438" max="8438" width="14.85546875" style="184" customWidth="1"/>
    <col min="8439" max="8443" width="14" style="184" customWidth="1"/>
    <col min="8444" max="8444" width="15.5703125" style="184" customWidth="1"/>
    <col min="8445" max="8445" width="14.5703125" style="184" customWidth="1"/>
    <col min="8446" max="8446" width="14.85546875" style="184" customWidth="1"/>
    <col min="8447" max="8447" width="13" style="184" customWidth="1"/>
    <col min="8448" max="8448" width="14.42578125" style="184" customWidth="1"/>
    <col min="8449" max="8449" width="14.140625" style="184" customWidth="1"/>
    <col min="8450" max="8450" width="15.42578125" style="184" customWidth="1"/>
    <col min="8451" max="8451" width="14.42578125" style="184" customWidth="1"/>
    <col min="8452" max="8452" width="14" style="184" customWidth="1"/>
    <col min="8453" max="8453" width="15.85546875" style="184" customWidth="1"/>
    <col min="8454" max="8454" width="13.7109375" style="184" bestFit="1" customWidth="1"/>
    <col min="8455" max="8455" width="10.140625" style="184" customWidth="1"/>
    <col min="8456" max="8456" width="11.7109375" style="184" customWidth="1"/>
    <col min="8457" max="8457" width="16" style="184" customWidth="1"/>
    <col min="8458" max="8458" width="15.42578125" style="184" customWidth="1"/>
    <col min="8459" max="8459" width="15.5703125" style="184" customWidth="1"/>
    <col min="8460" max="8460" width="16.140625" style="184" customWidth="1"/>
    <col min="8461" max="8461" width="13.85546875" style="184" customWidth="1"/>
    <col min="8462" max="8462" width="15.42578125" style="184" customWidth="1"/>
    <col min="8463" max="8463" width="9.28515625" style="184" bestFit="1" customWidth="1"/>
    <col min="8464" max="8683" width="9.140625" style="184"/>
    <col min="8684" max="8684" width="4.7109375" style="184" customWidth="1"/>
    <col min="8685" max="8685" width="30.28515625" style="184" customWidth="1"/>
    <col min="8686" max="8686" width="19.42578125" style="184" customWidth="1"/>
    <col min="8687" max="8687" width="10.85546875" style="184" customWidth="1"/>
    <col min="8688" max="8688" width="13.28515625" style="184" customWidth="1"/>
    <col min="8689" max="8689" width="12.42578125" style="184" customWidth="1"/>
    <col min="8690" max="8690" width="12.42578125" style="184" bestFit="1" customWidth="1"/>
    <col min="8691" max="8691" width="12.28515625" style="184" customWidth="1"/>
    <col min="8692" max="8692" width="14.42578125" style="184" customWidth="1"/>
    <col min="8693" max="8693" width="12.5703125" style="184" customWidth="1"/>
    <col min="8694" max="8694" width="14.85546875" style="184" customWidth="1"/>
    <col min="8695" max="8699" width="14" style="184" customWidth="1"/>
    <col min="8700" max="8700" width="15.5703125" style="184" customWidth="1"/>
    <col min="8701" max="8701" width="14.5703125" style="184" customWidth="1"/>
    <col min="8702" max="8702" width="14.85546875" style="184" customWidth="1"/>
    <col min="8703" max="8703" width="13" style="184" customWidth="1"/>
    <col min="8704" max="8704" width="14.42578125" style="184" customWidth="1"/>
    <col min="8705" max="8705" width="14.140625" style="184" customWidth="1"/>
    <col min="8706" max="8706" width="15.42578125" style="184" customWidth="1"/>
    <col min="8707" max="8707" width="14.42578125" style="184" customWidth="1"/>
    <col min="8708" max="8708" width="14" style="184" customWidth="1"/>
    <col min="8709" max="8709" width="15.85546875" style="184" customWidth="1"/>
    <col min="8710" max="8710" width="13.7109375" style="184" bestFit="1" customWidth="1"/>
    <col min="8711" max="8711" width="10.140625" style="184" customWidth="1"/>
    <col min="8712" max="8712" width="11.7109375" style="184" customWidth="1"/>
    <col min="8713" max="8713" width="16" style="184" customWidth="1"/>
    <col min="8714" max="8714" width="15.42578125" style="184" customWidth="1"/>
    <col min="8715" max="8715" width="15.5703125" style="184" customWidth="1"/>
    <col min="8716" max="8716" width="16.140625" style="184" customWidth="1"/>
    <col min="8717" max="8717" width="13.85546875" style="184" customWidth="1"/>
    <col min="8718" max="8718" width="15.42578125" style="184" customWidth="1"/>
    <col min="8719" max="8719" width="9.28515625" style="184" bestFit="1" customWidth="1"/>
    <col min="8720" max="8939" width="9.140625" style="184"/>
    <col min="8940" max="8940" width="4.7109375" style="184" customWidth="1"/>
    <col min="8941" max="8941" width="30.28515625" style="184" customWidth="1"/>
    <col min="8942" max="8942" width="19.42578125" style="184" customWidth="1"/>
    <col min="8943" max="8943" width="10.85546875" style="184" customWidth="1"/>
    <col min="8944" max="8944" width="13.28515625" style="184" customWidth="1"/>
    <col min="8945" max="8945" width="12.42578125" style="184" customWidth="1"/>
    <col min="8946" max="8946" width="12.42578125" style="184" bestFit="1" customWidth="1"/>
    <col min="8947" max="8947" width="12.28515625" style="184" customWidth="1"/>
    <col min="8948" max="8948" width="14.42578125" style="184" customWidth="1"/>
    <col min="8949" max="8949" width="12.5703125" style="184" customWidth="1"/>
    <col min="8950" max="8950" width="14.85546875" style="184" customWidth="1"/>
    <col min="8951" max="8955" width="14" style="184" customWidth="1"/>
    <col min="8956" max="8956" width="15.5703125" style="184" customWidth="1"/>
    <col min="8957" max="8957" width="14.5703125" style="184" customWidth="1"/>
    <col min="8958" max="8958" width="14.85546875" style="184" customWidth="1"/>
    <col min="8959" max="8959" width="13" style="184" customWidth="1"/>
    <col min="8960" max="8960" width="14.42578125" style="184" customWidth="1"/>
    <col min="8961" max="8961" width="14.140625" style="184" customWidth="1"/>
    <col min="8962" max="8962" width="15.42578125" style="184" customWidth="1"/>
    <col min="8963" max="8963" width="14.42578125" style="184" customWidth="1"/>
    <col min="8964" max="8964" width="14" style="184" customWidth="1"/>
    <col min="8965" max="8965" width="15.85546875" style="184" customWidth="1"/>
    <col min="8966" max="8966" width="13.7109375" style="184" bestFit="1" customWidth="1"/>
    <col min="8967" max="8967" width="10.140625" style="184" customWidth="1"/>
    <col min="8968" max="8968" width="11.7109375" style="184" customWidth="1"/>
    <col min="8969" max="8969" width="16" style="184" customWidth="1"/>
    <col min="8970" max="8970" width="15.42578125" style="184" customWidth="1"/>
    <col min="8971" max="8971" width="15.5703125" style="184" customWidth="1"/>
    <col min="8972" max="8972" width="16.140625" style="184" customWidth="1"/>
    <col min="8973" max="8973" width="13.85546875" style="184" customWidth="1"/>
    <col min="8974" max="8974" width="15.42578125" style="184" customWidth="1"/>
    <col min="8975" max="8975" width="9.28515625" style="184" bestFit="1" customWidth="1"/>
    <col min="8976" max="9195" width="9.140625" style="184"/>
    <col min="9196" max="9196" width="4.7109375" style="184" customWidth="1"/>
    <col min="9197" max="9197" width="30.28515625" style="184" customWidth="1"/>
    <col min="9198" max="9198" width="19.42578125" style="184" customWidth="1"/>
    <col min="9199" max="9199" width="10.85546875" style="184" customWidth="1"/>
    <col min="9200" max="9200" width="13.28515625" style="184" customWidth="1"/>
    <col min="9201" max="9201" width="12.42578125" style="184" customWidth="1"/>
    <col min="9202" max="9202" width="12.42578125" style="184" bestFit="1" customWidth="1"/>
    <col min="9203" max="9203" width="12.28515625" style="184" customWidth="1"/>
    <col min="9204" max="9204" width="14.42578125" style="184" customWidth="1"/>
    <col min="9205" max="9205" width="12.5703125" style="184" customWidth="1"/>
    <col min="9206" max="9206" width="14.85546875" style="184" customWidth="1"/>
    <col min="9207" max="9211" width="14" style="184" customWidth="1"/>
    <col min="9212" max="9212" width="15.5703125" style="184" customWidth="1"/>
    <col min="9213" max="9213" width="14.5703125" style="184" customWidth="1"/>
    <col min="9214" max="9214" width="14.85546875" style="184" customWidth="1"/>
    <col min="9215" max="9215" width="13" style="184" customWidth="1"/>
    <col min="9216" max="9216" width="14.42578125" style="184" customWidth="1"/>
    <col min="9217" max="9217" width="14.140625" style="184" customWidth="1"/>
    <col min="9218" max="9218" width="15.42578125" style="184" customWidth="1"/>
    <col min="9219" max="9219" width="14.42578125" style="184" customWidth="1"/>
    <col min="9220" max="9220" width="14" style="184" customWidth="1"/>
    <col min="9221" max="9221" width="15.85546875" style="184" customWidth="1"/>
    <col min="9222" max="9222" width="13.7109375" style="184" bestFit="1" customWidth="1"/>
    <col min="9223" max="9223" width="10.140625" style="184" customWidth="1"/>
    <col min="9224" max="9224" width="11.7109375" style="184" customWidth="1"/>
    <col min="9225" max="9225" width="16" style="184" customWidth="1"/>
    <col min="9226" max="9226" width="15.42578125" style="184" customWidth="1"/>
    <col min="9227" max="9227" width="15.5703125" style="184" customWidth="1"/>
    <col min="9228" max="9228" width="16.140625" style="184" customWidth="1"/>
    <col min="9229" max="9229" width="13.85546875" style="184" customWidth="1"/>
    <col min="9230" max="9230" width="15.42578125" style="184" customWidth="1"/>
    <col min="9231" max="9231" width="9.28515625" style="184" bestFit="1" customWidth="1"/>
    <col min="9232" max="9451" width="9.140625" style="184"/>
    <col min="9452" max="9452" width="4.7109375" style="184" customWidth="1"/>
    <col min="9453" max="9453" width="30.28515625" style="184" customWidth="1"/>
    <col min="9454" max="9454" width="19.42578125" style="184" customWidth="1"/>
    <col min="9455" max="9455" width="10.85546875" style="184" customWidth="1"/>
    <col min="9456" max="9456" width="13.28515625" style="184" customWidth="1"/>
    <col min="9457" max="9457" width="12.42578125" style="184" customWidth="1"/>
    <col min="9458" max="9458" width="12.42578125" style="184" bestFit="1" customWidth="1"/>
    <col min="9459" max="9459" width="12.28515625" style="184" customWidth="1"/>
    <col min="9460" max="9460" width="14.42578125" style="184" customWidth="1"/>
    <col min="9461" max="9461" width="12.5703125" style="184" customWidth="1"/>
    <col min="9462" max="9462" width="14.85546875" style="184" customWidth="1"/>
    <col min="9463" max="9467" width="14" style="184" customWidth="1"/>
    <col min="9468" max="9468" width="15.5703125" style="184" customWidth="1"/>
    <col min="9469" max="9469" width="14.5703125" style="184" customWidth="1"/>
    <col min="9470" max="9470" width="14.85546875" style="184" customWidth="1"/>
    <col min="9471" max="9471" width="13" style="184" customWidth="1"/>
    <col min="9472" max="9472" width="14.42578125" style="184" customWidth="1"/>
    <col min="9473" max="9473" width="14.140625" style="184" customWidth="1"/>
    <col min="9474" max="9474" width="15.42578125" style="184" customWidth="1"/>
    <col min="9475" max="9475" width="14.42578125" style="184" customWidth="1"/>
    <col min="9476" max="9476" width="14" style="184" customWidth="1"/>
    <col min="9477" max="9477" width="15.85546875" style="184" customWidth="1"/>
    <col min="9478" max="9478" width="13.7109375" style="184" bestFit="1" customWidth="1"/>
    <col min="9479" max="9479" width="10.140625" style="184" customWidth="1"/>
    <col min="9480" max="9480" width="11.7109375" style="184" customWidth="1"/>
    <col min="9481" max="9481" width="16" style="184" customWidth="1"/>
    <col min="9482" max="9482" width="15.42578125" style="184" customWidth="1"/>
    <col min="9483" max="9483" width="15.5703125" style="184" customWidth="1"/>
    <col min="9484" max="9484" width="16.140625" style="184" customWidth="1"/>
    <col min="9485" max="9485" width="13.85546875" style="184" customWidth="1"/>
    <col min="9486" max="9486" width="15.42578125" style="184" customWidth="1"/>
    <col min="9487" max="9487" width="9.28515625" style="184" bestFit="1" customWidth="1"/>
    <col min="9488" max="9707" width="9.140625" style="184"/>
    <col min="9708" max="9708" width="4.7109375" style="184" customWidth="1"/>
    <col min="9709" max="9709" width="30.28515625" style="184" customWidth="1"/>
    <col min="9710" max="9710" width="19.42578125" style="184" customWidth="1"/>
    <col min="9711" max="9711" width="10.85546875" style="184" customWidth="1"/>
    <col min="9712" max="9712" width="13.28515625" style="184" customWidth="1"/>
    <col min="9713" max="9713" width="12.42578125" style="184" customWidth="1"/>
    <col min="9714" max="9714" width="12.42578125" style="184" bestFit="1" customWidth="1"/>
    <col min="9715" max="9715" width="12.28515625" style="184" customWidth="1"/>
    <col min="9716" max="9716" width="14.42578125" style="184" customWidth="1"/>
    <col min="9717" max="9717" width="12.5703125" style="184" customWidth="1"/>
    <col min="9718" max="9718" width="14.85546875" style="184" customWidth="1"/>
    <col min="9719" max="9723" width="14" style="184" customWidth="1"/>
    <col min="9724" max="9724" width="15.5703125" style="184" customWidth="1"/>
    <col min="9725" max="9725" width="14.5703125" style="184" customWidth="1"/>
    <col min="9726" max="9726" width="14.85546875" style="184" customWidth="1"/>
    <col min="9727" max="9727" width="13" style="184" customWidth="1"/>
    <col min="9728" max="9728" width="14.42578125" style="184" customWidth="1"/>
    <col min="9729" max="9729" width="14.140625" style="184" customWidth="1"/>
    <col min="9730" max="9730" width="15.42578125" style="184" customWidth="1"/>
    <col min="9731" max="9731" width="14.42578125" style="184" customWidth="1"/>
    <col min="9732" max="9732" width="14" style="184" customWidth="1"/>
    <col min="9733" max="9733" width="15.85546875" style="184" customWidth="1"/>
    <col min="9734" max="9734" width="13.7109375" style="184" bestFit="1" customWidth="1"/>
    <col min="9735" max="9735" width="10.140625" style="184" customWidth="1"/>
    <col min="9736" max="9736" width="11.7109375" style="184" customWidth="1"/>
    <col min="9737" max="9737" width="16" style="184" customWidth="1"/>
    <col min="9738" max="9738" width="15.42578125" style="184" customWidth="1"/>
    <col min="9739" max="9739" width="15.5703125" style="184" customWidth="1"/>
    <col min="9740" max="9740" width="16.140625" style="184" customWidth="1"/>
    <col min="9741" max="9741" width="13.85546875" style="184" customWidth="1"/>
    <col min="9742" max="9742" width="15.42578125" style="184" customWidth="1"/>
    <col min="9743" max="9743" width="9.28515625" style="184" bestFit="1" customWidth="1"/>
    <col min="9744" max="9963" width="9.140625" style="184"/>
    <col min="9964" max="9964" width="4.7109375" style="184" customWidth="1"/>
    <col min="9965" max="9965" width="30.28515625" style="184" customWidth="1"/>
    <col min="9966" max="9966" width="19.42578125" style="184" customWidth="1"/>
    <col min="9967" max="9967" width="10.85546875" style="184" customWidth="1"/>
    <col min="9968" max="9968" width="13.28515625" style="184" customWidth="1"/>
    <col min="9969" max="9969" width="12.42578125" style="184" customWidth="1"/>
    <col min="9970" max="9970" width="12.42578125" style="184" bestFit="1" customWidth="1"/>
    <col min="9971" max="9971" width="12.28515625" style="184" customWidth="1"/>
    <col min="9972" max="9972" width="14.42578125" style="184" customWidth="1"/>
    <col min="9973" max="9973" width="12.5703125" style="184" customWidth="1"/>
    <col min="9974" max="9974" width="14.85546875" style="184" customWidth="1"/>
    <col min="9975" max="9979" width="14" style="184" customWidth="1"/>
    <col min="9980" max="9980" width="15.5703125" style="184" customWidth="1"/>
    <col min="9981" max="9981" width="14.5703125" style="184" customWidth="1"/>
    <col min="9982" max="9982" width="14.85546875" style="184" customWidth="1"/>
    <col min="9983" max="9983" width="13" style="184" customWidth="1"/>
    <col min="9984" max="9984" width="14.42578125" style="184" customWidth="1"/>
    <col min="9985" max="9985" width="14.140625" style="184" customWidth="1"/>
    <col min="9986" max="9986" width="15.42578125" style="184" customWidth="1"/>
    <col min="9987" max="9987" width="14.42578125" style="184" customWidth="1"/>
    <col min="9988" max="9988" width="14" style="184" customWidth="1"/>
    <col min="9989" max="9989" width="15.85546875" style="184" customWidth="1"/>
    <col min="9990" max="9990" width="13.7109375" style="184" bestFit="1" customWidth="1"/>
    <col min="9991" max="9991" width="10.140625" style="184" customWidth="1"/>
    <col min="9992" max="9992" width="11.7109375" style="184" customWidth="1"/>
    <col min="9993" max="9993" width="16" style="184" customWidth="1"/>
    <col min="9994" max="9994" width="15.42578125" style="184" customWidth="1"/>
    <col min="9995" max="9995" width="15.5703125" style="184" customWidth="1"/>
    <col min="9996" max="9996" width="16.140625" style="184" customWidth="1"/>
    <col min="9997" max="9997" width="13.85546875" style="184" customWidth="1"/>
    <col min="9998" max="9998" width="15.42578125" style="184" customWidth="1"/>
    <col min="9999" max="9999" width="9.28515625" style="184" bestFit="1" customWidth="1"/>
    <col min="10000" max="10219" width="9.140625" style="184"/>
    <col min="10220" max="10220" width="4.7109375" style="184" customWidth="1"/>
    <col min="10221" max="10221" width="30.28515625" style="184" customWidth="1"/>
    <col min="10222" max="10222" width="19.42578125" style="184" customWidth="1"/>
    <col min="10223" max="10223" width="10.85546875" style="184" customWidth="1"/>
    <col min="10224" max="10224" width="13.28515625" style="184" customWidth="1"/>
    <col min="10225" max="10225" width="12.42578125" style="184" customWidth="1"/>
    <col min="10226" max="10226" width="12.42578125" style="184" bestFit="1" customWidth="1"/>
    <col min="10227" max="10227" width="12.28515625" style="184" customWidth="1"/>
    <col min="10228" max="10228" width="14.42578125" style="184" customWidth="1"/>
    <col min="10229" max="10229" width="12.5703125" style="184" customWidth="1"/>
    <col min="10230" max="10230" width="14.85546875" style="184" customWidth="1"/>
    <col min="10231" max="10235" width="14" style="184" customWidth="1"/>
    <col min="10236" max="10236" width="15.5703125" style="184" customWidth="1"/>
    <col min="10237" max="10237" width="14.5703125" style="184" customWidth="1"/>
    <col min="10238" max="10238" width="14.85546875" style="184" customWidth="1"/>
    <col min="10239" max="10239" width="13" style="184" customWidth="1"/>
    <col min="10240" max="10240" width="14.42578125" style="184" customWidth="1"/>
    <col min="10241" max="10241" width="14.140625" style="184" customWidth="1"/>
    <col min="10242" max="10242" width="15.42578125" style="184" customWidth="1"/>
    <col min="10243" max="10243" width="14.42578125" style="184" customWidth="1"/>
    <col min="10244" max="10244" width="14" style="184" customWidth="1"/>
    <col min="10245" max="10245" width="15.85546875" style="184" customWidth="1"/>
    <col min="10246" max="10246" width="13.7109375" style="184" bestFit="1" customWidth="1"/>
    <col min="10247" max="10247" width="10.140625" style="184" customWidth="1"/>
    <col min="10248" max="10248" width="11.7109375" style="184" customWidth="1"/>
    <col min="10249" max="10249" width="16" style="184" customWidth="1"/>
    <col min="10250" max="10250" width="15.42578125" style="184" customWidth="1"/>
    <col min="10251" max="10251" width="15.5703125" style="184" customWidth="1"/>
    <col min="10252" max="10252" width="16.140625" style="184" customWidth="1"/>
    <col min="10253" max="10253" width="13.85546875" style="184" customWidth="1"/>
    <col min="10254" max="10254" width="15.42578125" style="184" customWidth="1"/>
    <col min="10255" max="10255" width="9.28515625" style="184" bestFit="1" customWidth="1"/>
    <col min="10256" max="10475" width="9.140625" style="184"/>
    <col min="10476" max="10476" width="4.7109375" style="184" customWidth="1"/>
    <col min="10477" max="10477" width="30.28515625" style="184" customWidth="1"/>
    <col min="10478" max="10478" width="19.42578125" style="184" customWidth="1"/>
    <col min="10479" max="10479" width="10.85546875" style="184" customWidth="1"/>
    <col min="10480" max="10480" width="13.28515625" style="184" customWidth="1"/>
    <col min="10481" max="10481" width="12.42578125" style="184" customWidth="1"/>
    <col min="10482" max="10482" width="12.42578125" style="184" bestFit="1" customWidth="1"/>
    <col min="10483" max="10483" width="12.28515625" style="184" customWidth="1"/>
    <col min="10484" max="10484" width="14.42578125" style="184" customWidth="1"/>
    <col min="10485" max="10485" width="12.5703125" style="184" customWidth="1"/>
    <col min="10486" max="10486" width="14.85546875" style="184" customWidth="1"/>
    <col min="10487" max="10491" width="14" style="184" customWidth="1"/>
    <col min="10492" max="10492" width="15.5703125" style="184" customWidth="1"/>
    <col min="10493" max="10493" width="14.5703125" style="184" customWidth="1"/>
    <col min="10494" max="10494" width="14.85546875" style="184" customWidth="1"/>
    <col min="10495" max="10495" width="13" style="184" customWidth="1"/>
    <col min="10496" max="10496" width="14.42578125" style="184" customWidth="1"/>
    <col min="10497" max="10497" width="14.140625" style="184" customWidth="1"/>
    <col min="10498" max="10498" width="15.42578125" style="184" customWidth="1"/>
    <col min="10499" max="10499" width="14.42578125" style="184" customWidth="1"/>
    <col min="10500" max="10500" width="14" style="184" customWidth="1"/>
    <col min="10501" max="10501" width="15.85546875" style="184" customWidth="1"/>
    <col min="10502" max="10502" width="13.7109375" style="184" bestFit="1" customWidth="1"/>
    <col min="10503" max="10503" width="10.140625" style="184" customWidth="1"/>
    <col min="10504" max="10504" width="11.7109375" style="184" customWidth="1"/>
    <col min="10505" max="10505" width="16" style="184" customWidth="1"/>
    <col min="10506" max="10506" width="15.42578125" style="184" customWidth="1"/>
    <col min="10507" max="10507" width="15.5703125" style="184" customWidth="1"/>
    <col min="10508" max="10508" width="16.140625" style="184" customWidth="1"/>
    <col min="10509" max="10509" width="13.85546875" style="184" customWidth="1"/>
    <col min="10510" max="10510" width="15.42578125" style="184" customWidth="1"/>
    <col min="10511" max="10511" width="9.28515625" style="184" bestFit="1" customWidth="1"/>
    <col min="10512" max="10731" width="9.140625" style="184"/>
    <col min="10732" max="10732" width="4.7109375" style="184" customWidth="1"/>
    <col min="10733" max="10733" width="30.28515625" style="184" customWidth="1"/>
    <col min="10734" max="10734" width="19.42578125" style="184" customWidth="1"/>
    <col min="10735" max="10735" width="10.85546875" style="184" customWidth="1"/>
    <col min="10736" max="10736" width="13.28515625" style="184" customWidth="1"/>
    <col min="10737" max="10737" width="12.42578125" style="184" customWidth="1"/>
    <col min="10738" max="10738" width="12.42578125" style="184" bestFit="1" customWidth="1"/>
    <col min="10739" max="10739" width="12.28515625" style="184" customWidth="1"/>
    <col min="10740" max="10740" width="14.42578125" style="184" customWidth="1"/>
    <col min="10741" max="10741" width="12.5703125" style="184" customWidth="1"/>
    <col min="10742" max="10742" width="14.85546875" style="184" customWidth="1"/>
    <col min="10743" max="10747" width="14" style="184" customWidth="1"/>
    <col min="10748" max="10748" width="15.5703125" style="184" customWidth="1"/>
    <col min="10749" max="10749" width="14.5703125" style="184" customWidth="1"/>
    <col min="10750" max="10750" width="14.85546875" style="184" customWidth="1"/>
    <col min="10751" max="10751" width="13" style="184" customWidth="1"/>
    <col min="10752" max="10752" width="14.42578125" style="184" customWidth="1"/>
    <col min="10753" max="10753" width="14.140625" style="184" customWidth="1"/>
    <col min="10754" max="10754" width="15.42578125" style="184" customWidth="1"/>
    <col min="10755" max="10755" width="14.42578125" style="184" customWidth="1"/>
    <col min="10756" max="10756" width="14" style="184" customWidth="1"/>
    <col min="10757" max="10757" width="15.85546875" style="184" customWidth="1"/>
    <col min="10758" max="10758" width="13.7109375" style="184" bestFit="1" customWidth="1"/>
    <col min="10759" max="10759" width="10.140625" style="184" customWidth="1"/>
    <col min="10760" max="10760" width="11.7109375" style="184" customWidth="1"/>
    <col min="10761" max="10761" width="16" style="184" customWidth="1"/>
    <col min="10762" max="10762" width="15.42578125" style="184" customWidth="1"/>
    <col min="10763" max="10763" width="15.5703125" style="184" customWidth="1"/>
    <col min="10764" max="10764" width="16.140625" style="184" customWidth="1"/>
    <col min="10765" max="10765" width="13.85546875" style="184" customWidth="1"/>
    <col min="10766" max="10766" width="15.42578125" style="184" customWidth="1"/>
    <col min="10767" max="10767" width="9.28515625" style="184" bestFit="1" customWidth="1"/>
    <col min="10768" max="10987" width="9.140625" style="184"/>
    <col min="10988" max="10988" width="4.7109375" style="184" customWidth="1"/>
    <col min="10989" max="10989" width="30.28515625" style="184" customWidth="1"/>
    <col min="10990" max="10990" width="19.42578125" style="184" customWidth="1"/>
    <col min="10991" max="10991" width="10.85546875" style="184" customWidth="1"/>
    <col min="10992" max="10992" width="13.28515625" style="184" customWidth="1"/>
    <col min="10993" max="10993" width="12.42578125" style="184" customWidth="1"/>
    <col min="10994" max="10994" width="12.42578125" style="184" bestFit="1" customWidth="1"/>
    <col min="10995" max="10995" width="12.28515625" style="184" customWidth="1"/>
    <col min="10996" max="10996" width="14.42578125" style="184" customWidth="1"/>
    <col min="10997" max="10997" width="12.5703125" style="184" customWidth="1"/>
    <col min="10998" max="10998" width="14.85546875" style="184" customWidth="1"/>
    <col min="10999" max="11003" width="14" style="184" customWidth="1"/>
    <col min="11004" max="11004" width="15.5703125" style="184" customWidth="1"/>
    <col min="11005" max="11005" width="14.5703125" style="184" customWidth="1"/>
    <col min="11006" max="11006" width="14.85546875" style="184" customWidth="1"/>
    <col min="11007" max="11007" width="13" style="184" customWidth="1"/>
    <col min="11008" max="11008" width="14.42578125" style="184" customWidth="1"/>
    <col min="11009" max="11009" width="14.140625" style="184" customWidth="1"/>
    <col min="11010" max="11010" width="15.42578125" style="184" customWidth="1"/>
    <col min="11011" max="11011" width="14.42578125" style="184" customWidth="1"/>
    <col min="11012" max="11012" width="14" style="184" customWidth="1"/>
    <col min="11013" max="11013" width="15.85546875" style="184" customWidth="1"/>
    <col min="11014" max="11014" width="13.7109375" style="184" bestFit="1" customWidth="1"/>
    <col min="11015" max="11015" width="10.140625" style="184" customWidth="1"/>
    <col min="11016" max="11016" width="11.7109375" style="184" customWidth="1"/>
    <col min="11017" max="11017" width="16" style="184" customWidth="1"/>
    <col min="11018" max="11018" width="15.42578125" style="184" customWidth="1"/>
    <col min="11019" max="11019" width="15.5703125" style="184" customWidth="1"/>
    <col min="11020" max="11020" width="16.140625" style="184" customWidth="1"/>
    <col min="11021" max="11021" width="13.85546875" style="184" customWidth="1"/>
    <col min="11022" max="11022" width="15.42578125" style="184" customWidth="1"/>
    <col min="11023" max="11023" width="9.28515625" style="184" bestFit="1" customWidth="1"/>
    <col min="11024" max="11243" width="9.140625" style="184"/>
    <col min="11244" max="11244" width="4.7109375" style="184" customWidth="1"/>
    <col min="11245" max="11245" width="30.28515625" style="184" customWidth="1"/>
    <col min="11246" max="11246" width="19.42578125" style="184" customWidth="1"/>
    <col min="11247" max="11247" width="10.85546875" style="184" customWidth="1"/>
    <col min="11248" max="11248" width="13.28515625" style="184" customWidth="1"/>
    <col min="11249" max="11249" width="12.42578125" style="184" customWidth="1"/>
    <col min="11250" max="11250" width="12.42578125" style="184" bestFit="1" customWidth="1"/>
    <col min="11251" max="11251" width="12.28515625" style="184" customWidth="1"/>
    <col min="11252" max="11252" width="14.42578125" style="184" customWidth="1"/>
    <col min="11253" max="11253" width="12.5703125" style="184" customWidth="1"/>
    <col min="11254" max="11254" width="14.85546875" style="184" customWidth="1"/>
    <col min="11255" max="11259" width="14" style="184" customWidth="1"/>
    <col min="11260" max="11260" width="15.5703125" style="184" customWidth="1"/>
    <col min="11261" max="11261" width="14.5703125" style="184" customWidth="1"/>
    <col min="11262" max="11262" width="14.85546875" style="184" customWidth="1"/>
    <col min="11263" max="11263" width="13" style="184" customWidth="1"/>
    <col min="11264" max="11264" width="14.42578125" style="184" customWidth="1"/>
    <col min="11265" max="11265" width="14.140625" style="184" customWidth="1"/>
    <col min="11266" max="11266" width="15.42578125" style="184" customWidth="1"/>
    <col min="11267" max="11267" width="14.42578125" style="184" customWidth="1"/>
    <col min="11268" max="11268" width="14" style="184" customWidth="1"/>
    <col min="11269" max="11269" width="15.85546875" style="184" customWidth="1"/>
    <col min="11270" max="11270" width="13.7109375" style="184" bestFit="1" customWidth="1"/>
    <col min="11271" max="11271" width="10.140625" style="184" customWidth="1"/>
    <col min="11272" max="11272" width="11.7109375" style="184" customWidth="1"/>
    <col min="11273" max="11273" width="16" style="184" customWidth="1"/>
    <col min="11274" max="11274" width="15.42578125" style="184" customWidth="1"/>
    <col min="11275" max="11275" width="15.5703125" style="184" customWidth="1"/>
    <col min="11276" max="11276" width="16.140625" style="184" customWidth="1"/>
    <col min="11277" max="11277" width="13.85546875" style="184" customWidth="1"/>
    <col min="11278" max="11278" width="15.42578125" style="184" customWidth="1"/>
    <col min="11279" max="11279" width="9.28515625" style="184" bestFit="1" customWidth="1"/>
    <col min="11280" max="11499" width="9.140625" style="184"/>
    <col min="11500" max="11500" width="4.7109375" style="184" customWidth="1"/>
    <col min="11501" max="11501" width="30.28515625" style="184" customWidth="1"/>
    <col min="11502" max="11502" width="19.42578125" style="184" customWidth="1"/>
    <col min="11503" max="11503" width="10.85546875" style="184" customWidth="1"/>
    <col min="11504" max="11504" width="13.28515625" style="184" customWidth="1"/>
    <col min="11505" max="11505" width="12.42578125" style="184" customWidth="1"/>
    <col min="11506" max="11506" width="12.42578125" style="184" bestFit="1" customWidth="1"/>
    <col min="11507" max="11507" width="12.28515625" style="184" customWidth="1"/>
    <col min="11508" max="11508" width="14.42578125" style="184" customWidth="1"/>
    <col min="11509" max="11509" width="12.5703125" style="184" customWidth="1"/>
    <col min="11510" max="11510" width="14.85546875" style="184" customWidth="1"/>
    <col min="11511" max="11515" width="14" style="184" customWidth="1"/>
    <col min="11516" max="11516" width="15.5703125" style="184" customWidth="1"/>
    <col min="11517" max="11517" width="14.5703125" style="184" customWidth="1"/>
    <col min="11518" max="11518" width="14.85546875" style="184" customWidth="1"/>
    <col min="11519" max="11519" width="13" style="184" customWidth="1"/>
    <col min="11520" max="11520" width="14.42578125" style="184" customWidth="1"/>
    <col min="11521" max="11521" width="14.140625" style="184" customWidth="1"/>
    <col min="11522" max="11522" width="15.42578125" style="184" customWidth="1"/>
    <col min="11523" max="11523" width="14.42578125" style="184" customWidth="1"/>
    <col min="11524" max="11524" width="14" style="184" customWidth="1"/>
    <col min="11525" max="11525" width="15.85546875" style="184" customWidth="1"/>
    <col min="11526" max="11526" width="13.7109375" style="184" bestFit="1" customWidth="1"/>
    <col min="11527" max="11527" width="10.140625" style="184" customWidth="1"/>
    <col min="11528" max="11528" width="11.7109375" style="184" customWidth="1"/>
    <col min="11529" max="11529" width="16" style="184" customWidth="1"/>
    <col min="11530" max="11530" width="15.42578125" style="184" customWidth="1"/>
    <col min="11531" max="11531" width="15.5703125" style="184" customWidth="1"/>
    <col min="11532" max="11532" width="16.140625" style="184" customWidth="1"/>
    <col min="11533" max="11533" width="13.85546875" style="184" customWidth="1"/>
    <col min="11534" max="11534" width="15.42578125" style="184" customWidth="1"/>
    <col min="11535" max="11535" width="9.28515625" style="184" bestFit="1" customWidth="1"/>
    <col min="11536" max="11755" width="9.140625" style="184"/>
    <col min="11756" max="11756" width="4.7109375" style="184" customWidth="1"/>
    <col min="11757" max="11757" width="30.28515625" style="184" customWidth="1"/>
    <col min="11758" max="11758" width="19.42578125" style="184" customWidth="1"/>
    <col min="11759" max="11759" width="10.85546875" style="184" customWidth="1"/>
    <col min="11760" max="11760" width="13.28515625" style="184" customWidth="1"/>
    <col min="11761" max="11761" width="12.42578125" style="184" customWidth="1"/>
    <col min="11762" max="11762" width="12.42578125" style="184" bestFit="1" customWidth="1"/>
    <col min="11763" max="11763" width="12.28515625" style="184" customWidth="1"/>
    <col min="11764" max="11764" width="14.42578125" style="184" customWidth="1"/>
    <col min="11765" max="11765" width="12.5703125" style="184" customWidth="1"/>
    <col min="11766" max="11766" width="14.85546875" style="184" customWidth="1"/>
    <col min="11767" max="11771" width="14" style="184" customWidth="1"/>
    <col min="11772" max="11772" width="15.5703125" style="184" customWidth="1"/>
    <col min="11773" max="11773" width="14.5703125" style="184" customWidth="1"/>
    <col min="11774" max="11774" width="14.85546875" style="184" customWidth="1"/>
    <col min="11775" max="11775" width="13" style="184" customWidth="1"/>
    <col min="11776" max="11776" width="14.42578125" style="184" customWidth="1"/>
    <col min="11777" max="11777" width="14.140625" style="184" customWidth="1"/>
    <col min="11778" max="11778" width="15.42578125" style="184" customWidth="1"/>
    <col min="11779" max="11779" width="14.42578125" style="184" customWidth="1"/>
    <col min="11780" max="11780" width="14" style="184" customWidth="1"/>
    <col min="11781" max="11781" width="15.85546875" style="184" customWidth="1"/>
    <col min="11782" max="11782" width="13.7109375" style="184" bestFit="1" customWidth="1"/>
    <col min="11783" max="11783" width="10.140625" style="184" customWidth="1"/>
    <col min="11784" max="11784" width="11.7109375" style="184" customWidth="1"/>
    <col min="11785" max="11785" width="16" style="184" customWidth="1"/>
    <col min="11786" max="11786" width="15.42578125" style="184" customWidth="1"/>
    <col min="11787" max="11787" width="15.5703125" style="184" customWidth="1"/>
    <col min="11788" max="11788" width="16.140625" style="184" customWidth="1"/>
    <col min="11789" max="11789" width="13.85546875" style="184" customWidth="1"/>
    <col min="11790" max="11790" width="15.42578125" style="184" customWidth="1"/>
    <col min="11791" max="11791" width="9.28515625" style="184" bestFit="1" customWidth="1"/>
    <col min="11792" max="12011" width="9.140625" style="184"/>
    <col min="12012" max="12012" width="4.7109375" style="184" customWidth="1"/>
    <col min="12013" max="12013" width="30.28515625" style="184" customWidth="1"/>
    <col min="12014" max="12014" width="19.42578125" style="184" customWidth="1"/>
    <col min="12015" max="12015" width="10.85546875" style="184" customWidth="1"/>
    <col min="12016" max="12016" width="13.28515625" style="184" customWidth="1"/>
    <col min="12017" max="12017" width="12.42578125" style="184" customWidth="1"/>
    <col min="12018" max="12018" width="12.42578125" style="184" bestFit="1" customWidth="1"/>
    <col min="12019" max="12019" width="12.28515625" style="184" customWidth="1"/>
    <col min="12020" max="12020" width="14.42578125" style="184" customWidth="1"/>
    <col min="12021" max="12021" width="12.5703125" style="184" customWidth="1"/>
    <col min="12022" max="12022" width="14.85546875" style="184" customWidth="1"/>
    <col min="12023" max="12027" width="14" style="184" customWidth="1"/>
    <col min="12028" max="12028" width="15.5703125" style="184" customWidth="1"/>
    <col min="12029" max="12029" width="14.5703125" style="184" customWidth="1"/>
    <col min="12030" max="12030" width="14.85546875" style="184" customWidth="1"/>
    <col min="12031" max="12031" width="13" style="184" customWidth="1"/>
    <col min="12032" max="12032" width="14.42578125" style="184" customWidth="1"/>
    <col min="12033" max="12033" width="14.140625" style="184" customWidth="1"/>
    <col min="12034" max="12034" width="15.42578125" style="184" customWidth="1"/>
    <col min="12035" max="12035" width="14.42578125" style="184" customWidth="1"/>
    <col min="12036" max="12036" width="14" style="184" customWidth="1"/>
    <col min="12037" max="12037" width="15.85546875" style="184" customWidth="1"/>
    <col min="12038" max="12038" width="13.7109375" style="184" bestFit="1" customWidth="1"/>
    <col min="12039" max="12039" width="10.140625" style="184" customWidth="1"/>
    <col min="12040" max="12040" width="11.7109375" style="184" customWidth="1"/>
    <col min="12041" max="12041" width="16" style="184" customWidth="1"/>
    <col min="12042" max="12042" width="15.42578125" style="184" customWidth="1"/>
    <col min="12043" max="12043" width="15.5703125" style="184" customWidth="1"/>
    <col min="12044" max="12044" width="16.140625" style="184" customWidth="1"/>
    <col min="12045" max="12045" width="13.85546875" style="184" customWidth="1"/>
    <col min="12046" max="12046" width="15.42578125" style="184" customWidth="1"/>
    <col min="12047" max="12047" width="9.28515625" style="184" bestFit="1" customWidth="1"/>
    <col min="12048" max="12267" width="9.140625" style="184"/>
    <col min="12268" max="12268" width="4.7109375" style="184" customWidth="1"/>
    <col min="12269" max="12269" width="30.28515625" style="184" customWidth="1"/>
    <col min="12270" max="12270" width="19.42578125" style="184" customWidth="1"/>
    <col min="12271" max="12271" width="10.85546875" style="184" customWidth="1"/>
    <col min="12272" max="12272" width="13.28515625" style="184" customWidth="1"/>
    <col min="12273" max="12273" width="12.42578125" style="184" customWidth="1"/>
    <col min="12274" max="12274" width="12.42578125" style="184" bestFit="1" customWidth="1"/>
    <col min="12275" max="12275" width="12.28515625" style="184" customWidth="1"/>
    <col min="12276" max="12276" width="14.42578125" style="184" customWidth="1"/>
    <col min="12277" max="12277" width="12.5703125" style="184" customWidth="1"/>
    <col min="12278" max="12278" width="14.85546875" style="184" customWidth="1"/>
    <col min="12279" max="12283" width="14" style="184" customWidth="1"/>
    <col min="12284" max="12284" width="15.5703125" style="184" customWidth="1"/>
    <col min="12285" max="12285" width="14.5703125" style="184" customWidth="1"/>
    <col min="12286" max="12286" width="14.85546875" style="184" customWidth="1"/>
    <col min="12287" max="12287" width="13" style="184" customWidth="1"/>
    <col min="12288" max="12288" width="14.42578125" style="184" customWidth="1"/>
    <col min="12289" max="12289" width="14.140625" style="184" customWidth="1"/>
    <col min="12290" max="12290" width="15.42578125" style="184" customWidth="1"/>
    <col min="12291" max="12291" width="14.42578125" style="184" customWidth="1"/>
    <col min="12292" max="12292" width="14" style="184" customWidth="1"/>
    <col min="12293" max="12293" width="15.85546875" style="184" customWidth="1"/>
    <col min="12294" max="12294" width="13.7109375" style="184" bestFit="1" customWidth="1"/>
    <col min="12295" max="12295" width="10.140625" style="184" customWidth="1"/>
    <col min="12296" max="12296" width="11.7109375" style="184" customWidth="1"/>
    <col min="12297" max="12297" width="16" style="184" customWidth="1"/>
    <col min="12298" max="12298" width="15.42578125" style="184" customWidth="1"/>
    <col min="12299" max="12299" width="15.5703125" style="184" customWidth="1"/>
    <col min="12300" max="12300" width="16.140625" style="184" customWidth="1"/>
    <col min="12301" max="12301" width="13.85546875" style="184" customWidth="1"/>
    <col min="12302" max="12302" width="15.42578125" style="184" customWidth="1"/>
    <col min="12303" max="12303" width="9.28515625" style="184" bestFit="1" customWidth="1"/>
    <col min="12304" max="12523" width="9.140625" style="184"/>
    <col min="12524" max="12524" width="4.7109375" style="184" customWidth="1"/>
    <col min="12525" max="12525" width="30.28515625" style="184" customWidth="1"/>
    <col min="12526" max="12526" width="19.42578125" style="184" customWidth="1"/>
    <col min="12527" max="12527" width="10.85546875" style="184" customWidth="1"/>
    <col min="12528" max="12528" width="13.28515625" style="184" customWidth="1"/>
    <col min="12529" max="12529" width="12.42578125" style="184" customWidth="1"/>
    <col min="12530" max="12530" width="12.42578125" style="184" bestFit="1" customWidth="1"/>
    <col min="12531" max="12531" width="12.28515625" style="184" customWidth="1"/>
    <col min="12532" max="12532" width="14.42578125" style="184" customWidth="1"/>
    <col min="12533" max="12533" width="12.5703125" style="184" customWidth="1"/>
    <col min="12534" max="12534" width="14.85546875" style="184" customWidth="1"/>
    <col min="12535" max="12539" width="14" style="184" customWidth="1"/>
    <col min="12540" max="12540" width="15.5703125" style="184" customWidth="1"/>
    <col min="12541" max="12541" width="14.5703125" style="184" customWidth="1"/>
    <col min="12542" max="12542" width="14.85546875" style="184" customWidth="1"/>
    <col min="12543" max="12543" width="13" style="184" customWidth="1"/>
    <col min="12544" max="12544" width="14.42578125" style="184" customWidth="1"/>
    <col min="12545" max="12545" width="14.140625" style="184" customWidth="1"/>
    <col min="12546" max="12546" width="15.42578125" style="184" customWidth="1"/>
    <col min="12547" max="12547" width="14.42578125" style="184" customWidth="1"/>
    <col min="12548" max="12548" width="14" style="184" customWidth="1"/>
    <col min="12549" max="12549" width="15.85546875" style="184" customWidth="1"/>
    <col min="12550" max="12550" width="13.7109375" style="184" bestFit="1" customWidth="1"/>
    <col min="12551" max="12551" width="10.140625" style="184" customWidth="1"/>
    <col min="12552" max="12552" width="11.7109375" style="184" customWidth="1"/>
    <col min="12553" max="12553" width="16" style="184" customWidth="1"/>
    <col min="12554" max="12554" width="15.42578125" style="184" customWidth="1"/>
    <col min="12555" max="12555" width="15.5703125" style="184" customWidth="1"/>
    <col min="12556" max="12556" width="16.140625" style="184" customWidth="1"/>
    <col min="12557" max="12557" width="13.85546875" style="184" customWidth="1"/>
    <col min="12558" max="12558" width="15.42578125" style="184" customWidth="1"/>
    <col min="12559" max="12559" width="9.28515625" style="184" bestFit="1" customWidth="1"/>
    <col min="12560" max="12779" width="9.140625" style="184"/>
    <col min="12780" max="12780" width="4.7109375" style="184" customWidth="1"/>
    <col min="12781" max="12781" width="30.28515625" style="184" customWidth="1"/>
    <col min="12782" max="12782" width="19.42578125" style="184" customWidth="1"/>
    <col min="12783" max="12783" width="10.85546875" style="184" customWidth="1"/>
    <col min="12784" max="12784" width="13.28515625" style="184" customWidth="1"/>
    <col min="12785" max="12785" width="12.42578125" style="184" customWidth="1"/>
    <col min="12786" max="12786" width="12.42578125" style="184" bestFit="1" customWidth="1"/>
    <col min="12787" max="12787" width="12.28515625" style="184" customWidth="1"/>
    <col min="12788" max="12788" width="14.42578125" style="184" customWidth="1"/>
    <col min="12789" max="12789" width="12.5703125" style="184" customWidth="1"/>
    <col min="12790" max="12790" width="14.85546875" style="184" customWidth="1"/>
    <col min="12791" max="12795" width="14" style="184" customWidth="1"/>
    <col min="12796" max="12796" width="15.5703125" style="184" customWidth="1"/>
    <col min="12797" max="12797" width="14.5703125" style="184" customWidth="1"/>
    <col min="12798" max="12798" width="14.85546875" style="184" customWidth="1"/>
    <col min="12799" max="12799" width="13" style="184" customWidth="1"/>
    <col min="12800" max="12800" width="14.42578125" style="184" customWidth="1"/>
    <col min="12801" max="12801" width="14.140625" style="184" customWidth="1"/>
    <col min="12802" max="12802" width="15.42578125" style="184" customWidth="1"/>
    <col min="12803" max="12803" width="14.42578125" style="184" customWidth="1"/>
    <col min="12804" max="12804" width="14" style="184" customWidth="1"/>
    <col min="12805" max="12805" width="15.85546875" style="184" customWidth="1"/>
    <col min="12806" max="12806" width="13.7109375" style="184" bestFit="1" customWidth="1"/>
    <col min="12807" max="12807" width="10.140625" style="184" customWidth="1"/>
    <col min="12808" max="12808" width="11.7109375" style="184" customWidth="1"/>
    <col min="12809" max="12809" width="16" style="184" customWidth="1"/>
    <col min="12810" max="12810" width="15.42578125" style="184" customWidth="1"/>
    <col min="12811" max="12811" width="15.5703125" style="184" customWidth="1"/>
    <col min="12812" max="12812" width="16.140625" style="184" customWidth="1"/>
    <col min="12813" max="12813" width="13.85546875" style="184" customWidth="1"/>
    <col min="12814" max="12814" width="15.42578125" style="184" customWidth="1"/>
    <col min="12815" max="12815" width="9.28515625" style="184" bestFit="1" customWidth="1"/>
    <col min="12816" max="13035" width="9.140625" style="184"/>
    <col min="13036" max="13036" width="4.7109375" style="184" customWidth="1"/>
    <col min="13037" max="13037" width="30.28515625" style="184" customWidth="1"/>
    <col min="13038" max="13038" width="19.42578125" style="184" customWidth="1"/>
    <col min="13039" max="13039" width="10.85546875" style="184" customWidth="1"/>
    <col min="13040" max="13040" width="13.28515625" style="184" customWidth="1"/>
    <col min="13041" max="13041" width="12.42578125" style="184" customWidth="1"/>
    <col min="13042" max="13042" width="12.42578125" style="184" bestFit="1" customWidth="1"/>
    <col min="13043" max="13043" width="12.28515625" style="184" customWidth="1"/>
    <col min="13044" max="13044" width="14.42578125" style="184" customWidth="1"/>
    <col min="13045" max="13045" width="12.5703125" style="184" customWidth="1"/>
    <col min="13046" max="13046" width="14.85546875" style="184" customWidth="1"/>
    <col min="13047" max="13051" width="14" style="184" customWidth="1"/>
    <col min="13052" max="13052" width="15.5703125" style="184" customWidth="1"/>
    <col min="13053" max="13053" width="14.5703125" style="184" customWidth="1"/>
    <col min="13054" max="13054" width="14.85546875" style="184" customWidth="1"/>
    <col min="13055" max="13055" width="13" style="184" customWidth="1"/>
    <col min="13056" max="13056" width="14.42578125" style="184" customWidth="1"/>
    <col min="13057" max="13057" width="14.140625" style="184" customWidth="1"/>
    <col min="13058" max="13058" width="15.42578125" style="184" customWidth="1"/>
    <col min="13059" max="13059" width="14.42578125" style="184" customWidth="1"/>
    <col min="13060" max="13060" width="14" style="184" customWidth="1"/>
    <col min="13061" max="13061" width="15.85546875" style="184" customWidth="1"/>
    <col min="13062" max="13062" width="13.7109375" style="184" bestFit="1" customWidth="1"/>
    <col min="13063" max="13063" width="10.140625" style="184" customWidth="1"/>
    <col min="13064" max="13064" width="11.7109375" style="184" customWidth="1"/>
    <col min="13065" max="13065" width="16" style="184" customWidth="1"/>
    <col min="13066" max="13066" width="15.42578125" style="184" customWidth="1"/>
    <col min="13067" max="13067" width="15.5703125" style="184" customWidth="1"/>
    <col min="13068" max="13068" width="16.140625" style="184" customWidth="1"/>
    <col min="13069" max="13069" width="13.85546875" style="184" customWidth="1"/>
    <col min="13070" max="13070" width="15.42578125" style="184" customWidth="1"/>
    <col min="13071" max="13071" width="9.28515625" style="184" bestFit="1" customWidth="1"/>
    <col min="13072" max="13291" width="9.140625" style="184"/>
    <col min="13292" max="13292" width="4.7109375" style="184" customWidth="1"/>
    <col min="13293" max="13293" width="30.28515625" style="184" customWidth="1"/>
    <col min="13294" max="13294" width="19.42578125" style="184" customWidth="1"/>
    <col min="13295" max="13295" width="10.85546875" style="184" customWidth="1"/>
    <col min="13296" max="13296" width="13.28515625" style="184" customWidth="1"/>
    <col min="13297" max="13297" width="12.42578125" style="184" customWidth="1"/>
    <col min="13298" max="13298" width="12.42578125" style="184" bestFit="1" customWidth="1"/>
    <col min="13299" max="13299" width="12.28515625" style="184" customWidth="1"/>
    <col min="13300" max="13300" width="14.42578125" style="184" customWidth="1"/>
    <col min="13301" max="13301" width="12.5703125" style="184" customWidth="1"/>
    <col min="13302" max="13302" width="14.85546875" style="184" customWidth="1"/>
    <col min="13303" max="13307" width="14" style="184" customWidth="1"/>
    <col min="13308" max="13308" width="15.5703125" style="184" customWidth="1"/>
    <col min="13309" max="13309" width="14.5703125" style="184" customWidth="1"/>
    <col min="13310" max="13310" width="14.85546875" style="184" customWidth="1"/>
    <col min="13311" max="13311" width="13" style="184" customWidth="1"/>
    <col min="13312" max="13312" width="14.42578125" style="184" customWidth="1"/>
    <col min="13313" max="13313" width="14.140625" style="184" customWidth="1"/>
    <col min="13314" max="13314" width="15.42578125" style="184" customWidth="1"/>
    <col min="13315" max="13315" width="14.42578125" style="184" customWidth="1"/>
    <col min="13316" max="13316" width="14" style="184" customWidth="1"/>
    <col min="13317" max="13317" width="15.85546875" style="184" customWidth="1"/>
    <col min="13318" max="13318" width="13.7109375" style="184" bestFit="1" customWidth="1"/>
    <col min="13319" max="13319" width="10.140625" style="184" customWidth="1"/>
    <col min="13320" max="13320" width="11.7109375" style="184" customWidth="1"/>
    <col min="13321" max="13321" width="16" style="184" customWidth="1"/>
    <col min="13322" max="13322" width="15.42578125" style="184" customWidth="1"/>
    <col min="13323" max="13323" width="15.5703125" style="184" customWidth="1"/>
    <col min="13324" max="13324" width="16.140625" style="184" customWidth="1"/>
    <col min="13325" max="13325" width="13.85546875" style="184" customWidth="1"/>
    <col min="13326" max="13326" width="15.42578125" style="184" customWidth="1"/>
    <col min="13327" max="13327" width="9.28515625" style="184" bestFit="1" customWidth="1"/>
    <col min="13328" max="13547" width="9.140625" style="184"/>
    <col min="13548" max="13548" width="4.7109375" style="184" customWidth="1"/>
    <col min="13549" max="13549" width="30.28515625" style="184" customWidth="1"/>
    <col min="13550" max="13550" width="19.42578125" style="184" customWidth="1"/>
    <col min="13551" max="13551" width="10.85546875" style="184" customWidth="1"/>
    <col min="13552" max="13552" width="13.28515625" style="184" customWidth="1"/>
    <col min="13553" max="13553" width="12.42578125" style="184" customWidth="1"/>
    <col min="13554" max="13554" width="12.42578125" style="184" bestFit="1" customWidth="1"/>
    <col min="13555" max="13555" width="12.28515625" style="184" customWidth="1"/>
    <col min="13556" max="13556" width="14.42578125" style="184" customWidth="1"/>
    <col min="13557" max="13557" width="12.5703125" style="184" customWidth="1"/>
    <col min="13558" max="13558" width="14.85546875" style="184" customWidth="1"/>
    <col min="13559" max="13563" width="14" style="184" customWidth="1"/>
    <col min="13564" max="13564" width="15.5703125" style="184" customWidth="1"/>
    <col min="13565" max="13565" width="14.5703125" style="184" customWidth="1"/>
    <col min="13566" max="13566" width="14.85546875" style="184" customWidth="1"/>
    <col min="13567" max="13567" width="13" style="184" customWidth="1"/>
    <col min="13568" max="13568" width="14.42578125" style="184" customWidth="1"/>
    <col min="13569" max="13569" width="14.140625" style="184" customWidth="1"/>
    <col min="13570" max="13570" width="15.42578125" style="184" customWidth="1"/>
    <col min="13571" max="13571" width="14.42578125" style="184" customWidth="1"/>
    <col min="13572" max="13572" width="14" style="184" customWidth="1"/>
    <col min="13573" max="13573" width="15.85546875" style="184" customWidth="1"/>
    <col min="13574" max="13574" width="13.7109375" style="184" bestFit="1" customWidth="1"/>
    <col min="13575" max="13575" width="10.140625" style="184" customWidth="1"/>
    <col min="13576" max="13576" width="11.7109375" style="184" customWidth="1"/>
    <col min="13577" max="13577" width="16" style="184" customWidth="1"/>
    <col min="13578" max="13578" width="15.42578125" style="184" customWidth="1"/>
    <col min="13579" max="13579" width="15.5703125" style="184" customWidth="1"/>
    <col min="13580" max="13580" width="16.140625" style="184" customWidth="1"/>
    <col min="13581" max="13581" width="13.85546875" style="184" customWidth="1"/>
    <col min="13582" max="13582" width="15.42578125" style="184" customWidth="1"/>
    <col min="13583" max="13583" width="9.28515625" style="184" bestFit="1" customWidth="1"/>
    <col min="13584" max="13803" width="9.140625" style="184"/>
    <col min="13804" max="13804" width="4.7109375" style="184" customWidth="1"/>
    <col min="13805" max="13805" width="30.28515625" style="184" customWidth="1"/>
    <col min="13806" max="13806" width="19.42578125" style="184" customWidth="1"/>
    <col min="13807" max="13807" width="10.85546875" style="184" customWidth="1"/>
    <col min="13808" max="13808" width="13.28515625" style="184" customWidth="1"/>
    <col min="13809" max="13809" width="12.42578125" style="184" customWidth="1"/>
    <col min="13810" max="13810" width="12.42578125" style="184" bestFit="1" customWidth="1"/>
    <col min="13811" max="13811" width="12.28515625" style="184" customWidth="1"/>
    <col min="13812" max="13812" width="14.42578125" style="184" customWidth="1"/>
    <col min="13813" max="13813" width="12.5703125" style="184" customWidth="1"/>
    <col min="13814" max="13814" width="14.85546875" style="184" customWidth="1"/>
    <col min="13815" max="13819" width="14" style="184" customWidth="1"/>
    <col min="13820" max="13820" width="15.5703125" style="184" customWidth="1"/>
    <col min="13821" max="13821" width="14.5703125" style="184" customWidth="1"/>
    <col min="13822" max="13822" width="14.85546875" style="184" customWidth="1"/>
    <col min="13823" max="13823" width="13" style="184" customWidth="1"/>
    <col min="13824" max="13824" width="14.42578125" style="184" customWidth="1"/>
    <col min="13825" max="13825" width="14.140625" style="184" customWidth="1"/>
    <col min="13826" max="13826" width="15.42578125" style="184" customWidth="1"/>
    <col min="13827" max="13827" width="14.42578125" style="184" customWidth="1"/>
    <col min="13828" max="13828" width="14" style="184" customWidth="1"/>
    <col min="13829" max="13829" width="15.85546875" style="184" customWidth="1"/>
    <col min="13830" max="13830" width="13.7109375" style="184" bestFit="1" customWidth="1"/>
    <col min="13831" max="13831" width="10.140625" style="184" customWidth="1"/>
    <col min="13832" max="13832" width="11.7109375" style="184" customWidth="1"/>
    <col min="13833" max="13833" width="16" style="184" customWidth="1"/>
    <col min="13834" max="13834" width="15.42578125" style="184" customWidth="1"/>
    <col min="13835" max="13835" width="15.5703125" style="184" customWidth="1"/>
    <col min="13836" max="13836" width="16.140625" style="184" customWidth="1"/>
    <col min="13837" max="13837" width="13.85546875" style="184" customWidth="1"/>
    <col min="13838" max="13838" width="15.42578125" style="184" customWidth="1"/>
    <col min="13839" max="13839" width="9.28515625" style="184" bestFit="1" customWidth="1"/>
    <col min="13840" max="14059" width="9.140625" style="184"/>
    <col min="14060" max="14060" width="4.7109375" style="184" customWidth="1"/>
    <col min="14061" max="14061" width="30.28515625" style="184" customWidth="1"/>
    <col min="14062" max="14062" width="19.42578125" style="184" customWidth="1"/>
    <col min="14063" max="14063" width="10.85546875" style="184" customWidth="1"/>
    <col min="14064" max="14064" width="13.28515625" style="184" customWidth="1"/>
    <col min="14065" max="14065" width="12.42578125" style="184" customWidth="1"/>
    <col min="14066" max="14066" width="12.42578125" style="184" bestFit="1" customWidth="1"/>
    <col min="14067" max="14067" width="12.28515625" style="184" customWidth="1"/>
    <col min="14068" max="14068" width="14.42578125" style="184" customWidth="1"/>
    <col min="14069" max="14069" width="12.5703125" style="184" customWidth="1"/>
    <col min="14070" max="14070" width="14.85546875" style="184" customWidth="1"/>
    <col min="14071" max="14075" width="14" style="184" customWidth="1"/>
    <col min="14076" max="14076" width="15.5703125" style="184" customWidth="1"/>
    <col min="14077" max="14077" width="14.5703125" style="184" customWidth="1"/>
    <col min="14078" max="14078" width="14.85546875" style="184" customWidth="1"/>
    <col min="14079" max="14079" width="13" style="184" customWidth="1"/>
    <col min="14080" max="14080" width="14.42578125" style="184" customWidth="1"/>
    <col min="14081" max="14081" width="14.140625" style="184" customWidth="1"/>
    <col min="14082" max="14082" width="15.42578125" style="184" customWidth="1"/>
    <col min="14083" max="14083" width="14.42578125" style="184" customWidth="1"/>
    <col min="14084" max="14084" width="14" style="184" customWidth="1"/>
    <col min="14085" max="14085" width="15.85546875" style="184" customWidth="1"/>
    <col min="14086" max="14086" width="13.7109375" style="184" bestFit="1" customWidth="1"/>
    <col min="14087" max="14087" width="10.140625" style="184" customWidth="1"/>
    <col min="14088" max="14088" width="11.7109375" style="184" customWidth="1"/>
    <col min="14089" max="14089" width="16" style="184" customWidth="1"/>
    <col min="14090" max="14090" width="15.42578125" style="184" customWidth="1"/>
    <col min="14091" max="14091" width="15.5703125" style="184" customWidth="1"/>
    <col min="14092" max="14092" width="16.140625" style="184" customWidth="1"/>
    <col min="14093" max="14093" width="13.85546875" style="184" customWidth="1"/>
    <col min="14094" max="14094" width="15.42578125" style="184" customWidth="1"/>
    <col min="14095" max="14095" width="9.28515625" style="184" bestFit="1" customWidth="1"/>
    <col min="14096" max="14315" width="9.140625" style="184"/>
    <col min="14316" max="14316" width="4.7109375" style="184" customWidth="1"/>
    <col min="14317" max="14317" width="30.28515625" style="184" customWidth="1"/>
    <col min="14318" max="14318" width="19.42578125" style="184" customWidth="1"/>
    <col min="14319" max="14319" width="10.85546875" style="184" customWidth="1"/>
    <col min="14320" max="14320" width="13.28515625" style="184" customWidth="1"/>
    <col min="14321" max="14321" width="12.42578125" style="184" customWidth="1"/>
    <col min="14322" max="14322" width="12.42578125" style="184" bestFit="1" customWidth="1"/>
    <col min="14323" max="14323" width="12.28515625" style="184" customWidth="1"/>
    <col min="14324" max="14324" width="14.42578125" style="184" customWidth="1"/>
    <col min="14325" max="14325" width="12.5703125" style="184" customWidth="1"/>
    <col min="14326" max="14326" width="14.85546875" style="184" customWidth="1"/>
    <col min="14327" max="14331" width="14" style="184" customWidth="1"/>
    <col min="14332" max="14332" width="15.5703125" style="184" customWidth="1"/>
    <col min="14333" max="14333" width="14.5703125" style="184" customWidth="1"/>
    <col min="14334" max="14334" width="14.85546875" style="184" customWidth="1"/>
    <col min="14335" max="14335" width="13" style="184" customWidth="1"/>
    <col min="14336" max="14336" width="14.42578125" style="184" customWidth="1"/>
    <col min="14337" max="14337" width="14.140625" style="184" customWidth="1"/>
    <col min="14338" max="14338" width="15.42578125" style="184" customWidth="1"/>
    <col min="14339" max="14339" width="14.42578125" style="184" customWidth="1"/>
    <col min="14340" max="14340" width="14" style="184" customWidth="1"/>
    <col min="14341" max="14341" width="15.85546875" style="184" customWidth="1"/>
    <col min="14342" max="14342" width="13.7109375" style="184" bestFit="1" customWidth="1"/>
    <col min="14343" max="14343" width="10.140625" style="184" customWidth="1"/>
    <col min="14344" max="14344" width="11.7109375" style="184" customWidth="1"/>
    <col min="14345" max="14345" width="16" style="184" customWidth="1"/>
    <col min="14346" max="14346" width="15.42578125" style="184" customWidth="1"/>
    <col min="14347" max="14347" width="15.5703125" style="184" customWidth="1"/>
    <col min="14348" max="14348" width="16.140625" style="184" customWidth="1"/>
    <col min="14349" max="14349" width="13.85546875" style="184" customWidth="1"/>
    <col min="14350" max="14350" width="15.42578125" style="184" customWidth="1"/>
    <col min="14351" max="14351" width="9.28515625" style="184" bestFit="1" customWidth="1"/>
    <col min="14352" max="14571" width="9.140625" style="184"/>
    <col min="14572" max="14572" width="4.7109375" style="184" customWidth="1"/>
    <col min="14573" max="14573" width="30.28515625" style="184" customWidth="1"/>
    <col min="14574" max="14574" width="19.42578125" style="184" customWidth="1"/>
    <col min="14575" max="14575" width="10.85546875" style="184" customWidth="1"/>
    <col min="14576" max="14576" width="13.28515625" style="184" customWidth="1"/>
    <col min="14577" max="14577" width="12.42578125" style="184" customWidth="1"/>
    <col min="14578" max="14578" width="12.42578125" style="184" bestFit="1" customWidth="1"/>
    <col min="14579" max="14579" width="12.28515625" style="184" customWidth="1"/>
    <col min="14580" max="14580" width="14.42578125" style="184" customWidth="1"/>
    <col min="14581" max="14581" width="12.5703125" style="184" customWidth="1"/>
    <col min="14582" max="14582" width="14.85546875" style="184" customWidth="1"/>
    <col min="14583" max="14587" width="14" style="184" customWidth="1"/>
    <col min="14588" max="14588" width="15.5703125" style="184" customWidth="1"/>
    <col min="14589" max="14589" width="14.5703125" style="184" customWidth="1"/>
    <col min="14590" max="14590" width="14.85546875" style="184" customWidth="1"/>
    <col min="14591" max="14591" width="13" style="184" customWidth="1"/>
    <col min="14592" max="14592" width="14.42578125" style="184" customWidth="1"/>
    <col min="14593" max="14593" width="14.140625" style="184" customWidth="1"/>
    <col min="14594" max="14594" width="15.42578125" style="184" customWidth="1"/>
    <col min="14595" max="14595" width="14.42578125" style="184" customWidth="1"/>
    <col min="14596" max="14596" width="14" style="184" customWidth="1"/>
    <col min="14597" max="14597" width="15.85546875" style="184" customWidth="1"/>
    <col min="14598" max="14598" width="13.7109375" style="184" bestFit="1" customWidth="1"/>
    <col min="14599" max="14599" width="10.140625" style="184" customWidth="1"/>
    <col min="14600" max="14600" width="11.7109375" style="184" customWidth="1"/>
    <col min="14601" max="14601" width="16" style="184" customWidth="1"/>
    <col min="14602" max="14602" width="15.42578125" style="184" customWidth="1"/>
    <col min="14603" max="14603" width="15.5703125" style="184" customWidth="1"/>
    <col min="14604" max="14604" width="16.140625" style="184" customWidth="1"/>
    <col min="14605" max="14605" width="13.85546875" style="184" customWidth="1"/>
    <col min="14606" max="14606" width="15.42578125" style="184" customWidth="1"/>
    <col min="14607" max="14607" width="9.28515625" style="184" bestFit="1" customWidth="1"/>
    <col min="14608" max="14827" width="9.140625" style="184"/>
    <col min="14828" max="14828" width="4.7109375" style="184" customWidth="1"/>
    <col min="14829" max="14829" width="30.28515625" style="184" customWidth="1"/>
    <col min="14830" max="14830" width="19.42578125" style="184" customWidth="1"/>
    <col min="14831" max="14831" width="10.85546875" style="184" customWidth="1"/>
    <col min="14832" max="14832" width="13.28515625" style="184" customWidth="1"/>
    <col min="14833" max="14833" width="12.42578125" style="184" customWidth="1"/>
    <col min="14834" max="14834" width="12.42578125" style="184" bestFit="1" customWidth="1"/>
    <col min="14835" max="14835" width="12.28515625" style="184" customWidth="1"/>
    <col min="14836" max="14836" width="14.42578125" style="184" customWidth="1"/>
    <col min="14837" max="14837" width="12.5703125" style="184" customWidth="1"/>
    <col min="14838" max="14838" width="14.85546875" style="184" customWidth="1"/>
    <col min="14839" max="14843" width="14" style="184" customWidth="1"/>
    <col min="14844" max="14844" width="15.5703125" style="184" customWidth="1"/>
    <col min="14845" max="14845" width="14.5703125" style="184" customWidth="1"/>
    <col min="14846" max="14846" width="14.85546875" style="184" customWidth="1"/>
    <col min="14847" max="14847" width="13" style="184" customWidth="1"/>
    <col min="14848" max="14848" width="14.42578125" style="184" customWidth="1"/>
    <col min="14849" max="14849" width="14.140625" style="184" customWidth="1"/>
    <col min="14850" max="14850" width="15.42578125" style="184" customWidth="1"/>
    <col min="14851" max="14851" width="14.42578125" style="184" customWidth="1"/>
    <col min="14852" max="14852" width="14" style="184" customWidth="1"/>
    <col min="14853" max="14853" width="15.85546875" style="184" customWidth="1"/>
    <col min="14854" max="14854" width="13.7109375" style="184" bestFit="1" customWidth="1"/>
    <col min="14855" max="14855" width="10.140625" style="184" customWidth="1"/>
    <col min="14856" max="14856" width="11.7109375" style="184" customWidth="1"/>
    <col min="14857" max="14857" width="16" style="184" customWidth="1"/>
    <col min="14858" max="14858" width="15.42578125" style="184" customWidth="1"/>
    <col min="14859" max="14859" width="15.5703125" style="184" customWidth="1"/>
    <col min="14860" max="14860" width="16.140625" style="184" customWidth="1"/>
    <col min="14861" max="14861" width="13.85546875" style="184" customWidth="1"/>
    <col min="14862" max="14862" width="15.42578125" style="184" customWidth="1"/>
    <col min="14863" max="14863" width="9.28515625" style="184" bestFit="1" customWidth="1"/>
    <col min="14864" max="15083" width="9.140625" style="184"/>
    <col min="15084" max="15084" width="4.7109375" style="184" customWidth="1"/>
    <col min="15085" max="15085" width="30.28515625" style="184" customWidth="1"/>
    <col min="15086" max="15086" width="19.42578125" style="184" customWidth="1"/>
    <col min="15087" max="15087" width="10.85546875" style="184" customWidth="1"/>
    <col min="15088" max="15088" width="13.28515625" style="184" customWidth="1"/>
    <col min="15089" max="15089" width="12.42578125" style="184" customWidth="1"/>
    <col min="15090" max="15090" width="12.42578125" style="184" bestFit="1" customWidth="1"/>
    <col min="15091" max="15091" width="12.28515625" style="184" customWidth="1"/>
    <col min="15092" max="15092" width="14.42578125" style="184" customWidth="1"/>
    <col min="15093" max="15093" width="12.5703125" style="184" customWidth="1"/>
    <col min="15094" max="15094" width="14.85546875" style="184" customWidth="1"/>
    <col min="15095" max="15099" width="14" style="184" customWidth="1"/>
    <col min="15100" max="15100" width="15.5703125" style="184" customWidth="1"/>
    <col min="15101" max="15101" width="14.5703125" style="184" customWidth="1"/>
    <col min="15102" max="15102" width="14.85546875" style="184" customWidth="1"/>
    <col min="15103" max="15103" width="13" style="184" customWidth="1"/>
    <col min="15104" max="15104" width="14.42578125" style="184" customWidth="1"/>
    <col min="15105" max="15105" width="14.140625" style="184" customWidth="1"/>
    <col min="15106" max="15106" width="15.42578125" style="184" customWidth="1"/>
    <col min="15107" max="15107" width="14.42578125" style="184" customWidth="1"/>
    <col min="15108" max="15108" width="14" style="184" customWidth="1"/>
    <col min="15109" max="15109" width="15.85546875" style="184" customWidth="1"/>
    <col min="15110" max="15110" width="13.7109375" style="184" bestFit="1" customWidth="1"/>
    <col min="15111" max="15111" width="10.140625" style="184" customWidth="1"/>
    <col min="15112" max="15112" width="11.7109375" style="184" customWidth="1"/>
    <col min="15113" max="15113" width="16" style="184" customWidth="1"/>
    <col min="15114" max="15114" width="15.42578125" style="184" customWidth="1"/>
    <col min="15115" max="15115" width="15.5703125" style="184" customWidth="1"/>
    <col min="15116" max="15116" width="16.140625" style="184" customWidth="1"/>
    <col min="15117" max="15117" width="13.85546875" style="184" customWidth="1"/>
    <col min="15118" max="15118" width="15.42578125" style="184" customWidth="1"/>
    <col min="15119" max="15119" width="9.28515625" style="184" bestFit="1" customWidth="1"/>
    <col min="15120" max="15339" width="9.140625" style="184"/>
    <col min="15340" max="15340" width="4.7109375" style="184" customWidth="1"/>
    <col min="15341" max="15341" width="30.28515625" style="184" customWidth="1"/>
    <col min="15342" max="15342" width="19.42578125" style="184" customWidth="1"/>
    <col min="15343" max="15343" width="10.85546875" style="184" customWidth="1"/>
    <col min="15344" max="15344" width="13.28515625" style="184" customWidth="1"/>
    <col min="15345" max="15345" width="12.42578125" style="184" customWidth="1"/>
    <col min="15346" max="15346" width="12.42578125" style="184" bestFit="1" customWidth="1"/>
    <col min="15347" max="15347" width="12.28515625" style="184" customWidth="1"/>
    <col min="15348" max="15348" width="14.42578125" style="184" customWidth="1"/>
    <col min="15349" max="15349" width="12.5703125" style="184" customWidth="1"/>
    <col min="15350" max="15350" width="14.85546875" style="184" customWidth="1"/>
    <col min="15351" max="15355" width="14" style="184" customWidth="1"/>
    <col min="15356" max="15356" width="15.5703125" style="184" customWidth="1"/>
    <col min="15357" max="15357" width="14.5703125" style="184" customWidth="1"/>
    <col min="15358" max="15358" width="14.85546875" style="184" customWidth="1"/>
    <col min="15359" max="15359" width="13" style="184" customWidth="1"/>
    <col min="15360" max="15360" width="14.42578125" style="184" customWidth="1"/>
    <col min="15361" max="15361" width="14.140625" style="184" customWidth="1"/>
    <col min="15362" max="15362" width="15.42578125" style="184" customWidth="1"/>
    <col min="15363" max="15363" width="14.42578125" style="184" customWidth="1"/>
    <col min="15364" max="15364" width="14" style="184" customWidth="1"/>
    <col min="15365" max="15365" width="15.85546875" style="184" customWidth="1"/>
    <col min="15366" max="15366" width="13.7109375" style="184" bestFit="1" customWidth="1"/>
    <col min="15367" max="15367" width="10.140625" style="184" customWidth="1"/>
    <col min="15368" max="15368" width="11.7109375" style="184" customWidth="1"/>
    <col min="15369" max="15369" width="16" style="184" customWidth="1"/>
    <col min="15370" max="15370" width="15.42578125" style="184" customWidth="1"/>
    <col min="15371" max="15371" width="15.5703125" style="184" customWidth="1"/>
    <col min="15372" max="15372" width="16.140625" style="184" customWidth="1"/>
    <col min="15373" max="15373" width="13.85546875" style="184" customWidth="1"/>
    <col min="15374" max="15374" width="15.42578125" style="184" customWidth="1"/>
    <col min="15375" max="15375" width="9.28515625" style="184" bestFit="1" customWidth="1"/>
    <col min="15376" max="15595" width="9.140625" style="184"/>
    <col min="15596" max="15596" width="4.7109375" style="184" customWidth="1"/>
    <col min="15597" max="15597" width="30.28515625" style="184" customWidth="1"/>
    <col min="15598" max="15598" width="19.42578125" style="184" customWidth="1"/>
    <col min="15599" max="15599" width="10.85546875" style="184" customWidth="1"/>
    <col min="15600" max="15600" width="13.28515625" style="184" customWidth="1"/>
    <col min="15601" max="15601" width="12.42578125" style="184" customWidth="1"/>
    <col min="15602" max="15602" width="12.42578125" style="184" bestFit="1" customWidth="1"/>
    <col min="15603" max="15603" width="12.28515625" style="184" customWidth="1"/>
    <col min="15604" max="15604" width="14.42578125" style="184" customWidth="1"/>
    <col min="15605" max="15605" width="12.5703125" style="184" customWidth="1"/>
    <col min="15606" max="15606" width="14.85546875" style="184" customWidth="1"/>
    <col min="15607" max="15611" width="14" style="184" customWidth="1"/>
    <col min="15612" max="15612" width="15.5703125" style="184" customWidth="1"/>
    <col min="15613" max="15613" width="14.5703125" style="184" customWidth="1"/>
    <col min="15614" max="15614" width="14.85546875" style="184" customWidth="1"/>
    <col min="15615" max="15615" width="13" style="184" customWidth="1"/>
    <col min="15616" max="15616" width="14.42578125" style="184" customWidth="1"/>
    <col min="15617" max="15617" width="14.140625" style="184" customWidth="1"/>
    <col min="15618" max="15618" width="15.42578125" style="184" customWidth="1"/>
    <col min="15619" max="15619" width="14.42578125" style="184" customWidth="1"/>
    <col min="15620" max="15620" width="14" style="184" customWidth="1"/>
    <col min="15621" max="15621" width="15.85546875" style="184" customWidth="1"/>
    <col min="15622" max="15622" width="13.7109375" style="184" bestFit="1" customWidth="1"/>
    <col min="15623" max="15623" width="10.140625" style="184" customWidth="1"/>
    <col min="15624" max="15624" width="11.7109375" style="184" customWidth="1"/>
    <col min="15625" max="15625" width="16" style="184" customWidth="1"/>
    <col min="15626" max="15626" width="15.42578125" style="184" customWidth="1"/>
    <col min="15627" max="15627" width="15.5703125" style="184" customWidth="1"/>
    <col min="15628" max="15628" width="16.140625" style="184" customWidth="1"/>
    <col min="15629" max="15629" width="13.85546875" style="184" customWidth="1"/>
    <col min="15630" max="15630" width="15.42578125" style="184" customWidth="1"/>
    <col min="15631" max="15631" width="9.28515625" style="184" bestFit="1" customWidth="1"/>
    <col min="15632" max="15851" width="9.140625" style="184"/>
    <col min="15852" max="15852" width="4.7109375" style="184" customWidth="1"/>
    <col min="15853" max="15853" width="30.28515625" style="184" customWidth="1"/>
    <col min="15854" max="15854" width="19.42578125" style="184" customWidth="1"/>
    <col min="15855" max="15855" width="10.85546875" style="184" customWidth="1"/>
    <col min="15856" max="15856" width="13.28515625" style="184" customWidth="1"/>
    <col min="15857" max="15857" width="12.42578125" style="184" customWidth="1"/>
    <col min="15858" max="15858" width="12.42578125" style="184" bestFit="1" customWidth="1"/>
    <col min="15859" max="15859" width="12.28515625" style="184" customWidth="1"/>
    <col min="15860" max="15860" width="14.42578125" style="184" customWidth="1"/>
    <col min="15861" max="15861" width="12.5703125" style="184" customWidth="1"/>
    <col min="15862" max="15862" width="14.85546875" style="184" customWidth="1"/>
    <col min="15863" max="15867" width="14" style="184" customWidth="1"/>
    <col min="15868" max="15868" width="15.5703125" style="184" customWidth="1"/>
    <col min="15869" max="15869" width="14.5703125" style="184" customWidth="1"/>
    <col min="15870" max="15870" width="14.85546875" style="184" customWidth="1"/>
    <col min="15871" max="15871" width="13" style="184" customWidth="1"/>
    <col min="15872" max="15872" width="14.42578125" style="184" customWidth="1"/>
    <col min="15873" max="15873" width="14.140625" style="184" customWidth="1"/>
    <col min="15874" max="15874" width="15.42578125" style="184" customWidth="1"/>
    <col min="15875" max="15875" width="14.42578125" style="184" customWidth="1"/>
    <col min="15876" max="15876" width="14" style="184" customWidth="1"/>
    <col min="15877" max="15877" width="15.85546875" style="184" customWidth="1"/>
    <col min="15878" max="15878" width="13.7109375" style="184" bestFit="1" customWidth="1"/>
    <col min="15879" max="15879" width="10.140625" style="184" customWidth="1"/>
    <col min="15880" max="15880" width="11.7109375" style="184" customWidth="1"/>
    <col min="15881" max="15881" width="16" style="184" customWidth="1"/>
    <col min="15882" max="15882" width="15.42578125" style="184" customWidth="1"/>
    <col min="15883" max="15883" width="15.5703125" style="184" customWidth="1"/>
    <col min="15884" max="15884" width="16.140625" style="184" customWidth="1"/>
    <col min="15885" max="15885" width="13.85546875" style="184" customWidth="1"/>
    <col min="15886" max="15886" width="15.42578125" style="184" customWidth="1"/>
    <col min="15887" max="15887" width="9.28515625" style="184" bestFit="1" customWidth="1"/>
    <col min="15888" max="16107" width="9.140625" style="184"/>
    <col min="16108" max="16108" width="4.7109375" style="184" customWidth="1"/>
    <col min="16109" max="16109" width="30.28515625" style="184" customWidth="1"/>
    <col min="16110" max="16110" width="19.42578125" style="184" customWidth="1"/>
    <col min="16111" max="16111" width="10.85546875" style="184" customWidth="1"/>
    <col min="16112" max="16112" width="13.28515625" style="184" customWidth="1"/>
    <col min="16113" max="16113" width="12.42578125" style="184" customWidth="1"/>
    <col min="16114" max="16114" width="12.42578125" style="184" bestFit="1" customWidth="1"/>
    <col min="16115" max="16115" width="12.28515625" style="184" customWidth="1"/>
    <col min="16116" max="16116" width="14.42578125" style="184" customWidth="1"/>
    <col min="16117" max="16117" width="12.5703125" style="184" customWidth="1"/>
    <col min="16118" max="16118" width="14.85546875" style="184" customWidth="1"/>
    <col min="16119" max="16123" width="14" style="184" customWidth="1"/>
    <col min="16124" max="16124" width="15.5703125" style="184" customWidth="1"/>
    <col min="16125" max="16125" width="14.5703125" style="184" customWidth="1"/>
    <col min="16126" max="16126" width="14.85546875" style="184" customWidth="1"/>
    <col min="16127" max="16127" width="13" style="184" customWidth="1"/>
    <col min="16128" max="16128" width="14.42578125" style="184" customWidth="1"/>
    <col min="16129" max="16129" width="14.140625" style="184" customWidth="1"/>
    <col min="16130" max="16130" width="15.42578125" style="184" customWidth="1"/>
    <col min="16131" max="16131" width="14.42578125" style="184" customWidth="1"/>
    <col min="16132" max="16132" width="14" style="184" customWidth="1"/>
    <col min="16133" max="16133" width="15.85546875" style="184" customWidth="1"/>
    <col min="16134" max="16134" width="13.7109375" style="184" bestFit="1" customWidth="1"/>
    <col min="16135" max="16135" width="10.140625" style="184" customWidth="1"/>
    <col min="16136" max="16136" width="11.7109375" style="184" customWidth="1"/>
    <col min="16137" max="16137" width="16" style="184" customWidth="1"/>
    <col min="16138" max="16138" width="15.42578125" style="184" customWidth="1"/>
    <col min="16139" max="16139" width="15.5703125" style="184" customWidth="1"/>
    <col min="16140" max="16140" width="16.140625" style="184" customWidth="1"/>
    <col min="16141" max="16141" width="13.85546875" style="184" customWidth="1"/>
    <col min="16142" max="16142" width="15.42578125" style="184" customWidth="1"/>
    <col min="16143" max="16143" width="9.28515625" style="184" bestFit="1" customWidth="1"/>
    <col min="16144" max="16384" width="9.140625" style="184"/>
  </cols>
  <sheetData>
    <row r="1" spans="1:38" ht="18" x14ac:dyDescent="0.25">
      <c r="A1" s="211" t="s">
        <v>147</v>
      </c>
      <c r="F1" s="177"/>
      <c r="G1" s="178"/>
      <c r="J1" s="178"/>
      <c r="O1" s="181"/>
      <c r="S1" s="181"/>
      <c r="T1" s="182"/>
      <c r="U1" s="182"/>
      <c r="V1" s="183"/>
      <c r="W1" s="183"/>
      <c r="X1" s="182"/>
      <c r="Y1" s="183"/>
      <c r="Z1" s="183"/>
      <c r="AA1" s="183"/>
      <c r="AB1" s="183"/>
      <c r="AC1" s="183"/>
      <c r="AD1" s="183"/>
      <c r="AE1" s="182"/>
      <c r="AF1" s="343"/>
      <c r="AG1" s="185"/>
      <c r="AH1" s="343"/>
      <c r="AI1" s="183"/>
      <c r="AJ1" s="183"/>
      <c r="AK1" s="185"/>
      <c r="AL1" s="180"/>
    </row>
    <row r="2" spans="1:38" ht="14.25" x14ac:dyDescent="0.25">
      <c r="A2" s="210" t="s">
        <v>320</v>
      </c>
      <c r="F2" s="177"/>
      <c r="G2" s="178"/>
      <c r="J2" s="178"/>
      <c r="O2" s="181"/>
      <c r="S2" s="181"/>
      <c r="T2" s="182"/>
      <c r="U2" s="182"/>
      <c r="V2" s="183"/>
      <c r="W2" s="183"/>
      <c r="X2" s="182"/>
      <c r="Y2" s="183"/>
      <c r="Z2" s="183"/>
      <c r="AA2" s="183"/>
      <c r="AB2" s="183"/>
      <c r="AC2" s="183"/>
      <c r="AD2" s="183"/>
      <c r="AE2" s="182"/>
      <c r="AF2" s="343"/>
      <c r="AG2" s="185"/>
      <c r="AH2" s="343"/>
      <c r="AI2" s="183"/>
      <c r="AJ2" s="183"/>
      <c r="AK2" s="185"/>
      <c r="AL2" s="180"/>
    </row>
    <row r="3" spans="1:38" x14ac:dyDescent="0.25">
      <c r="A3" s="186"/>
      <c r="F3" s="177"/>
      <c r="G3" s="178"/>
      <c r="J3" s="178"/>
      <c r="O3" s="181"/>
      <c r="S3" s="181"/>
      <c r="T3" s="182"/>
      <c r="U3" s="182"/>
      <c r="V3" s="183"/>
      <c r="W3" s="183"/>
      <c r="X3" s="182"/>
      <c r="Y3" s="183"/>
      <c r="Z3" s="183"/>
      <c r="AA3" s="183"/>
      <c r="AB3" s="183"/>
      <c r="AC3" s="183"/>
      <c r="AD3" s="183"/>
      <c r="AE3" s="182"/>
      <c r="AF3" s="343"/>
      <c r="AG3" s="185"/>
      <c r="AH3" s="343"/>
      <c r="AI3" s="183"/>
      <c r="AJ3" s="183"/>
      <c r="AK3" s="185"/>
      <c r="AL3" s="180"/>
    </row>
    <row r="4" spans="1:38" ht="12.75" customHeight="1" x14ac:dyDescent="0.25">
      <c r="A4" s="854" t="s">
        <v>86</v>
      </c>
      <c r="B4" s="856" t="s">
        <v>148</v>
      </c>
      <c r="C4" s="858" t="s">
        <v>149</v>
      </c>
      <c r="D4" s="858" t="s">
        <v>196</v>
      </c>
      <c r="E4" s="860" t="s">
        <v>197</v>
      </c>
      <c r="F4" s="843" t="s">
        <v>150</v>
      </c>
      <c r="G4" s="841" t="s">
        <v>151</v>
      </c>
      <c r="H4" s="849" t="s">
        <v>22</v>
      </c>
      <c r="I4" s="850"/>
      <c r="J4" s="850"/>
      <c r="K4" s="850"/>
      <c r="L4" s="850"/>
      <c r="M4" s="850"/>
      <c r="N4" s="850"/>
      <c r="O4" s="850"/>
      <c r="P4" s="850"/>
      <c r="Q4" s="850"/>
      <c r="R4" s="850"/>
      <c r="S4" s="851"/>
      <c r="T4" s="839" t="s">
        <v>24</v>
      </c>
      <c r="U4" s="852" t="s">
        <v>152</v>
      </c>
      <c r="V4" s="839" t="s">
        <v>153</v>
      </c>
      <c r="W4" s="839" t="s">
        <v>154</v>
      </c>
      <c r="X4" s="839" t="s">
        <v>155</v>
      </c>
      <c r="Y4" s="839" t="s">
        <v>156</v>
      </c>
      <c r="Z4" s="845" t="s">
        <v>157</v>
      </c>
      <c r="AA4" s="845" t="s">
        <v>158</v>
      </c>
      <c r="AB4" s="847" t="s">
        <v>159</v>
      </c>
      <c r="AC4" s="841" t="s">
        <v>152</v>
      </c>
      <c r="AD4" s="183"/>
      <c r="AE4" s="182"/>
      <c r="AF4" s="343"/>
      <c r="AG4" s="185"/>
      <c r="AH4" s="343"/>
      <c r="AI4" s="183"/>
      <c r="AJ4" s="183"/>
      <c r="AK4" s="185"/>
      <c r="AL4" s="180"/>
    </row>
    <row r="5" spans="1:38" ht="15" customHeight="1" x14ac:dyDescent="0.25">
      <c r="A5" s="855"/>
      <c r="B5" s="857"/>
      <c r="C5" s="859"/>
      <c r="D5" s="859"/>
      <c r="E5" s="861"/>
      <c r="F5" s="844"/>
      <c r="G5" s="842"/>
      <c r="H5" s="344" t="s">
        <v>306</v>
      </c>
      <c r="I5" s="344" t="s">
        <v>307</v>
      </c>
      <c r="J5" s="345" t="s">
        <v>308</v>
      </c>
      <c r="K5" s="344" t="s">
        <v>309</v>
      </c>
      <c r="L5" s="344" t="s">
        <v>160</v>
      </c>
      <c r="M5" s="344" t="s">
        <v>310</v>
      </c>
      <c r="N5" s="344" t="s">
        <v>104</v>
      </c>
      <c r="O5" s="346" t="s">
        <v>311</v>
      </c>
      <c r="P5" s="347" t="s">
        <v>312</v>
      </c>
      <c r="Q5" s="347" t="s">
        <v>313</v>
      </c>
      <c r="R5" s="347" t="s">
        <v>314</v>
      </c>
      <c r="S5" s="346" t="s">
        <v>315</v>
      </c>
      <c r="T5" s="840"/>
      <c r="U5" s="853"/>
      <c r="V5" s="840"/>
      <c r="W5" s="840"/>
      <c r="X5" s="840"/>
      <c r="Y5" s="840"/>
      <c r="Z5" s="846"/>
      <c r="AA5" s="846"/>
      <c r="AB5" s="848"/>
      <c r="AC5" s="842"/>
      <c r="AD5" s="183"/>
      <c r="AE5" s="182"/>
      <c r="AF5" s="343"/>
      <c r="AG5" s="185"/>
      <c r="AH5" s="343"/>
      <c r="AI5" s="183"/>
      <c r="AJ5" s="183"/>
      <c r="AK5" s="185"/>
      <c r="AL5" s="180"/>
    </row>
    <row r="6" spans="1:38" ht="15" customHeight="1" x14ac:dyDescent="0.25">
      <c r="A6" s="187"/>
      <c r="B6" s="348" t="s">
        <v>161</v>
      </c>
      <c r="C6" s="349"/>
      <c r="D6" s="349"/>
      <c r="E6" s="348"/>
      <c r="F6" s="195"/>
      <c r="G6" s="350"/>
      <c r="H6" s="188"/>
      <c r="I6" s="188"/>
      <c r="J6" s="350"/>
      <c r="K6" s="188"/>
      <c r="L6" s="188"/>
      <c r="M6" s="188"/>
      <c r="N6" s="188"/>
      <c r="O6" s="189"/>
      <c r="P6" s="351"/>
      <c r="Q6" s="351"/>
      <c r="R6" s="351"/>
      <c r="S6" s="189"/>
      <c r="T6" s="352"/>
      <c r="U6" s="353"/>
      <c r="V6" s="190"/>
      <c r="W6" s="190"/>
      <c r="X6" s="190"/>
      <c r="Y6" s="191"/>
      <c r="Z6" s="192"/>
      <c r="AA6" s="190"/>
      <c r="AB6" s="353"/>
      <c r="AC6" s="190"/>
      <c r="AD6" s="183"/>
      <c r="AE6" s="182"/>
      <c r="AF6" s="343"/>
      <c r="AG6" s="185"/>
      <c r="AH6" s="343"/>
      <c r="AI6" s="183"/>
      <c r="AJ6" s="183"/>
      <c r="AK6" s="185"/>
      <c r="AL6" s="180"/>
    </row>
    <row r="7" spans="1:38" ht="15" customHeight="1" x14ac:dyDescent="0.25">
      <c r="A7" s="187"/>
      <c r="B7" s="348"/>
      <c r="C7" s="349"/>
      <c r="D7" s="349"/>
      <c r="E7" s="348"/>
      <c r="F7" s="195"/>
      <c r="G7" s="350"/>
      <c r="H7" s="188"/>
      <c r="I7" s="188"/>
      <c r="J7" s="350"/>
      <c r="K7" s="188"/>
      <c r="L7" s="188"/>
      <c r="M7" s="188"/>
      <c r="N7" s="188"/>
      <c r="O7" s="390"/>
      <c r="P7" s="391"/>
      <c r="Q7" s="351"/>
      <c r="R7" s="351"/>
      <c r="S7" s="189"/>
      <c r="T7" s="352"/>
      <c r="U7" s="353"/>
      <c r="V7" s="190"/>
      <c r="W7" s="193"/>
      <c r="X7" s="190"/>
      <c r="Y7" s="191"/>
      <c r="Z7" s="192"/>
      <c r="AA7" s="190"/>
      <c r="AB7" s="353"/>
      <c r="AC7" s="190"/>
      <c r="AD7" s="183"/>
      <c r="AE7" s="182"/>
      <c r="AF7" s="343"/>
      <c r="AG7" s="185"/>
      <c r="AH7" s="343"/>
      <c r="AI7" s="183"/>
      <c r="AJ7" s="183"/>
      <c r="AK7" s="185"/>
      <c r="AL7" s="180"/>
    </row>
    <row r="8" spans="1:38" ht="25.5" x14ac:dyDescent="0.25">
      <c r="A8" s="194">
        <v>1</v>
      </c>
      <c r="B8" s="195" t="s">
        <v>239</v>
      </c>
      <c r="C8" s="196" t="s">
        <v>240</v>
      </c>
      <c r="D8" s="234" t="s">
        <v>241</v>
      </c>
      <c r="E8" s="235" t="s">
        <v>242</v>
      </c>
      <c r="F8" s="196"/>
      <c r="G8" s="335" t="s">
        <v>166</v>
      </c>
      <c r="H8" s="214">
        <v>3750000</v>
      </c>
      <c r="I8" s="214">
        <v>3750000</v>
      </c>
      <c r="J8" s="727">
        <v>3750000</v>
      </c>
      <c r="K8" s="214">
        <v>3750000</v>
      </c>
      <c r="L8" s="727">
        <v>3750000</v>
      </c>
      <c r="M8" s="214">
        <v>3750000</v>
      </c>
      <c r="N8" s="727">
        <v>3750000</v>
      </c>
      <c r="O8" s="214">
        <v>3750000</v>
      </c>
      <c r="P8" s="214">
        <v>3750000</v>
      </c>
      <c r="Q8" s="336"/>
      <c r="R8" s="336"/>
      <c r="S8" s="336"/>
      <c r="T8" s="214">
        <v>3750000</v>
      </c>
      <c r="U8" s="353">
        <f t="shared" ref="U8:U32" si="0">SUM(H8:T8)</f>
        <v>37500000</v>
      </c>
      <c r="V8" s="190">
        <f t="shared" ref="V8:V33" si="1">U8*5%</f>
        <v>1875000</v>
      </c>
      <c r="W8" s="193">
        <f t="shared" ref="W8:W21" si="2">IF(G8="TK/-",4500000,IF(G8="K/-",4875000,IF(G8="K/1",5250000,IF(G8="K/2",5625000,IF(G8="K/3",6000000,IF(G8="TK/1",4875000,IF(G8="TK/2",5250000,5625000)))))))*12</f>
        <v>72000000</v>
      </c>
      <c r="X8" s="190">
        <f t="shared" ref="X8:X22" si="3">IF(U8&gt;(V8+W8),ROUNDDOWN((U8-V8-W8),-3),0)</f>
        <v>0</v>
      </c>
      <c r="Y8" s="191">
        <f t="shared" ref="Y8:Y22" si="4">IF(X8&lt;=50000000,X8*0.05,IF(AND(X8&gt;50000000,X8&lt;=250000000),(X8-50000000)*0.15+2500000,IF(AND(X8&gt;250000000,X8&lt;=500000000),(X8-250000000)*0.25+32500000,IF(X8&gt;500000000,(X8-500000000)*0.3+95000000))))</f>
        <v>0</v>
      </c>
      <c r="Z8" s="192">
        <f t="shared" ref="Z8:Z32" si="5">IF(F8="",Y8*1.2,Y8)</f>
        <v>0</v>
      </c>
      <c r="AA8" s="190">
        <v>0</v>
      </c>
      <c r="AB8" s="353">
        <f t="shared" ref="AB8:AB22" si="6">Z8-AA8</f>
        <v>0</v>
      </c>
      <c r="AC8" s="190">
        <f t="shared" ref="AC8:AC22" si="7">U8-AB8</f>
        <v>37500000</v>
      </c>
      <c r="AD8" s="183"/>
      <c r="AE8" s="182"/>
      <c r="AF8" s="355"/>
      <c r="AG8" s="185"/>
      <c r="AH8" s="343"/>
      <c r="AI8" s="183"/>
      <c r="AJ8" s="183"/>
      <c r="AK8" s="185"/>
      <c r="AL8" s="180"/>
    </row>
    <row r="9" spans="1:38" ht="25.5" x14ac:dyDescent="0.25">
      <c r="A9" s="194">
        <v>2</v>
      </c>
      <c r="B9" s="195" t="s">
        <v>183</v>
      </c>
      <c r="C9" s="196" t="s">
        <v>184</v>
      </c>
      <c r="D9" s="234" t="s">
        <v>225</v>
      </c>
      <c r="E9" s="235" t="s">
        <v>226</v>
      </c>
      <c r="F9" s="197"/>
      <c r="G9" s="335" t="s">
        <v>165</v>
      </c>
      <c r="H9" s="214">
        <v>3500000</v>
      </c>
      <c r="I9" s="214">
        <v>3500000</v>
      </c>
      <c r="J9" s="727">
        <v>3500000</v>
      </c>
      <c r="K9" s="214">
        <v>3500000</v>
      </c>
      <c r="L9" s="727">
        <v>3500000</v>
      </c>
      <c r="M9" s="214">
        <v>3500000</v>
      </c>
      <c r="N9" s="727">
        <v>3500000</v>
      </c>
      <c r="O9" s="214">
        <v>3500000</v>
      </c>
      <c r="P9" s="214">
        <v>3500000</v>
      </c>
      <c r="Q9" s="336"/>
      <c r="R9" s="336"/>
      <c r="S9" s="336"/>
      <c r="T9" s="214">
        <v>3500000</v>
      </c>
      <c r="U9" s="353">
        <f t="shared" si="0"/>
        <v>35000000</v>
      </c>
      <c r="V9" s="190">
        <f t="shared" si="1"/>
        <v>1750000</v>
      </c>
      <c r="W9" s="193">
        <f t="shared" si="2"/>
        <v>67500000</v>
      </c>
      <c r="X9" s="190">
        <f t="shared" si="3"/>
        <v>0</v>
      </c>
      <c r="Y9" s="191">
        <f t="shared" si="4"/>
        <v>0</v>
      </c>
      <c r="Z9" s="192">
        <f t="shared" si="5"/>
        <v>0</v>
      </c>
      <c r="AA9" s="190">
        <v>0</v>
      </c>
      <c r="AB9" s="353">
        <f t="shared" si="6"/>
        <v>0</v>
      </c>
      <c r="AC9" s="190">
        <f t="shared" si="7"/>
        <v>35000000</v>
      </c>
      <c r="AD9" s="183"/>
      <c r="AE9" s="182"/>
      <c r="AF9" s="343"/>
      <c r="AG9" s="185"/>
      <c r="AH9" s="343"/>
      <c r="AI9" s="183"/>
      <c r="AJ9" s="183"/>
      <c r="AK9" s="185"/>
      <c r="AL9" s="180"/>
    </row>
    <row r="10" spans="1:38" ht="25.5" x14ac:dyDescent="0.25">
      <c r="A10" s="194">
        <v>3</v>
      </c>
      <c r="B10" s="195" t="s">
        <v>185</v>
      </c>
      <c r="C10" s="196" t="s">
        <v>186</v>
      </c>
      <c r="D10" s="234" t="s">
        <v>225</v>
      </c>
      <c r="E10" s="235" t="s">
        <v>243</v>
      </c>
      <c r="F10" s="197"/>
      <c r="G10" s="335" t="s">
        <v>163</v>
      </c>
      <c r="H10" s="214">
        <v>3500000</v>
      </c>
      <c r="I10" s="214">
        <v>3500000</v>
      </c>
      <c r="J10" s="727">
        <v>3500000</v>
      </c>
      <c r="K10" s="214">
        <v>3500000</v>
      </c>
      <c r="L10" s="727">
        <v>3500000</v>
      </c>
      <c r="M10" s="214">
        <v>3500000</v>
      </c>
      <c r="N10" s="727">
        <v>3500000</v>
      </c>
      <c r="O10" s="214">
        <v>3500000</v>
      </c>
      <c r="P10" s="214">
        <v>3500000</v>
      </c>
      <c r="Q10" s="336"/>
      <c r="R10" s="336"/>
      <c r="S10" s="336"/>
      <c r="T10" s="214">
        <v>3500000</v>
      </c>
      <c r="U10" s="353">
        <f t="shared" si="0"/>
        <v>35000000</v>
      </c>
      <c r="V10" s="190">
        <f t="shared" si="1"/>
        <v>1750000</v>
      </c>
      <c r="W10" s="193">
        <f t="shared" si="2"/>
        <v>58500000</v>
      </c>
      <c r="X10" s="190">
        <f t="shared" si="3"/>
        <v>0</v>
      </c>
      <c r="Y10" s="191">
        <f t="shared" si="4"/>
        <v>0</v>
      </c>
      <c r="Z10" s="192">
        <f t="shared" si="5"/>
        <v>0</v>
      </c>
      <c r="AA10" s="190">
        <v>0</v>
      </c>
      <c r="AB10" s="353">
        <f t="shared" si="6"/>
        <v>0</v>
      </c>
      <c r="AC10" s="190">
        <f t="shared" si="7"/>
        <v>35000000</v>
      </c>
      <c r="AD10" s="183"/>
      <c r="AE10" s="182"/>
      <c r="AF10" s="343"/>
      <c r="AG10" s="185"/>
      <c r="AH10" s="343"/>
      <c r="AI10" s="183"/>
      <c r="AJ10" s="183"/>
      <c r="AK10" s="185"/>
      <c r="AL10" s="180"/>
    </row>
    <row r="11" spans="1:38" ht="38.25" x14ac:dyDescent="0.25">
      <c r="A11" s="194">
        <v>4</v>
      </c>
      <c r="B11" s="195" t="s">
        <v>189</v>
      </c>
      <c r="C11" s="196" t="s">
        <v>190</v>
      </c>
      <c r="D11" s="234" t="s">
        <v>191</v>
      </c>
      <c r="E11" s="235" t="s">
        <v>316</v>
      </c>
      <c r="F11" s="196" t="s">
        <v>268</v>
      </c>
      <c r="G11" s="335" t="s">
        <v>166</v>
      </c>
      <c r="H11" s="214">
        <v>3750000</v>
      </c>
      <c r="I11" s="214">
        <v>3750000</v>
      </c>
      <c r="J11" s="728">
        <v>3750000</v>
      </c>
      <c r="K11" s="190">
        <v>3750000</v>
      </c>
      <c r="L11" s="728">
        <v>3750000</v>
      </c>
      <c r="M11" s="190">
        <v>3750000</v>
      </c>
      <c r="N11" s="728">
        <v>3750000</v>
      </c>
      <c r="O11" s="190">
        <v>3750000</v>
      </c>
      <c r="P11" s="190">
        <v>3750000</v>
      </c>
      <c r="Q11" s="336"/>
      <c r="R11" s="336"/>
      <c r="S11" s="336"/>
      <c r="T11" s="190">
        <v>3750000</v>
      </c>
      <c r="U11" s="353">
        <f>SUM(H11:T11)</f>
        <v>37500000</v>
      </c>
      <c r="V11" s="190">
        <f>U11*5%</f>
        <v>1875000</v>
      </c>
      <c r="W11" s="193">
        <f>IF(G11="TK/-",4500000,IF(G11="K/-",4875000,IF(G11="K/1",5250000,IF(G11="K/2",5625000,IF(G11="K/3",6000000,IF(G11="TK/1",4875000,IF(G11="TK/2",5250000,5625000)))))))*12</f>
        <v>72000000</v>
      </c>
      <c r="X11" s="190">
        <f>IF(U11&gt;(V11+W11),ROUNDDOWN((U11-V11-W11),-3),0)</f>
        <v>0</v>
      </c>
      <c r="Y11" s="191">
        <f>IF(X11&lt;=50000000,X11*0.05,IF(AND(X11&gt;50000000,X11&lt;=250000000),(X11-50000000)*0.15+2500000,IF(AND(X11&gt;250000000,X11&lt;=500000000),(X11-250000000)*0.25+32500000,IF(X11&gt;500000000,(X11-500000000)*0.3+95000000))))</f>
        <v>0</v>
      </c>
      <c r="Z11" s="192">
        <f>IF(F11="",Y11*1.2,Y11)</f>
        <v>0</v>
      </c>
      <c r="AA11" s="190">
        <v>0</v>
      </c>
      <c r="AB11" s="353">
        <f>Z11-AA11</f>
        <v>0</v>
      </c>
      <c r="AC11" s="190">
        <f>U11-AB11</f>
        <v>37500000</v>
      </c>
      <c r="AD11" s="183"/>
      <c r="AE11" s="182"/>
      <c r="AF11" s="343"/>
      <c r="AG11" s="185"/>
      <c r="AH11" s="343"/>
      <c r="AI11" s="183"/>
      <c r="AJ11" s="183"/>
      <c r="AK11" s="185"/>
      <c r="AL11" s="180"/>
    </row>
    <row r="12" spans="1:38" ht="25.5" x14ac:dyDescent="0.25">
      <c r="A12" s="194">
        <v>5</v>
      </c>
      <c r="B12" s="195" t="s">
        <v>187</v>
      </c>
      <c r="C12" s="196" t="s">
        <v>188</v>
      </c>
      <c r="D12" s="234" t="s">
        <v>227</v>
      </c>
      <c r="E12" s="235" t="s">
        <v>228</v>
      </c>
      <c r="F12" s="197"/>
      <c r="G12" s="335" t="s">
        <v>163</v>
      </c>
      <c r="H12" s="190">
        <v>2100000</v>
      </c>
      <c r="I12" s="190">
        <v>2100000</v>
      </c>
      <c r="J12" s="727">
        <v>2100000</v>
      </c>
      <c r="K12" s="214">
        <v>2100000</v>
      </c>
      <c r="L12" s="727">
        <v>2100000</v>
      </c>
      <c r="M12" s="214">
        <v>2100000</v>
      </c>
      <c r="N12" s="727">
        <v>2100000</v>
      </c>
      <c r="O12" s="214">
        <v>2100000</v>
      </c>
      <c r="P12" s="214">
        <v>2100000</v>
      </c>
      <c r="Q12" s="337"/>
      <c r="R12" s="337"/>
      <c r="S12" s="337"/>
      <c r="T12" s="214">
        <v>2100000</v>
      </c>
      <c r="U12" s="353">
        <f t="shared" si="0"/>
        <v>21000000</v>
      </c>
      <c r="V12" s="190">
        <f t="shared" si="1"/>
        <v>1050000</v>
      </c>
      <c r="W12" s="193">
        <f t="shared" si="2"/>
        <v>58500000</v>
      </c>
      <c r="X12" s="190">
        <f t="shared" si="3"/>
        <v>0</v>
      </c>
      <c r="Y12" s="191">
        <f t="shared" si="4"/>
        <v>0</v>
      </c>
      <c r="Z12" s="192">
        <f t="shared" si="5"/>
        <v>0</v>
      </c>
      <c r="AA12" s="190">
        <v>0</v>
      </c>
      <c r="AB12" s="353">
        <f t="shared" si="6"/>
        <v>0</v>
      </c>
      <c r="AC12" s="190">
        <f t="shared" si="7"/>
        <v>21000000</v>
      </c>
      <c r="AD12" s="183"/>
      <c r="AE12" s="182"/>
      <c r="AF12" s="343"/>
      <c r="AG12" s="185"/>
      <c r="AH12" s="343"/>
      <c r="AI12" s="183"/>
      <c r="AJ12" s="183"/>
      <c r="AK12" s="185"/>
      <c r="AL12" s="180"/>
    </row>
    <row r="13" spans="1:38" ht="25.5" x14ac:dyDescent="0.25">
      <c r="A13" s="194">
        <v>7</v>
      </c>
      <c r="B13" s="195" t="s">
        <v>244</v>
      </c>
      <c r="C13" s="196" t="s">
        <v>245</v>
      </c>
      <c r="D13" s="234" t="s">
        <v>246</v>
      </c>
      <c r="E13" s="235" t="s">
        <v>247</v>
      </c>
      <c r="F13" s="197"/>
      <c r="G13" s="335" t="s">
        <v>165</v>
      </c>
      <c r="H13" s="214">
        <v>1600000</v>
      </c>
      <c r="I13" s="214">
        <v>1600000</v>
      </c>
      <c r="J13" s="214">
        <v>1600000</v>
      </c>
      <c r="K13" s="214">
        <v>1600000</v>
      </c>
      <c r="L13" s="214">
        <v>1600000</v>
      </c>
      <c r="M13" s="214">
        <v>1600000</v>
      </c>
      <c r="N13" s="727">
        <v>1600000</v>
      </c>
      <c r="O13" s="214">
        <v>1600000</v>
      </c>
      <c r="P13" s="214">
        <v>1600000</v>
      </c>
      <c r="Q13" s="336"/>
      <c r="R13" s="336"/>
      <c r="S13" s="336"/>
      <c r="T13" s="214">
        <v>1500000</v>
      </c>
      <c r="U13" s="377">
        <f t="shared" ref="U13:U18" si="8">SUM(H13:T13)</f>
        <v>15900000</v>
      </c>
      <c r="V13" s="190">
        <f t="shared" ref="V13:V18" si="9">U13*5%</f>
        <v>795000</v>
      </c>
      <c r="W13" s="193">
        <f>IF(G13="TK/-",4500000,IF(G13="K/-",4875000,IF(G13="K/1",5250000,IF(G13="K/2",5625000,IF(G13="K/3",6000000,IF(G13="TK/1",4875000,IF(G13="TK/2",5250000,5625000)))))))*12</f>
        <v>67500000</v>
      </c>
      <c r="X13" s="190">
        <f t="shared" ref="X13:X18" si="10">IF(U13&gt;(V13+W13),ROUNDDOWN((U13-V13-W13),-3),0)</f>
        <v>0</v>
      </c>
      <c r="Y13" s="191">
        <f t="shared" ref="Y13:Y18" si="11">IF(X13&lt;=50000000,X13*0.05,IF(AND(X13&gt;50000000,X13&lt;=250000000),(X13-50000000)*0.15+2500000,IF(AND(X13&gt;250000000,X13&lt;=500000000),(X13-250000000)*0.25+32500000,IF(X13&gt;500000000,(X13-500000000)*0.3+95000000))))</f>
        <v>0</v>
      </c>
      <c r="Z13" s="192">
        <f t="shared" ref="Z13:Z18" si="12">IF(F13="",Y13*1.2,Y13)</f>
        <v>0</v>
      </c>
      <c r="AA13" s="190">
        <v>0</v>
      </c>
      <c r="AB13" s="377">
        <f t="shared" ref="AB13:AB18" si="13">Z13-AA13</f>
        <v>0</v>
      </c>
      <c r="AC13" s="190">
        <f t="shared" ref="AC13:AC18" si="14">U13-AB13</f>
        <v>15900000</v>
      </c>
      <c r="AD13" s="183"/>
      <c r="AE13" s="182"/>
      <c r="AF13" s="183"/>
      <c r="AG13" s="185"/>
      <c r="AI13" s="183"/>
      <c r="AJ13" s="183"/>
      <c r="AK13" s="185"/>
      <c r="AL13" s="180"/>
    </row>
    <row r="14" spans="1:38" ht="25.5" x14ac:dyDescent="0.25">
      <c r="A14" s="194">
        <v>8</v>
      </c>
      <c r="B14" s="195" t="s">
        <v>248</v>
      </c>
      <c r="C14" s="196" t="s">
        <v>249</v>
      </c>
      <c r="D14" s="234" t="s">
        <v>246</v>
      </c>
      <c r="E14" s="235" t="s">
        <v>250</v>
      </c>
      <c r="F14" s="197"/>
      <c r="G14" s="335" t="s">
        <v>164</v>
      </c>
      <c r="H14" s="214">
        <v>1500000</v>
      </c>
      <c r="I14" s="214">
        <v>1500000</v>
      </c>
      <c r="J14" s="214">
        <v>1500000</v>
      </c>
      <c r="K14" s="214">
        <v>1500000</v>
      </c>
      <c r="L14" s="214">
        <v>1500000</v>
      </c>
      <c r="M14" s="214">
        <v>1500000</v>
      </c>
      <c r="N14" s="727">
        <v>1500000</v>
      </c>
      <c r="O14" s="214">
        <v>1500000</v>
      </c>
      <c r="P14" s="214">
        <v>1500000</v>
      </c>
      <c r="Q14" s="336"/>
      <c r="R14" s="336"/>
      <c r="S14" s="336"/>
      <c r="T14" s="214">
        <v>1600000</v>
      </c>
      <c r="U14" s="353">
        <f t="shared" si="8"/>
        <v>15100000</v>
      </c>
      <c r="V14" s="190">
        <f t="shared" si="9"/>
        <v>755000</v>
      </c>
      <c r="W14" s="193">
        <f>IF(G14="TK/-",4500000,IF(G14="K/-",4875000,IF(G14="K/1",5250000,IF(G14="K/2",5625000,IF(G14="K/3",6000000,IF(G14="TK/1",4875000,IF(G14="TK/2",5250000,5625000)))))))*12</f>
        <v>63000000</v>
      </c>
      <c r="X14" s="190">
        <f t="shared" si="10"/>
        <v>0</v>
      </c>
      <c r="Y14" s="191">
        <f t="shared" si="11"/>
        <v>0</v>
      </c>
      <c r="Z14" s="192">
        <f t="shared" si="12"/>
        <v>0</v>
      </c>
      <c r="AA14" s="190">
        <v>0</v>
      </c>
      <c r="AB14" s="353">
        <f t="shared" si="13"/>
        <v>0</v>
      </c>
      <c r="AC14" s="190">
        <f t="shared" si="14"/>
        <v>15100000</v>
      </c>
      <c r="AD14" s="183"/>
      <c r="AE14" s="182"/>
      <c r="AF14" s="343"/>
      <c r="AG14" s="185"/>
      <c r="AH14" s="343"/>
      <c r="AI14" s="183"/>
      <c r="AJ14" s="183"/>
      <c r="AK14" s="185"/>
      <c r="AL14" s="180"/>
    </row>
    <row r="15" spans="1:38" ht="25.5" x14ac:dyDescent="0.25">
      <c r="A15" s="194">
        <v>9</v>
      </c>
      <c r="B15" s="783" t="s">
        <v>192</v>
      </c>
      <c r="C15" s="196" t="s">
        <v>193</v>
      </c>
      <c r="D15" s="234" t="s">
        <v>194</v>
      </c>
      <c r="E15" s="235" t="s">
        <v>229</v>
      </c>
      <c r="F15" s="197"/>
      <c r="G15" s="335" t="s">
        <v>165</v>
      </c>
      <c r="H15" s="214">
        <v>1600000</v>
      </c>
      <c r="I15" s="214">
        <v>1600000</v>
      </c>
      <c r="J15" s="214">
        <v>1600000</v>
      </c>
      <c r="K15" s="214">
        <v>1600000</v>
      </c>
      <c r="L15" s="214">
        <v>1600000</v>
      </c>
      <c r="M15" s="214">
        <v>1600000</v>
      </c>
      <c r="N15" s="727">
        <v>1600000</v>
      </c>
      <c r="O15" s="784"/>
      <c r="P15" s="784"/>
      <c r="Q15" s="336"/>
      <c r="R15" s="336"/>
      <c r="S15" s="336"/>
      <c r="T15" s="214">
        <v>1100000</v>
      </c>
      <c r="U15" s="353">
        <f t="shared" si="8"/>
        <v>12300000</v>
      </c>
      <c r="V15" s="190">
        <f t="shared" si="9"/>
        <v>615000</v>
      </c>
      <c r="W15" s="193">
        <f>IF(G15="TK/-",4500000,IF(G15="K/-",4875000,IF(G15="K/1",5250000,IF(G15="K/2",5625000,IF(G15="K/3",6000000,IF(G15="TK/1",4875000,IF(G15="TK/2",5250000,5625000)))))))*12</f>
        <v>67500000</v>
      </c>
      <c r="X15" s="190">
        <f t="shared" si="10"/>
        <v>0</v>
      </c>
      <c r="Y15" s="191">
        <f t="shared" si="11"/>
        <v>0</v>
      </c>
      <c r="Z15" s="192">
        <f t="shared" si="12"/>
        <v>0</v>
      </c>
      <c r="AA15" s="190">
        <v>0</v>
      </c>
      <c r="AB15" s="353">
        <f t="shared" si="13"/>
        <v>0</v>
      </c>
      <c r="AC15" s="190">
        <f t="shared" si="14"/>
        <v>12300000</v>
      </c>
      <c r="AD15" s="183"/>
      <c r="AE15" s="182"/>
      <c r="AF15" s="343"/>
      <c r="AG15" s="185"/>
      <c r="AH15" s="343"/>
      <c r="AI15" s="183"/>
      <c r="AJ15" s="183"/>
      <c r="AK15" s="185"/>
      <c r="AL15" s="180"/>
    </row>
    <row r="16" spans="1:38" x14ac:dyDescent="0.25">
      <c r="A16" s="194">
        <v>10</v>
      </c>
      <c r="B16" s="195" t="s">
        <v>736</v>
      </c>
      <c r="C16" s="196"/>
      <c r="D16" s="234" t="s">
        <v>728</v>
      </c>
      <c r="E16" s="235"/>
      <c r="F16" s="197"/>
      <c r="G16" s="354" t="s">
        <v>165</v>
      </c>
      <c r="H16" s="214">
        <v>1100000</v>
      </c>
      <c r="I16" s="214">
        <v>1100000</v>
      </c>
      <c r="J16" s="214">
        <v>1100000</v>
      </c>
      <c r="K16" s="214">
        <v>1100000</v>
      </c>
      <c r="L16" s="214">
        <v>1100000</v>
      </c>
      <c r="M16" s="214">
        <v>1100000</v>
      </c>
      <c r="N16" s="727">
        <v>1100000</v>
      </c>
      <c r="O16" s="214">
        <v>1100000</v>
      </c>
      <c r="P16" s="214">
        <v>1100000</v>
      </c>
      <c r="Q16" s="214"/>
      <c r="R16" s="214"/>
      <c r="S16" s="214"/>
      <c r="T16" s="214">
        <v>2100000</v>
      </c>
      <c r="U16" s="353">
        <f t="shared" si="8"/>
        <v>12000000</v>
      </c>
      <c r="V16" s="190">
        <f t="shared" si="9"/>
        <v>600000</v>
      </c>
      <c r="W16" s="190">
        <f>IF(G16="TK/-",3000000,IF(G16="K/-",3250000,IF(G16="K/1",3500000,IF(G16="K/2",3750000,IF(G16="K/3",4000000,IF(G16="TK/1",3250000,IF(G16="TK/2",3500000,3750000)))))))*12</f>
        <v>45000000</v>
      </c>
      <c r="X16" s="190">
        <f t="shared" si="10"/>
        <v>0</v>
      </c>
      <c r="Y16" s="191">
        <f t="shared" si="11"/>
        <v>0</v>
      </c>
      <c r="Z16" s="192">
        <f t="shared" si="12"/>
        <v>0</v>
      </c>
      <c r="AA16" s="190">
        <v>0</v>
      </c>
      <c r="AB16" s="353">
        <f t="shared" si="13"/>
        <v>0</v>
      </c>
      <c r="AC16" s="190">
        <f t="shared" si="14"/>
        <v>12000000</v>
      </c>
      <c r="AD16" s="183"/>
      <c r="AE16" s="182"/>
      <c r="AF16" s="356"/>
      <c r="AG16" s="198"/>
      <c r="AH16" s="343"/>
      <c r="AI16" s="183"/>
      <c r="AJ16" s="183"/>
      <c r="AK16" s="185"/>
      <c r="AL16" s="180"/>
    </row>
    <row r="17" spans="1:38" ht="25.5" x14ac:dyDescent="0.25">
      <c r="A17" s="194">
        <v>6</v>
      </c>
      <c r="B17" s="195" t="s">
        <v>251</v>
      </c>
      <c r="C17" s="196" t="s">
        <v>252</v>
      </c>
      <c r="D17" s="234" t="s">
        <v>195</v>
      </c>
      <c r="E17" s="235" t="s">
        <v>253</v>
      </c>
      <c r="F17" s="197"/>
      <c r="G17" s="335" t="s">
        <v>164</v>
      </c>
      <c r="H17" s="214">
        <v>2100000</v>
      </c>
      <c r="I17" s="214">
        <v>2100000</v>
      </c>
      <c r="J17" s="214">
        <v>2100000</v>
      </c>
      <c r="K17" s="214">
        <v>2100000</v>
      </c>
      <c r="L17" s="214">
        <v>2100000</v>
      </c>
      <c r="M17" s="214">
        <v>2100000</v>
      </c>
      <c r="N17" s="727">
        <v>2100000</v>
      </c>
      <c r="O17" s="214">
        <v>2100000</v>
      </c>
      <c r="P17" s="214">
        <v>2100000</v>
      </c>
      <c r="Q17" s="336"/>
      <c r="R17" s="336"/>
      <c r="S17" s="336"/>
      <c r="T17" s="214">
        <v>1600000</v>
      </c>
      <c r="U17" s="377">
        <f t="shared" si="8"/>
        <v>20500000</v>
      </c>
      <c r="V17" s="190">
        <f t="shared" si="9"/>
        <v>1025000</v>
      </c>
      <c r="W17" s="193">
        <f>IF(G17="TK/-",4500000,IF(G17="K/-",4875000,IF(G17="K/1",5250000,IF(G17="K/2",5625000,IF(G17="K/3",6000000,IF(G17="TK/1",4875000,IF(G17="TK/2",5250000,5625000)))))))*12</f>
        <v>63000000</v>
      </c>
      <c r="X17" s="190">
        <f t="shared" si="10"/>
        <v>0</v>
      </c>
      <c r="Y17" s="191">
        <f t="shared" si="11"/>
        <v>0</v>
      </c>
      <c r="Z17" s="192">
        <f t="shared" si="12"/>
        <v>0</v>
      </c>
      <c r="AA17" s="190">
        <v>0</v>
      </c>
      <c r="AB17" s="377">
        <f t="shared" si="13"/>
        <v>0</v>
      </c>
      <c r="AC17" s="190">
        <f t="shared" si="14"/>
        <v>20500000</v>
      </c>
      <c r="AD17" s="183"/>
      <c r="AE17" s="182"/>
      <c r="AF17" s="183"/>
      <c r="AG17" s="185"/>
      <c r="AI17" s="183"/>
      <c r="AJ17" s="183"/>
      <c r="AK17" s="185"/>
      <c r="AL17" s="180"/>
    </row>
    <row r="18" spans="1:38" ht="25.5" x14ac:dyDescent="0.25">
      <c r="A18" s="194">
        <v>11</v>
      </c>
      <c r="B18" s="195" t="s">
        <v>254</v>
      </c>
      <c r="C18" s="196" t="s">
        <v>255</v>
      </c>
      <c r="D18" s="234" t="s">
        <v>256</v>
      </c>
      <c r="E18" s="235" t="s">
        <v>257</v>
      </c>
      <c r="F18" s="197"/>
      <c r="G18" s="335" t="s">
        <v>165</v>
      </c>
      <c r="H18" s="214">
        <f>(110000*12)+((110000*12)-10000)</f>
        <v>2630000</v>
      </c>
      <c r="I18" s="214">
        <f>(110000*5)+((110000*12)-(110000*2))</f>
        <v>1650000</v>
      </c>
      <c r="J18" s="727">
        <f>(110000*10)+(110000*12)</f>
        <v>2420000</v>
      </c>
      <c r="K18" s="214">
        <f>(110000*11)+(110000*11)+(110000*12)</f>
        <v>3740000</v>
      </c>
      <c r="L18" s="727">
        <f>(110000*11)</f>
        <v>1210000</v>
      </c>
      <c r="M18" s="214">
        <f>(110000*10)+(110000*11)</f>
        <v>2310000</v>
      </c>
      <c r="N18" s="727">
        <f>(110000*12)+(110000*11)+(110000*11)</f>
        <v>3740000</v>
      </c>
      <c r="O18" s="214">
        <f>(110000*12)+(110000*11)</f>
        <v>2530000</v>
      </c>
      <c r="P18" s="785">
        <f>(110000*12)+(110000*10)</f>
        <v>2420000</v>
      </c>
      <c r="Q18" s="336"/>
      <c r="R18" s="336"/>
      <c r="S18" s="336"/>
      <c r="T18" s="214">
        <v>1500000</v>
      </c>
      <c r="U18" s="353">
        <f t="shared" si="8"/>
        <v>24150000</v>
      </c>
      <c r="V18" s="190">
        <f t="shared" si="9"/>
        <v>1207500</v>
      </c>
      <c r="W18" s="193">
        <f>IF(G18="TK/-",4500000,IF(G18="K/-",4875000,IF(G18="K/1",5250000,IF(G18="K/2",5625000,IF(G18="K/3",6000000,IF(G18="TK/1",4875000,IF(G18="TK/2",5250000,5625000)))))))*12</f>
        <v>67500000</v>
      </c>
      <c r="X18" s="190">
        <f t="shared" si="10"/>
        <v>0</v>
      </c>
      <c r="Y18" s="191">
        <f t="shared" si="11"/>
        <v>0</v>
      </c>
      <c r="Z18" s="192">
        <f t="shared" si="12"/>
        <v>0</v>
      </c>
      <c r="AA18" s="190">
        <v>0</v>
      </c>
      <c r="AB18" s="353">
        <f t="shared" si="13"/>
        <v>0</v>
      </c>
      <c r="AC18" s="190">
        <f t="shared" si="14"/>
        <v>24150000</v>
      </c>
      <c r="AD18" s="183"/>
      <c r="AE18" s="182"/>
      <c r="AF18" s="343"/>
      <c r="AG18" s="185"/>
      <c r="AH18" s="343"/>
      <c r="AI18" s="183"/>
      <c r="AJ18" s="183"/>
      <c r="AK18" s="185"/>
      <c r="AL18" s="180"/>
    </row>
    <row r="19" spans="1:38" ht="25.5" x14ac:dyDescent="0.25">
      <c r="A19" s="194">
        <v>12</v>
      </c>
      <c r="B19" s="195" t="s">
        <v>259</v>
      </c>
      <c r="C19" s="196" t="s">
        <v>260</v>
      </c>
      <c r="D19" s="234" t="s">
        <v>258</v>
      </c>
      <c r="E19" s="235" t="s">
        <v>261</v>
      </c>
      <c r="F19" s="197"/>
      <c r="G19" s="335" t="s">
        <v>165</v>
      </c>
      <c r="H19" s="214">
        <f>(110000*12)+(110000*12)</f>
        <v>2640000</v>
      </c>
      <c r="I19" s="214">
        <f>(110000*5)+(110000*12)</f>
        <v>1870000</v>
      </c>
      <c r="J19" s="727">
        <f t="shared" ref="J19:J22" si="15">(110000*10)+(110000*12)</f>
        <v>2420000</v>
      </c>
      <c r="K19" s="214">
        <f>(110000*12)+(110000*11)+(110000*12)</f>
        <v>3850000</v>
      </c>
      <c r="L19" s="727">
        <f t="shared" ref="L19:L22" si="16">(110000*11)</f>
        <v>1210000</v>
      </c>
      <c r="M19" s="214">
        <f t="shared" ref="M19:M21" si="17">(110000*10)+(110000*12)</f>
        <v>2420000</v>
      </c>
      <c r="N19" s="727">
        <f t="shared" ref="N19:N21" si="18">(110000*12)+(110000*11)+(110000*11)</f>
        <v>3740000</v>
      </c>
      <c r="O19" s="214">
        <f>(110000*12)+(110000*11)</f>
        <v>2530000</v>
      </c>
      <c r="P19" s="785">
        <f>(110000*12)+((110000*11)-27500)</f>
        <v>2502500</v>
      </c>
      <c r="Q19" s="336"/>
      <c r="R19" s="336"/>
      <c r="S19" s="336"/>
      <c r="T19" s="214">
        <v>1500000</v>
      </c>
      <c r="U19" s="353">
        <f t="shared" si="0"/>
        <v>24682500</v>
      </c>
      <c r="V19" s="190">
        <f t="shared" si="1"/>
        <v>1234125</v>
      </c>
      <c r="W19" s="193">
        <f t="shared" si="2"/>
        <v>67500000</v>
      </c>
      <c r="X19" s="190">
        <f t="shared" si="3"/>
        <v>0</v>
      </c>
      <c r="Y19" s="191">
        <f t="shared" si="4"/>
        <v>0</v>
      </c>
      <c r="Z19" s="192">
        <f t="shared" si="5"/>
        <v>0</v>
      </c>
      <c r="AA19" s="190">
        <v>0</v>
      </c>
      <c r="AB19" s="353">
        <f t="shared" si="6"/>
        <v>0</v>
      </c>
      <c r="AC19" s="190">
        <f t="shared" si="7"/>
        <v>24682500</v>
      </c>
      <c r="AD19" s="183"/>
      <c r="AE19" s="182"/>
      <c r="AF19" s="343"/>
      <c r="AG19" s="185"/>
      <c r="AH19" s="343"/>
      <c r="AI19" s="183"/>
      <c r="AJ19" s="183"/>
      <c r="AK19" s="185"/>
      <c r="AL19" s="180"/>
    </row>
    <row r="20" spans="1:38" x14ac:dyDescent="0.25">
      <c r="A20" s="194">
        <v>13</v>
      </c>
      <c r="B20" s="195" t="s">
        <v>262</v>
      </c>
      <c r="C20" s="196" t="s">
        <v>263</v>
      </c>
      <c r="D20" s="234" t="s">
        <v>258</v>
      </c>
      <c r="E20" s="235" t="s">
        <v>264</v>
      </c>
      <c r="F20" s="197"/>
      <c r="G20" s="335" t="s">
        <v>164</v>
      </c>
      <c r="H20" s="214">
        <f t="shared" ref="H20:H22" si="19">(110000*12)+(110000*12)</f>
        <v>2640000</v>
      </c>
      <c r="I20" s="214">
        <f t="shared" ref="I20:I21" si="20">(110000*5)+(110000*12)</f>
        <v>1870000</v>
      </c>
      <c r="J20" s="727">
        <f t="shared" si="15"/>
        <v>2420000</v>
      </c>
      <c r="K20" s="214">
        <f>(110000*12)+(110000*11)+(110000*12)</f>
        <v>3850000</v>
      </c>
      <c r="L20" s="727">
        <f t="shared" si="16"/>
        <v>1210000</v>
      </c>
      <c r="M20" s="214">
        <f t="shared" si="17"/>
        <v>2420000</v>
      </c>
      <c r="N20" s="727">
        <f t="shared" si="18"/>
        <v>3740000</v>
      </c>
      <c r="O20" s="214">
        <f>(110000*12)+(110000*11)</f>
        <v>2530000</v>
      </c>
      <c r="P20" s="785">
        <f>(110000*12)+((110000*12)-55000)</f>
        <v>2585000</v>
      </c>
      <c r="Q20" s="336"/>
      <c r="R20" s="336"/>
      <c r="S20" s="336"/>
      <c r="T20" s="214">
        <v>1500000</v>
      </c>
      <c r="U20" s="353">
        <f t="shared" si="0"/>
        <v>24765000</v>
      </c>
      <c r="V20" s="190">
        <f t="shared" si="1"/>
        <v>1238250</v>
      </c>
      <c r="W20" s="193">
        <f t="shared" si="2"/>
        <v>63000000</v>
      </c>
      <c r="X20" s="190">
        <f t="shared" si="3"/>
        <v>0</v>
      </c>
      <c r="Y20" s="191">
        <f t="shared" si="4"/>
        <v>0</v>
      </c>
      <c r="Z20" s="192">
        <f t="shared" si="5"/>
        <v>0</v>
      </c>
      <c r="AA20" s="190">
        <v>0</v>
      </c>
      <c r="AB20" s="353">
        <f t="shared" si="6"/>
        <v>0</v>
      </c>
      <c r="AC20" s="190">
        <f t="shared" si="7"/>
        <v>24765000</v>
      </c>
      <c r="AD20" s="183"/>
      <c r="AE20" s="182"/>
      <c r="AF20" s="343"/>
      <c r="AG20" s="185"/>
      <c r="AH20" s="343"/>
      <c r="AI20" s="183"/>
      <c r="AJ20" s="183"/>
      <c r="AK20" s="185"/>
      <c r="AL20" s="180"/>
    </row>
    <row r="21" spans="1:38" x14ac:dyDescent="0.25">
      <c r="A21" s="194">
        <v>14</v>
      </c>
      <c r="B21" s="195" t="s">
        <v>265</v>
      </c>
      <c r="C21" s="196" t="s">
        <v>266</v>
      </c>
      <c r="D21" s="234" t="s">
        <v>256</v>
      </c>
      <c r="E21" s="235" t="s">
        <v>267</v>
      </c>
      <c r="F21" s="197"/>
      <c r="G21" s="335" t="s">
        <v>165</v>
      </c>
      <c r="H21" s="214">
        <f t="shared" si="19"/>
        <v>2640000</v>
      </c>
      <c r="I21" s="214">
        <f t="shared" si="20"/>
        <v>1870000</v>
      </c>
      <c r="J21" s="727">
        <f t="shared" si="15"/>
        <v>2420000</v>
      </c>
      <c r="K21" s="214">
        <f>(110000*12)+(110000*10)+(110000*12)</f>
        <v>3740000</v>
      </c>
      <c r="L21" s="727">
        <f t="shared" si="16"/>
        <v>1210000</v>
      </c>
      <c r="M21" s="214">
        <f t="shared" si="17"/>
        <v>2420000</v>
      </c>
      <c r="N21" s="727">
        <f t="shared" si="18"/>
        <v>3740000</v>
      </c>
      <c r="O21" s="214">
        <f>(110000*12)+(110000*11)</f>
        <v>2530000</v>
      </c>
      <c r="P21" s="785">
        <f>(110000*12)+((110000*12)-55000)</f>
        <v>2585000</v>
      </c>
      <c r="Q21" s="336"/>
      <c r="R21" s="336"/>
      <c r="S21" s="336"/>
      <c r="T21" s="214">
        <v>1500000</v>
      </c>
      <c r="U21" s="377">
        <f t="shared" si="0"/>
        <v>24655000</v>
      </c>
      <c r="V21" s="190">
        <f t="shared" si="1"/>
        <v>1232750</v>
      </c>
      <c r="W21" s="193">
        <f t="shared" si="2"/>
        <v>67500000</v>
      </c>
      <c r="X21" s="190">
        <f t="shared" si="3"/>
        <v>0</v>
      </c>
      <c r="Y21" s="191">
        <f t="shared" si="4"/>
        <v>0</v>
      </c>
      <c r="Z21" s="192">
        <f t="shared" si="5"/>
        <v>0</v>
      </c>
      <c r="AA21" s="190">
        <v>0</v>
      </c>
      <c r="AB21" s="377">
        <f t="shared" si="6"/>
        <v>0</v>
      </c>
      <c r="AC21" s="190">
        <f t="shared" si="7"/>
        <v>24655000</v>
      </c>
      <c r="AD21" s="183"/>
      <c r="AE21" s="182"/>
      <c r="AF21" s="183"/>
      <c r="AG21" s="185"/>
      <c r="AI21" s="183"/>
      <c r="AJ21" s="183"/>
      <c r="AK21" s="185"/>
      <c r="AL21" s="180"/>
    </row>
    <row r="22" spans="1:38" x14ac:dyDescent="0.25">
      <c r="A22" s="194">
        <v>15</v>
      </c>
      <c r="B22" s="195" t="s">
        <v>727</v>
      </c>
      <c r="C22" s="196"/>
      <c r="D22" s="234" t="s">
        <v>195</v>
      </c>
      <c r="E22" s="235"/>
      <c r="F22" s="197"/>
      <c r="G22" s="354" t="s">
        <v>162</v>
      </c>
      <c r="H22" s="214">
        <f t="shared" si="19"/>
        <v>2640000</v>
      </c>
      <c r="I22" s="214">
        <f>(110000*5)+((110000*12)-(110000*2))</f>
        <v>1650000</v>
      </c>
      <c r="J22" s="727">
        <f t="shared" si="15"/>
        <v>2420000</v>
      </c>
      <c r="K22" s="214">
        <f>(110000*12)+(110000*11)+(110000*12)</f>
        <v>3850000</v>
      </c>
      <c r="L22" s="727">
        <f t="shared" si="16"/>
        <v>1210000</v>
      </c>
      <c r="M22" s="214">
        <f>(110000*9)+(110000*12)</f>
        <v>2310000</v>
      </c>
      <c r="N22" s="727">
        <f>(110000*12)+(110000*11)+(110000*10)</f>
        <v>3630000</v>
      </c>
      <c r="O22" s="214">
        <f>(110000*12)+(110000*11)</f>
        <v>2530000</v>
      </c>
      <c r="P22" s="785">
        <f>(110000*12)+((110000*12)-(55000+55000))</f>
        <v>2530000</v>
      </c>
      <c r="Q22" s="214"/>
      <c r="R22" s="214"/>
      <c r="S22" s="191"/>
      <c r="T22" s="214">
        <v>1500000</v>
      </c>
      <c r="U22" s="377">
        <f t="shared" si="0"/>
        <v>24270000</v>
      </c>
      <c r="V22" s="190">
        <f t="shared" si="1"/>
        <v>1213500</v>
      </c>
      <c r="W22" s="190">
        <f t="shared" ref="W22:W32" si="21">IF(G22="TK/-",3000000,IF(G22="K/-",3250000,IF(G22="K/1",3500000,IF(G22="K/2",3750000,IF(G22="K/3",4000000,IF(G22="TK/1",3250000,IF(G22="TK/2",3500000,3750000)))))))*12</f>
        <v>36000000</v>
      </c>
      <c r="X22" s="190">
        <f t="shared" si="3"/>
        <v>0</v>
      </c>
      <c r="Y22" s="191">
        <f t="shared" si="4"/>
        <v>0</v>
      </c>
      <c r="Z22" s="192">
        <f t="shared" si="5"/>
        <v>0</v>
      </c>
      <c r="AA22" s="190">
        <v>0</v>
      </c>
      <c r="AB22" s="377">
        <f t="shared" si="6"/>
        <v>0</v>
      </c>
      <c r="AC22" s="190">
        <f t="shared" si="7"/>
        <v>24270000</v>
      </c>
      <c r="AD22" s="183"/>
      <c r="AE22" s="182"/>
      <c r="AF22" s="183"/>
      <c r="AG22" s="185"/>
      <c r="AI22" s="183"/>
      <c r="AJ22" s="183"/>
      <c r="AK22" s="185"/>
      <c r="AL22" s="180"/>
    </row>
    <row r="23" spans="1:38" x14ac:dyDescent="0.25">
      <c r="A23" s="194">
        <v>16</v>
      </c>
      <c r="B23" s="195"/>
      <c r="C23" s="196"/>
      <c r="D23" s="234"/>
      <c r="E23" s="235"/>
      <c r="F23" s="197"/>
      <c r="G23" s="35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190"/>
      <c r="U23" s="353">
        <f t="shared" si="0"/>
        <v>0</v>
      </c>
      <c r="V23" s="190">
        <f t="shared" si="1"/>
        <v>0</v>
      </c>
      <c r="W23" s="190">
        <f t="shared" si="21"/>
        <v>45000000</v>
      </c>
      <c r="X23" s="190">
        <f>IF(U23&gt;(V23+W23),ROUNDDOWN((U23-V23-W23),-3),0)</f>
        <v>0</v>
      </c>
      <c r="Y23" s="191">
        <f>IF(X23&lt;=50000000,X23*0.05,IF(AND(X23&gt;50000000,X23&lt;=250000000),(X23-50000000)*0.15+2500000,IF(AND(X23&gt;250000000,X23&lt;=500000000),(X23-250000000)*0.25+32500000,IF(X23&gt;500000000,(X23-500000000)*0.3+95000000))))</f>
        <v>0</v>
      </c>
      <c r="Z23" s="192">
        <f t="shared" si="5"/>
        <v>0</v>
      </c>
      <c r="AA23" s="190">
        <v>0</v>
      </c>
      <c r="AB23" s="353">
        <f>Z23-AA23</f>
        <v>0</v>
      </c>
      <c r="AC23" s="190">
        <f>U23-AB23</f>
        <v>0</v>
      </c>
      <c r="AD23" s="183"/>
      <c r="AE23" s="182"/>
      <c r="AF23" s="356"/>
      <c r="AG23" s="198"/>
      <c r="AH23" s="343"/>
      <c r="AI23" s="183"/>
      <c r="AJ23" s="183"/>
      <c r="AK23" s="185"/>
      <c r="AL23" s="180"/>
    </row>
    <row r="24" spans="1:38" x14ac:dyDescent="0.25">
      <c r="A24" s="194">
        <v>17</v>
      </c>
      <c r="B24" s="195"/>
      <c r="C24" s="196"/>
      <c r="D24" s="234"/>
      <c r="E24" s="235"/>
      <c r="F24" s="197"/>
      <c r="G24" s="35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190"/>
      <c r="U24" s="353">
        <f t="shared" si="0"/>
        <v>0</v>
      </c>
      <c r="V24" s="190">
        <f t="shared" si="1"/>
        <v>0</v>
      </c>
      <c r="W24" s="190">
        <f t="shared" si="21"/>
        <v>45000000</v>
      </c>
      <c r="X24" s="190">
        <f>IF(U24&gt;(V24+W24),ROUNDDOWN((U24-V24-W24),-3),0)</f>
        <v>0</v>
      </c>
      <c r="Y24" s="191">
        <f>IF(X24&lt;=50000000,X24*0.05,IF(AND(X24&gt;50000000,X24&lt;=250000000),(X24-50000000)*0.15+2500000,IF(AND(X24&gt;250000000,X24&lt;=500000000),(X24-250000000)*0.25+32500000,IF(X24&gt;500000000,(X24-500000000)*0.3+95000000))))</f>
        <v>0</v>
      </c>
      <c r="Z24" s="192">
        <f t="shared" si="5"/>
        <v>0</v>
      </c>
      <c r="AA24" s="190">
        <v>0</v>
      </c>
      <c r="AB24" s="353">
        <f>Z24-AA24</f>
        <v>0</v>
      </c>
      <c r="AC24" s="190">
        <f>U24-AB24</f>
        <v>0</v>
      </c>
      <c r="AD24" s="183"/>
      <c r="AE24" s="199"/>
      <c r="AF24" s="343"/>
      <c r="AG24" s="185"/>
      <c r="AH24" s="343"/>
      <c r="AI24" s="183"/>
      <c r="AJ24" s="183"/>
      <c r="AK24" s="185"/>
      <c r="AL24" s="180"/>
    </row>
    <row r="25" spans="1:38" x14ac:dyDescent="0.25">
      <c r="A25" s="194">
        <v>18</v>
      </c>
      <c r="B25" s="195"/>
      <c r="C25" s="196"/>
      <c r="D25" s="234"/>
      <c r="E25" s="235"/>
      <c r="F25" s="197"/>
      <c r="G25" s="174"/>
      <c r="H25" s="214"/>
      <c r="I25" s="174"/>
      <c r="J25" s="174"/>
      <c r="K25" s="174"/>
      <c r="L25" s="174"/>
      <c r="M25" s="174"/>
      <c r="N25" s="174"/>
      <c r="O25" s="174"/>
      <c r="P25" s="214"/>
      <c r="Q25" s="214"/>
      <c r="R25" s="214"/>
      <c r="S25" s="357"/>
      <c r="T25" s="190"/>
      <c r="U25" s="353">
        <f t="shared" si="0"/>
        <v>0</v>
      </c>
      <c r="V25" s="190">
        <f t="shared" si="1"/>
        <v>0</v>
      </c>
      <c r="W25" s="190">
        <f t="shared" si="21"/>
        <v>45000000</v>
      </c>
      <c r="X25" s="190">
        <f t="shared" ref="X25:X32" si="22">IF(U25&gt;(V25+W25),ROUNDDOWN((U25-V25-W25),-3),0)</f>
        <v>0</v>
      </c>
      <c r="Y25" s="191">
        <f t="shared" ref="Y25:Y32" si="23">IF(X25&lt;=50000000,X25*0.05,IF(AND(X25&gt;50000000,X25&lt;=250000000),(X25-50000000)*0.15+2500000,IF(AND(X25&gt;250000000,X25&lt;=500000000),(X25-250000000)*0.25+32500000,IF(X25&gt;500000000,(X25-500000000)*0.3+95000000))))</f>
        <v>0</v>
      </c>
      <c r="Z25" s="192">
        <f t="shared" si="5"/>
        <v>0</v>
      </c>
      <c r="AA25" s="190">
        <v>0</v>
      </c>
      <c r="AB25" s="353">
        <f t="shared" ref="AB25:AB32" si="24">Z25-AA25</f>
        <v>0</v>
      </c>
      <c r="AC25" s="190">
        <f t="shared" ref="AC25:AC32" si="25">U25-AB25</f>
        <v>0</v>
      </c>
      <c r="AH25" s="184"/>
    </row>
    <row r="26" spans="1:38" x14ac:dyDescent="0.25">
      <c r="A26" s="194">
        <v>19</v>
      </c>
      <c r="B26" s="195"/>
      <c r="C26" s="196"/>
      <c r="D26" s="234"/>
      <c r="E26" s="235"/>
      <c r="F26" s="197"/>
      <c r="G26" s="174"/>
      <c r="H26" s="214"/>
      <c r="I26" s="174"/>
      <c r="J26" s="174"/>
      <c r="K26" s="174"/>
      <c r="L26" s="174"/>
      <c r="M26" s="174"/>
      <c r="N26" s="174"/>
      <c r="O26" s="174"/>
      <c r="P26" s="214"/>
      <c r="Q26" s="214"/>
      <c r="R26" s="214"/>
      <c r="S26" s="357"/>
      <c r="T26" s="190"/>
      <c r="U26" s="353">
        <f t="shared" si="0"/>
        <v>0</v>
      </c>
      <c r="V26" s="190">
        <f t="shared" si="1"/>
        <v>0</v>
      </c>
      <c r="W26" s="190">
        <f t="shared" si="21"/>
        <v>45000000</v>
      </c>
      <c r="X26" s="190">
        <f t="shared" si="22"/>
        <v>0</v>
      </c>
      <c r="Y26" s="191">
        <f t="shared" si="23"/>
        <v>0</v>
      </c>
      <c r="Z26" s="192">
        <f t="shared" si="5"/>
        <v>0</v>
      </c>
      <c r="AA26" s="190">
        <v>0</v>
      </c>
      <c r="AB26" s="353">
        <f t="shared" si="24"/>
        <v>0</v>
      </c>
      <c r="AC26" s="190">
        <f t="shared" si="25"/>
        <v>0</v>
      </c>
      <c r="AH26" s="184"/>
    </row>
    <row r="27" spans="1:38" x14ac:dyDescent="0.25">
      <c r="A27" s="194">
        <v>20</v>
      </c>
      <c r="B27" s="195"/>
      <c r="C27" s="196"/>
      <c r="D27" s="234"/>
      <c r="E27" s="235"/>
      <c r="F27" s="197"/>
      <c r="G27" s="174"/>
      <c r="H27" s="174"/>
      <c r="I27" s="174"/>
      <c r="J27" s="174"/>
      <c r="K27" s="188"/>
      <c r="L27" s="188"/>
      <c r="M27" s="188"/>
      <c r="N27" s="188"/>
      <c r="O27" s="357"/>
      <c r="P27" s="357"/>
      <c r="Q27" s="214"/>
      <c r="R27" s="214"/>
      <c r="S27" s="357"/>
      <c r="T27" s="190"/>
      <c r="U27" s="353">
        <f t="shared" si="0"/>
        <v>0</v>
      </c>
      <c r="V27" s="190">
        <f t="shared" si="1"/>
        <v>0</v>
      </c>
      <c r="W27" s="190">
        <f t="shared" si="21"/>
        <v>45000000</v>
      </c>
      <c r="X27" s="190">
        <f t="shared" si="22"/>
        <v>0</v>
      </c>
      <c r="Y27" s="191">
        <f t="shared" si="23"/>
        <v>0</v>
      </c>
      <c r="Z27" s="192">
        <f t="shared" si="5"/>
        <v>0</v>
      </c>
      <c r="AA27" s="190">
        <v>0</v>
      </c>
      <c r="AB27" s="353">
        <f t="shared" si="24"/>
        <v>0</v>
      </c>
      <c r="AC27" s="190">
        <f t="shared" si="25"/>
        <v>0</v>
      </c>
      <c r="AH27" s="184"/>
    </row>
    <row r="28" spans="1:38" x14ac:dyDescent="0.25">
      <c r="A28" s="194">
        <v>21</v>
      </c>
      <c r="B28" s="195"/>
      <c r="C28" s="197"/>
      <c r="D28" s="234"/>
      <c r="E28" s="195"/>
      <c r="F28" s="197"/>
      <c r="G28" s="174"/>
      <c r="H28" s="174"/>
      <c r="I28" s="174"/>
      <c r="J28" s="174"/>
      <c r="K28" s="188"/>
      <c r="L28" s="188"/>
      <c r="M28" s="188"/>
      <c r="N28" s="188"/>
      <c r="O28" s="357"/>
      <c r="P28" s="357"/>
      <c r="Q28" s="357"/>
      <c r="R28" s="357"/>
      <c r="S28" s="357"/>
      <c r="T28" s="190"/>
      <c r="U28" s="353">
        <f t="shared" si="0"/>
        <v>0</v>
      </c>
      <c r="V28" s="190">
        <f t="shared" si="1"/>
        <v>0</v>
      </c>
      <c r="W28" s="190">
        <f t="shared" si="21"/>
        <v>45000000</v>
      </c>
      <c r="X28" s="190">
        <f t="shared" si="22"/>
        <v>0</v>
      </c>
      <c r="Y28" s="191">
        <f t="shared" si="23"/>
        <v>0</v>
      </c>
      <c r="Z28" s="192">
        <f t="shared" si="5"/>
        <v>0</v>
      </c>
      <c r="AA28" s="190">
        <v>0</v>
      </c>
      <c r="AB28" s="353">
        <f t="shared" si="24"/>
        <v>0</v>
      </c>
      <c r="AC28" s="190">
        <f t="shared" si="25"/>
        <v>0</v>
      </c>
      <c r="AH28" s="184"/>
    </row>
    <row r="29" spans="1:38" x14ac:dyDescent="0.25">
      <c r="A29" s="194">
        <v>22</v>
      </c>
      <c r="B29" s="195"/>
      <c r="C29" s="197"/>
      <c r="D29" s="234"/>
      <c r="E29" s="195"/>
      <c r="F29" s="197"/>
      <c r="G29" s="174"/>
      <c r="H29" s="174"/>
      <c r="I29" s="174"/>
      <c r="J29" s="174"/>
      <c r="K29" s="188"/>
      <c r="L29" s="188"/>
      <c r="M29" s="188"/>
      <c r="N29" s="188"/>
      <c r="O29" s="357"/>
      <c r="P29" s="357"/>
      <c r="Q29" s="357"/>
      <c r="R29" s="357"/>
      <c r="S29" s="357"/>
      <c r="T29" s="190"/>
      <c r="U29" s="353">
        <f t="shared" si="0"/>
        <v>0</v>
      </c>
      <c r="V29" s="190">
        <f t="shared" si="1"/>
        <v>0</v>
      </c>
      <c r="W29" s="190">
        <f t="shared" si="21"/>
        <v>45000000</v>
      </c>
      <c r="X29" s="190">
        <f t="shared" si="22"/>
        <v>0</v>
      </c>
      <c r="Y29" s="191">
        <f t="shared" si="23"/>
        <v>0</v>
      </c>
      <c r="Z29" s="192">
        <f t="shared" si="5"/>
        <v>0</v>
      </c>
      <c r="AA29" s="190">
        <v>0</v>
      </c>
      <c r="AB29" s="353">
        <f t="shared" si="24"/>
        <v>0</v>
      </c>
      <c r="AC29" s="190">
        <f t="shared" si="25"/>
        <v>0</v>
      </c>
      <c r="AH29" s="184"/>
    </row>
    <row r="30" spans="1:38" x14ac:dyDescent="0.25">
      <c r="A30" s="194">
        <v>23</v>
      </c>
      <c r="B30" s="195"/>
      <c r="C30" s="197"/>
      <c r="D30" s="234"/>
      <c r="E30" s="195"/>
      <c r="F30" s="197"/>
      <c r="G30" s="174"/>
      <c r="H30" s="174"/>
      <c r="I30" s="174"/>
      <c r="J30" s="174"/>
      <c r="K30" s="188"/>
      <c r="L30" s="188"/>
      <c r="M30" s="188"/>
      <c r="N30" s="188"/>
      <c r="O30" s="357"/>
      <c r="P30" s="357"/>
      <c r="Q30" s="357"/>
      <c r="R30" s="357"/>
      <c r="S30" s="357"/>
      <c r="T30" s="190"/>
      <c r="U30" s="353">
        <f>SUM(H30:T30)</f>
        <v>0</v>
      </c>
      <c r="V30" s="190">
        <f>U30*5%</f>
        <v>0</v>
      </c>
      <c r="W30" s="190">
        <f>IF(G30="TK/-",3000000,IF(G30="K/-",3250000,IF(G30="K/1",3500000,IF(G30="K/2",3750000,IF(G30="K/3",4000000,IF(G30="TK/1",3250000,IF(G30="TK/2",3500000,3750000)))))))*12</f>
        <v>45000000</v>
      </c>
      <c r="X30" s="190">
        <f>IF(U30&gt;(V30+W30),ROUNDDOWN((U30-V30-W30),-3),0)</f>
        <v>0</v>
      </c>
      <c r="Y30" s="191">
        <f>IF(X30&lt;=50000000,X30*0.05,IF(AND(X30&gt;50000000,X30&lt;=250000000),(X30-50000000)*0.15+2500000,IF(AND(X30&gt;250000000,X30&lt;=500000000),(X30-250000000)*0.25+32500000,IF(X30&gt;500000000,(X30-500000000)*0.3+95000000))))</f>
        <v>0</v>
      </c>
      <c r="Z30" s="192">
        <f>IF(F30="",Y30*1.2,Y30)</f>
        <v>0</v>
      </c>
      <c r="AA30" s="190">
        <v>0</v>
      </c>
      <c r="AB30" s="353">
        <f>Z30-AA30</f>
        <v>0</v>
      </c>
      <c r="AC30" s="190">
        <f>U30-AB30</f>
        <v>0</v>
      </c>
      <c r="AH30" s="184"/>
    </row>
    <row r="31" spans="1:38" x14ac:dyDescent="0.25">
      <c r="A31" s="194">
        <v>24</v>
      </c>
      <c r="B31" s="195"/>
      <c r="C31" s="197"/>
      <c r="D31" s="234"/>
      <c r="E31" s="195"/>
      <c r="F31" s="197"/>
      <c r="G31" s="174"/>
      <c r="H31" s="174"/>
      <c r="I31" s="174"/>
      <c r="J31" s="174"/>
      <c r="K31" s="188"/>
      <c r="L31" s="188"/>
      <c r="M31" s="188"/>
      <c r="N31" s="188"/>
      <c r="O31" s="357"/>
      <c r="P31" s="357"/>
      <c r="Q31" s="357"/>
      <c r="R31" s="357"/>
      <c r="S31" s="357"/>
      <c r="T31" s="190"/>
      <c r="U31" s="353">
        <f>SUM(H31:T31)</f>
        <v>0</v>
      </c>
      <c r="V31" s="190">
        <f>U31*5%</f>
        <v>0</v>
      </c>
      <c r="W31" s="190">
        <f>IF(G31="TK/-",3000000,IF(G31="K/-",3250000,IF(G31="K/1",3500000,IF(G31="K/2",3750000,IF(G31="K/3",4000000,IF(G31="TK/1",3250000,IF(G31="TK/2",3500000,3750000)))))))*12</f>
        <v>45000000</v>
      </c>
      <c r="X31" s="190">
        <f>IF(U31&gt;(V31+W31),ROUNDDOWN((U31-V31-W31),-3),0)</f>
        <v>0</v>
      </c>
      <c r="Y31" s="191">
        <f>IF(X31&lt;=50000000,X31*0.05,IF(AND(X31&gt;50000000,X31&lt;=250000000),(X31-50000000)*0.15+2500000,IF(AND(X31&gt;250000000,X31&lt;=500000000),(X31-250000000)*0.25+32500000,IF(X31&gt;500000000,(X31-500000000)*0.3+95000000))))</f>
        <v>0</v>
      </c>
      <c r="Z31" s="192">
        <f>IF(F31="",Y31*1.2,Y31)</f>
        <v>0</v>
      </c>
      <c r="AA31" s="190">
        <v>0</v>
      </c>
      <c r="AB31" s="353">
        <f>Z31-AA31</f>
        <v>0</v>
      </c>
      <c r="AC31" s="190">
        <f>U31-AB31</f>
        <v>0</v>
      </c>
      <c r="AH31" s="184"/>
    </row>
    <row r="32" spans="1:38" x14ac:dyDescent="0.25">
      <c r="A32" s="194">
        <v>25</v>
      </c>
      <c r="B32" s="195"/>
      <c r="C32" s="197"/>
      <c r="D32" s="234"/>
      <c r="E32" s="195"/>
      <c r="F32" s="197"/>
      <c r="G32" s="174"/>
      <c r="H32" s="174"/>
      <c r="I32" s="174"/>
      <c r="J32" s="174"/>
      <c r="K32" s="188"/>
      <c r="L32" s="188"/>
      <c r="M32" s="188"/>
      <c r="N32" s="188"/>
      <c r="O32" s="357"/>
      <c r="P32" s="357"/>
      <c r="Q32" s="357"/>
      <c r="R32" s="357"/>
      <c r="S32" s="357"/>
      <c r="T32" s="190"/>
      <c r="U32" s="353">
        <f t="shared" si="0"/>
        <v>0</v>
      </c>
      <c r="V32" s="190">
        <f t="shared" si="1"/>
        <v>0</v>
      </c>
      <c r="W32" s="190">
        <f t="shared" si="21"/>
        <v>45000000</v>
      </c>
      <c r="X32" s="190">
        <f t="shared" si="22"/>
        <v>0</v>
      </c>
      <c r="Y32" s="191">
        <f t="shared" si="23"/>
        <v>0</v>
      </c>
      <c r="Z32" s="192">
        <f t="shared" si="5"/>
        <v>0</v>
      </c>
      <c r="AA32" s="190">
        <v>0</v>
      </c>
      <c r="AB32" s="353">
        <f t="shared" si="24"/>
        <v>0</v>
      </c>
      <c r="AC32" s="190">
        <f t="shared" si="25"/>
        <v>0</v>
      </c>
      <c r="AH32" s="184"/>
    </row>
    <row r="33" spans="1:34" x14ac:dyDescent="0.25">
      <c r="A33" s="194"/>
      <c r="B33" s="195"/>
      <c r="C33" s="197"/>
      <c r="D33" s="234"/>
      <c r="E33" s="195"/>
      <c r="F33" s="197"/>
      <c r="G33" s="174"/>
      <c r="H33" s="174"/>
      <c r="I33" s="174"/>
      <c r="J33" s="174"/>
      <c r="K33" s="188"/>
      <c r="L33" s="188"/>
      <c r="M33" s="188"/>
      <c r="N33" s="188"/>
      <c r="O33" s="357"/>
      <c r="P33" s="357"/>
      <c r="Q33" s="357"/>
      <c r="R33" s="357"/>
      <c r="S33" s="357"/>
      <c r="T33" s="358"/>
      <c r="U33" s="353"/>
      <c r="V33" s="190">
        <f t="shared" si="1"/>
        <v>0</v>
      </c>
      <c r="W33" s="190"/>
      <c r="X33" s="190"/>
      <c r="Y33" s="191"/>
      <c r="Z33" s="192"/>
      <c r="AA33" s="190"/>
      <c r="AB33" s="353"/>
      <c r="AC33" s="190"/>
      <c r="AH33" s="184"/>
    </row>
    <row r="34" spans="1:34" x14ac:dyDescent="0.25">
      <c r="A34" s="359"/>
      <c r="B34" s="360"/>
      <c r="C34" s="361"/>
      <c r="D34" s="362"/>
      <c r="E34" s="360"/>
      <c r="F34" s="361"/>
      <c r="G34" s="363"/>
      <c r="H34" s="363">
        <f t="shared" ref="H34:V34" si="26">SUM(H8:H33)</f>
        <v>37690000</v>
      </c>
      <c r="I34" s="363">
        <f t="shared" si="26"/>
        <v>33410000</v>
      </c>
      <c r="J34" s="363">
        <f t="shared" si="26"/>
        <v>36600000</v>
      </c>
      <c r="K34" s="363">
        <f t="shared" si="26"/>
        <v>43530000</v>
      </c>
      <c r="L34" s="363">
        <f t="shared" si="26"/>
        <v>30550000</v>
      </c>
      <c r="M34" s="363">
        <f t="shared" si="26"/>
        <v>36380000</v>
      </c>
      <c r="N34" s="363">
        <f t="shared" si="26"/>
        <v>43090000</v>
      </c>
      <c r="O34" s="363">
        <f t="shared" si="26"/>
        <v>35550000</v>
      </c>
      <c r="P34" s="364">
        <f t="shared" si="26"/>
        <v>35522500</v>
      </c>
      <c r="Q34" s="364">
        <f t="shared" si="26"/>
        <v>0</v>
      </c>
      <c r="R34" s="364">
        <f t="shared" si="26"/>
        <v>0</v>
      </c>
      <c r="S34" s="363">
        <f t="shared" si="26"/>
        <v>0</v>
      </c>
      <c r="T34" s="363">
        <f t="shared" si="26"/>
        <v>32000000</v>
      </c>
      <c r="U34" s="363">
        <f t="shared" si="26"/>
        <v>364322500</v>
      </c>
      <c r="V34" s="363">
        <f t="shared" si="26"/>
        <v>18216125</v>
      </c>
      <c r="W34" s="365"/>
      <c r="X34" s="365"/>
      <c r="Y34" s="363">
        <f>SUM(Y8:Y33)</f>
        <v>0</v>
      </c>
      <c r="Z34" s="363">
        <f>SUM(Z8:Z33)</f>
        <v>0</v>
      </c>
      <c r="AA34" s="363">
        <f>SUM(AA8:AA33)</f>
        <v>0</v>
      </c>
      <c r="AB34" s="363">
        <f>SUM(AB8:AB33)</f>
        <v>0</v>
      </c>
      <c r="AC34" s="363">
        <f>SUM(AC8:AC33)</f>
        <v>364322500</v>
      </c>
      <c r="AH34" s="184"/>
    </row>
    <row r="35" spans="1:34" x14ac:dyDescent="0.25">
      <c r="A35" s="187"/>
      <c r="B35" s="195"/>
      <c r="C35" s="197"/>
      <c r="D35" s="234"/>
      <c r="E35" s="195"/>
      <c r="F35" s="197"/>
      <c r="G35" s="366"/>
      <c r="H35" s="188"/>
      <c r="I35" s="188"/>
      <c r="J35" s="366"/>
      <c r="K35" s="189"/>
      <c r="L35" s="189"/>
      <c r="M35" s="189"/>
      <c r="N35" s="189"/>
      <c r="O35" s="367"/>
      <c r="P35" s="192"/>
      <c r="Q35" s="192"/>
      <c r="R35" s="192"/>
      <c r="S35" s="367"/>
      <c r="T35" s="299"/>
      <c r="U35" s="353"/>
      <c r="V35" s="190"/>
      <c r="W35" s="190"/>
      <c r="X35" s="190"/>
      <c r="Y35" s="191"/>
      <c r="Z35" s="192"/>
      <c r="AA35" s="190"/>
      <c r="AB35" s="353"/>
      <c r="AC35" s="190"/>
      <c r="AH35" s="184"/>
    </row>
    <row r="36" spans="1:34" x14ac:dyDescent="0.25">
      <c r="A36" s="321"/>
      <c r="B36" s="322"/>
      <c r="C36" s="323"/>
      <c r="D36" s="324"/>
      <c r="E36" s="322"/>
      <c r="F36" s="323"/>
      <c r="G36" s="368"/>
      <c r="H36" s="369">
        <f>H34</f>
        <v>37690000</v>
      </c>
      <c r="I36" s="369">
        <f t="shared" ref="I36:AC36" si="27">I34</f>
        <v>33410000</v>
      </c>
      <c r="J36" s="369">
        <f t="shared" si="27"/>
        <v>36600000</v>
      </c>
      <c r="K36" s="369">
        <f t="shared" si="27"/>
        <v>43530000</v>
      </c>
      <c r="L36" s="369">
        <f t="shared" si="27"/>
        <v>30550000</v>
      </c>
      <c r="M36" s="369">
        <f t="shared" si="27"/>
        <v>36380000</v>
      </c>
      <c r="N36" s="369">
        <f t="shared" si="27"/>
        <v>43090000</v>
      </c>
      <c r="O36" s="369">
        <f t="shared" si="27"/>
        <v>35550000</v>
      </c>
      <c r="P36" s="370">
        <f t="shared" si="27"/>
        <v>35522500</v>
      </c>
      <c r="Q36" s="370">
        <f t="shared" si="27"/>
        <v>0</v>
      </c>
      <c r="R36" s="370">
        <f>R34</f>
        <v>0</v>
      </c>
      <c r="S36" s="369">
        <f t="shared" si="27"/>
        <v>0</v>
      </c>
      <c r="T36" s="369">
        <f t="shared" si="27"/>
        <v>32000000</v>
      </c>
      <c r="U36" s="369">
        <f t="shared" si="27"/>
        <v>364322500</v>
      </c>
      <c r="V36" s="369">
        <f t="shared" si="27"/>
        <v>18216125</v>
      </c>
      <c r="W36" s="369">
        <f t="shared" si="27"/>
        <v>0</v>
      </c>
      <c r="X36" s="369">
        <f t="shared" si="27"/>
        <v>0</v>
      </c>
      <c r="Y36" s="369">
        <f t="shared" si="27"/>
        <v>0</v>
      </c>
      <c r="Z36" s="369">
        <f t="shared" si="27"/>
        <v>0</v>
      </c>
      <c r="AA36" s="369">
        <f t="shared" si="27"/>
        <v>0</v>
      </c>
      <c r="AB36" s="369">
        <f t="shared" si="27"/>
        <v>0</v>
      </c>
      <c r="AC36" s="369">
        <f t="shared" si="27"/>
        <v>364322500</v>
      </c>
      <c r="AH36" s="184"/>
    </row>
    <row r="37" spans="1:34" x14ac:dyDescent="0.25">
      <c r="A37" s="200"/>
      <c r="B37" s="201"/>
      <c r="C37" s="202"/>
      <c r="D37" s="236"/>
      <c r="E37" s="201"/>
      <c r="F37" s="202"/>
      <c r="G37" s="371"/>
      <c r="H37" s="372"/>
      <c r="I37" s="372"/>
      <c r="J37" s="371"/>
      <c r="K37" s="203"/>
      <c r="L37" s="203"/>
      <c r="M37" s="203"/>
      <c r="N37" s="203"/>
      <c r="O37" s="373"/>
      <c r="P37" s="374"/>
      <c r="Q37" s="374"/>
      <c r="R37" s="374"/>
      <c r="S37" s="373"/>
      <c r="T37" s="204"/>
      <c r="U37" s="375"/>
      <c r="V37" s="205"/>
      <c r="W37" s="205"/>
      <c r="X37" s="204"/>
      <c r="Y37" s="205"/>
      <c r="Z37" s="205"/>
      <c r="AA37" s="205"/>
      <c r="AB37" s="376"/>
      <c r="AC37" s="205"/>
      <c r="AH37" s="184"/>
    </row>
    <row r="38" spans="1:34" x14ac:dyDescent="0.25">
      <c r="F38" s="176"/>
      <c r="G38" s="178"/>
      <c r="J38" s="179"/>
      <c r="O38" s="181"/>
      <c r="S38" s="181"/>
      <c r="U38" s="180"/>
      <c r="V38" s="183">
        <f>U38*5%</f>
        <v>0</v>
      </c>
      <c r="W38" s="183"/>
      <c r="X38" s="182"/>
      <c r="Y38" s="183"/>
      <c r="Z38" s="183"/>
      <c r="AA38" s="183"/>
      <c r="AB38" s="183"/>
      <c r="AC38" s="183"/>
      <c r="AH38" s="184"/>
    </row>
    <row r="39" spans="1:34" x14ac:dyDescent="0.25">
      <c r="A39" s="248" t="s">
        <v>61</v>
      </c>
      <c r="T39" s="180"/>
      <c r="U39" s="180"/>
      <c r="V39" s="180"/>
      <c r="W39" s="180"/>
      <c r="AH39" s="184"/>
    </row>
    <row r="40" spans="1:34" x14ac:dyDescent="0.25">
      <c r="A40" s="249" t="s">
        <v>269</v>
      </c>
      <c r="T40" s="180"/>
      <c r="U40" s="180"/>
      <c r="V40" s="180"/>
      <c r="W40" s="180"/>
      <c r="AH40" s="184"/>
    </row>
    <row r="41" spans="1:34" x14ac:dyDescent="0.25">
      <c r="A41" s="250" t="s">
        <v>162</v>
      </c>
      <c r="B41" s="175" t="s">
        <v>270</v>
      </c>
      <c r="AH41" s="184"/>
    </row>
    <row r="42" spans="1:34" x14ac:dyDescent="0.25">
      <c r="A42" s="250" t="s">
        <v>163</v>
      </c>
      <c r="B42" s="175" t="s">
        <v>271</v>
      </c>
      <c r="AH42" s="184"/>
    </row>
    <row r="43" spans="1:34" x14ac:dyDescent="0.25">
      <c r="A43" s="250" t="s">
        <v>164</v>
      </c>
      <c r="B43" s="175" t="s">
        <v>272</v>
      </c>
      <c r="AH43" s="184"/>
    </row>
    <row r="44" spans="1:34" x14ac:dyDescent="0.25">
      <c r="A44" s="250" t="s">
        <v>165</v>
      </c>
      <c r="B44" s="175" t="s">
        <v>273</v>
      </c>
      <c r="AH44" s="184"/>
    </row>
    <row r="45" spans="1:34" x14ac:dyDescent="0.25">
      <c r="A45" s="250" t="s">
        <v>166</v>
      </c>
      <c r="B45" s="175" t="s">
        <v>274</v>
      </c>
      <c r="AH45" s="184"/>
    </row>
    <row r="46" spans="1:34" x14ac:dyDescent="0.25">
      <c r="A46" s="250" t="s">
        <v>275</v>
      </c>
      <c r="B46" s="175" t="s">
        <v>276</v>
      </c>
      <c r="AH46" s="184"/>
    </row>
    <row r="47" spans="1:34" x14ac:dyDescent="0.25">
      <c r="A47" s="250" t="s">
        <v>277</v>
      </c>
      <c r="B47" s="175" t="s">
        <v>278</v>
      </c>
      <c r="AH47" s="184"/>
    </row>
    <row r="48" spans="1:34" x14ac:dyDescent="0.25">
      <c r="A48" s="250" t="s">
        <v>279</v>
      </c>
      <c r="B48" s="175" t="s">
        <v>280</v>
      </c>
      <c r="AH48" s="184"/>
    </row>
    <row r="49" spans="1:34" x14ac:dyDescent="0.25">
      <c r="A49" s="250" t="s">
        <v>281</v>
      </c>
      <c r="B49" s="175" t="s">
        <v>282</v>
      </c>
      <c r="AH49" s="184"/>
    </row>
    <row r="50" spans="1:34" x14ac:dyDescent="0.25">
      <c r="A50" s="250" t="s">
        <v>283</v>
      </c>
      <c r="B50" s="175" t="s">
        <v>284</v>
      </c>
      <c r="AH50" s="184"/>
    </row>
    <row r="51" spans="1:34" x14ac:dyDescent="0.25">
      <c r="A51" s="250" t="s">
        <v>285</v>
      </c>
      <c r="B51" s="175" t="s">
        <v>286</v>
      </c>
      <c r="AH51" s="184"/>
    </row>
    <row r="52" spans="1:34" x14ac:dyDescent="0.25">
      <c r="A52" s="250" t="s">
        <v>287</v>
      </c>
      <c r="B52" s="175" t="s">
        <v>288</v>
      </c>
      <c r="AH52" s="184"/>
    </row>
    <row r="53" spans="1:34" x14ac:dyDescent="0.25">
      <c r="AH53" s="184"/>
    </row>
    <row r="54" spans="1:34" x14ac:dyDescent="0.25">
      <c r="AH54" s="184"/>
    </row>
    <row r="55" spans="1:34" x14ac:dyDescent="0.25">
      <c r="AH55" s="184"/>
    </row>
    <row r="56" spans="1:34" x14ac:dyDescent="0.25">
      <c r="AH56" s="184"/>
    </row>
    <row r="57" spans="1:34" x14ac:dyDescent="0.25">
      <c r="AH57" s="184"/>
    </row>
    <row r="58" spans="1:34" x14ac:dyDescent="0.25">
      <c r="AH58" s="184"/>
    </row>
    <row r="59" spans="1:34" x14ac:dyDescent="0.25">
      <c r="AH59" s="184"/>
    </row>
    <row r="60" spans="1:34" x14ac:dyDescent="0.25">
      <c r="AH60" s="184"/>
    </row>
    <row r="61" spans="1:34" x14ac:dyDescent="0.25">
      <c r="AH61" s="184"/>
    </row>
    <row r="62" spans="1:34" x14ac:dyDescent="0.25">
      <c r="AH62" s="184"/>
    </row>
    <row r="63" spans="1:34" x14ac:dyDescent="0.25">
      <c r="AH63" s="184"/>
    </row>
    <row r="64" spans="1:34" x14ac:dyDescent="0.25">
      <c r="AH64" s="184"/>
    </row>
    <row r="65" spans="34:34" x14ac:dyDescent="0.25">
      <c r="AH65" s="184"/>
    </row>
    <row r="66" spans="34:34" x14ac:dyDescent="0.25">
      <c r="AH66" s="184"/>
    </row>
    <row r="67" spans="34:34" x14ac:dyDescent="0.25">
      <c r="AH67" s="184"/>
    </row>
    <row r="68" spans="34:34" x14ac:dyDescent="0.25">
      <c r="AH68" s="184"/>
    </row>
    <row r="69" spans="34:34" x14ac:dyDescent="0.25">
      <c r="AH69" s="184"/>
    </row>
    <row r="70" spans="34:34" x14ac:dyDescent="0.25">
      <c r="AH70" s="184"/>
    </row>
    <row r="71" spans="34:34" x14ac:dyDescent="0.25">
      <c r="AH71" s="184"/>
    </row>
    <row r="72" spans="34:34" x14ac:dyDescent="0.25">
      <c r="AH72" s="184"/>
    </row>
    <row r="73" spans="34:34" x14ac:dyDescent="0.25">
      <c r="AH73" s="184"/>
    </row>
    <row r="74" spans="34:34" x14ac:dyDescent="0.25">
      <c r="AH74" s="184"/>
    </row>
    <row r="75" spans="34:34" x14ac:dyDescent="0.25">
      <c r="AH75" s="184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18">
    <mergeCell ref="A4:A5"/>
    <mergeCell ref="B4:B5"/>
    <mergeCell ref="C4:C5"/>
    <mergeCell ref="D4:D5"/>
    <mergeCell ref="E4:E5"/>
    <mergeCell ref="V4:V5"/>
    <mergeCell ref="W4:W5"/>
    <mergeCell ref="AC4:AC5"/>
    <mergeCell ref="F4:F5"/>
    <mergeCell ref="G4:G5"/>
    <mergeCell ref="X4:X5"/>
    <mergeCell ref="Y4:Y5"/>
    <mergeCell ref="Z4:Z5"/>
    <mergeCell ref="AA4:AA5"/>
    <mergeCell ref="AB4:AB5"/>
    <mergeCell ref="H4:S4"/>
    <mergeCell ref="T4:T5"/>
    <mergeCell ref="U4:U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7"/>
  <sheetViews>
    <sheetView zoomScaleNormal="100" workbookViewId="0">
      <pane xSplit="2" ySplit="4" topLeftCell="G421" activePane="bottomRight" state="frozen"/>
      <selection pane="topRight" activeCell="C1" sqref="C1"/>
      <selection pane="bottomLeft" activeCell="A5" sqref="A5"/>
      <selection pane="bottomRight" activeCell="O425" sqref="O425"/>
    </sheetView>
  </sheetViews>
  <sheetFormatPr defaultRowHeight="14.25" x14ac:dyDescent="0.25"/>
  <cols>
    <col min="1" max="1" width="7.7109375" style="395" customWidth="1"/>
    <col min="2" max="2" width="34.42578125" style="409" bestFit="1" customWidth="1"/>
    <col min="3" max="13" width="12.7109375" style="404" customWidth="1"/>
    <col min="14" max="14" width="12.7109375" style="403" customWidth="1"/>
    <col min="15" max="18" width="12.7109375" style="404" customWidth="1"/>
    <col min="19" max="258" width="9.140625" style="329"/>
    <col min="259" max="259" width="31.85546875" style="329" customWidth="1"/>
    <col min="260" max="260" width="18" style="329" customWidth="1"/>
    <col min="261" max="261" width="15" style="329" customWidth="1"/>
    <col min="262" max="262" width="12.140625" style="329" customWidth="1"/>
    <col min="263" max="263" width="10.7109375" style="329" customWidth="1"/>
    <col min="264" max="264" width="9.140625" style="329"/>
    <col min="265" max="265" width="13.7109375" style="329" customWidth="1"/>
    <col min="266" max="266" width="13.5703125" style="329" customWidth="1"/>
    <col min="267" max="267" width="12.28515625" style="329" customWidth="1"/>
    <col min="268" max="268" width="13" style="329" customWidth="1"/>
    <col min="269" max="514" width="9.140625" style="329"/>
    <col min="515" max="515" width="31.85546875" style="329" customWidth="1"/>
    <col min="516" max="516" width="18" style="329" customWidth="1"/>
    <col min="517" max="517" width="15" style="329" customWidth="1"/>
    <col min="518" max="518" width="12.140625" style="329" customWidth="1"/>
    <col min="519" max="519" width="10.7109375" style="329" customWidth="1"/>
    <col min="520" max="520" width="9.140625" style="329"/>
    <col min="521" max="521" width="13.7109375" style="329" customWidth="1"/>
    <col min="522" max="522" width="13.5703125" style="329" customWidth="1"/>
    <col min="523" max="523" width="12.28515625" style="329" customWidth="1"/>
    <col min="524" max="524" width="13" style="329" customWidth="1"/>
    <col min="525" max="770" width="9.140625" style="329"/>
    <col min="771" max="771" width="31.85546875" style="329" customWidth="1"/>
    <col min="772" max="772" width="18" style="329" customWidth="1"/>
    <col min="773" max="773" width="15" style="329" customWidth="1"/>
    <col min="774" max="774" width="12.140625" style="329" customWidth="1"/>
    <col min="775" max="775" width="10.7109375" style="329" customWidth="1"/>
    <col min="776" max="776" width="9.140625" style="329"/>
    <col min="777" max="777" width="13.7109375" style="329" customWidth="1"/>
    <col min="778" max="778" width="13.5703125" style="329" customWidth="1"/>
    <col min="779" max="779" width="12.28515625" style="329" customWidth="1"/>
    <col min="780" max="780" width="13" style="329" customWidth="1"/>
    <col min="781" max="1026" width="9.140625" style="329"/>
    <col min="1027" max="1027" width="31.85546875" style="329" customWidth="1"/>
    <col min="1028" max="1028" width="18" style="329" customWidth="1"/>
    <col min="1029" max="1029" width="15" style="329" customWidth="1"/>
    <col min="1030" max="1030" width="12.140625" style="329" customWidth="1"/>
    <col min="1031" max="1031" width="10.7109375" style="329" customWidth="1"/>
    <col min="1032" max="1032" width="9.140625" style="329"/>
    <col min="1033" max="1033" width="13.7109375" style="329" customWidth="1"/>
    <col min="1034" max="1034" width="13.5703125" style="329" customWidth="1"/>
    <col min="1035" max="1035" width="12.28515625" style="329" customWidth="1"/>
    <col min="1036" max="1036" width="13" style="329" customWidth="1"/>
    <col min="1037" max="1282" width="9.140625" style="329"/>
    <col min="1283" max="1283" width="31.85546875" style="329" customWidth="1"/>
    <col min="1284" max="1284" width="18" style="329" customWidth="1"/>
    <col min="1285" max="1285" width="15" style="329" customWidth="1"/>
    <col min="1286" max="1286" width="12.140625" style="329" customWidth="1"/>
    <col min="1287" max="1287" width="10.7109375" style="329" customWidth="1"/>
    <col min="1288" max="1288" width="9.140625" style="329"/>
    <col min="1289" max="1289" width="13.7109375" style="329" customWidth="1"/>
    <col min="1290" max="1290" width="13.5703125" style="329" customWidth="1"/>
    <col min="1291" max="1291" width="12.28515625" style="329" customWidth="1"/>
    <col min="1292" max="1292" width="13" style="329" customWidth="1"/>
    <col min="1293" max="1538" width="9.140625" style="329"/>
    <col min="1539" max="1539" width="31.85546875" style="329" customWidth="1"/>
    <col min="1540" max="1540" width="18" style="329" customWidth="1"/>
    <col min="1541" max="1541" width="15" style="329" customWidth="1"/>
    <col min="1542" max="1542" width="12.140625" style="329" customWidth="1"/>
    <col min="1543" max="1543" width="10.7109375" style="329" customWidth="1"/>
    <col min="1544" max="1544" width="9.140625" style="329"/>
    <col min="1545" max="1545" width="13.7109375" style="329" customWidth="1"/>
    <col min="1546" max="1546" width="13.5703125" style="329" customWidth="1"/>
    <col min="1547" max="1547" width="12.28515625" style="329" customWidth="1"/>
    <col min="1548" max="1548" width="13" style="329" customWidth="1"/>
    <col min="1549" max="1794" width="9.140625" style="329"/>
    <col min="1795" max="1795" width="31.85546875" style="329" customWidth="1"/>
    <col min="1796" max="1796" width="18" style="329" customWidth="1"/>
    <col min="1797" max="1797" width="15" style="329" customWidth="1"/>
    <col min="1798" max="1798" width="12.140625" style="329" customWidth="1"/>
    <col min="1799" max="1799" width="10.7109375" style="329" customWidth="1"/>
    <col min="1800" max="1800" width="9.140625" style="329"/>
    <col min="1801" max="1801" width="13.7109375" style="329" customWidth="1"/>
    <col min="1802" max="1802" width="13.5703125" style="329" customWidth="1"/>
    <col min="1803" max="1803" width="12.28515625" style="329" customWidth="1"/>
    <col min="1804" max="1804" width="13" style="329" customWidth="1"/>
    <col min="1805" max="2050" width="9.140625" style="329"/>
    <col min="2051" max="2051" width="31.85546875" style="329" customWidth="1"/>
    <col min="2052" max="2052" width="18" style="329" customWidth="1"/>
    <col min="2053" max="2053" width="15" style="329" customWidth="1"/>
    <col min="2054" max="2054" width="12.140625" style="329" customWidth="1"/>
    <col min="2055" max="2055" width="10.7109375" style="329" customWidth="1"/>
    <col min="2056" max="2056" width="9.140625" style="329"/>
    <col min="2057" max="2057" width="13.7109375" style="329" customWidth="1"/>
    <col min="2058" max="2058" width="13.5703125" style="329" customWidth="1"/>
    <col min="2059" max="2059" width="12.28515625" style="329" customWidth="1"/>
    <col min="2060" max="2060" width="13" style="329" customWidth="1"/>
    <col min="2061" max="2306" width="9.140625" style="329"/>
    <col min="2307" max="2307" width="31.85546875" style="329" customWidth="1"/>
    <col min="2308" max="2308" width="18" style="329" customWidth="1"/>
    <col min="2309" max="2309" width="15" style="329" customWidth="1"/>
    <col min="2310" max="2310" width="12.140625" style="329" customWidth="1"/>
    <col min="2311" max="2311" width="10.7109375" style="329" customWidth="1"/>
    <col min="2312" max="2312" width="9.140625" style="329"/>
    <col min="2313" max="2313" width="13.7109375" style="329" customWidth="1"/>
    <col min="2314" max="2314" width="13.5703125" style="329" customWidth="1"/>
    <col min="2315" max="2315" width="12.28515625" style="329" customWidth="1"/>
    <col min="2316" max="2316" width="13" style="329" customWidth="1"/>
    <col min="2317" max="2562" width="9.140625" style="329"/>
    <col min="2563" max="2563" width="31.85546875" style="329" customWidth="1"/>
    <col min="2564" max="2564" width="18" style="329" customWidth="1"/>
    <col min="2565" max="2565" width="15" style="329" customWidth="1"/>
    <col min="2566" max="2566" width="12.140625" style="329" customWidth="1"/>
    <col min="2567" max="2567" width="10.7109375" style="329" customWidth="1"/>
    <col min="2568" max="2568" width="9.140625" style="329"/>
    <col min="2569" max="2569" width="13.7109375" style="329" customWidth="1"/>
    <col min="2570" max="2570" width="13.5703125" style="329" customWidth="1"/>
    <col min="2571" max="2571" width="12.28515625" style="329" customWidth="1"/>
    <col min="2572" max="2572" width="13" style="329" customWidth="1"/>
    <col min="2573" max="2818" width="9.140625" style="329"/>
    <col min="2819" max="2819" width="31.85546875" style="329" customWidth="1"/>
    <col min="2820" max="2820" width="18" style="329" customWidth="1"/>
    <col min="2821" max="2821" width="15" style="329" customWidth="1"/>
    <col min="2822" max="2822" width="12.140625" style="329" customWidth="1"/>
    <col min="2823" max="2823" width="10.7109375" style="329" customWidth="1"/>
    <col min="2824" max="2824" width="9.140625" style="329"/>
    <col min="2825" max="2825" width="13.7109375" style="329" customWidth="1"/>
    <col min="2826" max="2826" width="13.5703125" style="329" customWidth="1"/>
    <col min="2827" max="2827" width="12.28515625" style="329" customWidth="1"/>
    <col min="2828" max="2828" width="13" style="329" customWidth="1"/>
    <col min="2829" max="3074" width="9.140625" style="329"/>
    <col min="3075" max="3075" width="31.85546875" style="329" customWidth="1"/>
    <col min="3076" max="3076" width="18" style="329" customWidth="1"/>
    <col min="3077" max="3077" width="15" style="329" customWidth="1"/>
    <col min="3078" max="3078" width="12.140625" style="329" customWidth="1"/>
    <col min="3079" max="3079" width="10.7109375" style="329" customWidth="1"/>
    <col min="3080" max="3080" width="9.140625" style="329"/>
    <col min="3081" max="3081" width="13.7109375" style="329" customWidth="1"/>
    <col min="3082" max="3082" width="13.5703125" style="329" customWidth="1"/>
    <col min="3083" max="3083" width="12.28515625" style="329" customWidth="1"/>
    <col min="3084" max="3084" width="13" style="329" customWidth="1"/>
    <col min="3085" max="3330" width="9.140625" style="329"/>
    <col min="3331" max="3331" width="31.85546875" style="329" customWidth="1"/>
    <col min="3332" max="3332" width="18" style="329" customWidth="1"/>
    <col min="3333" max="3333" width="15" style="329" customWidth="1"/>
    <col min="3334" max="3334" width="12.140625" style="329" customWidth="1"/>
    <col min="3335" max="3335" width="10.7109375" style="329" customWidth="1"/>
    <col min="3336" max="3336" width="9.140625" style="329"/>
    <col min="3337" max="3337" width="13.7109375" style="329" customWidth="1"/>
    <col min="3338" max="3338" width="13.5703125" style="329" customWidth="1"/>
    <col min="3339" max="3339" width="12.28515625" style="329" customWidth="1"/>
    <col min="3340" max="3340" width="13" style="329" customWidth="1"/>
    <col min="3341" max="3586" width="9.140625" style="329"/>
    <col min="3587" max="3587" width="31.85546875" style="329" customWidth="1"/>
    <col min="3588" max="3588" width="18" style="329" customWidth="1"/>
    <col min="3589" max="3589" width="15" style="329" customWidth="1"/>
    <col min="3590" max="3590" width="12.140625" style="329" customWidth="1"/>
    <col min="3591" max="3591" width="10.7109375" style="329" customWidth="1"/>
    <col min="3592" max="3592" width="9.140625" style="329"/>
    <col min="3593" max="3593" width="13.7109375" style="329" customWidth="1"/>
    <col min="3594" max="3594" width="13.5703125" style="329" customWidth="1"/>
    <col min="3595" max="3595" width="12.28515625" style="329" customWidth="1"/>
    <col min="3596" max="3596" width="13" style="329" customWidth="1"/>
    <col min="3597" max="3842" width="9.140625" style="329"/>
    <col min="3843" max="3843" width="31.85546875" style="329" customWidth="1"/>
    <col min="3844" max="3844" width="18" style="329" customWidth="1"/>
    <col min="3845" max="3845" width="15" style="329" customWidth="1"/>
    <col min="3846" max="3846" width="12.140625" style="329" customWidth="1"/>
    <col min="3847" max="3847" width="10.7109375" style="329" customWidth="1"/>
    <col min="3848" max="3848" width="9.140625" style="329"/>
    <col min="3849" max="3849" width="13.7109375" style="329" customWidth="1"/>
    <col min="3850" max="3850" width="13.5703125" style="329" customWidth="1"/>
    <col min="3851" max="3851" width="12.28515625" style="329" customWidth="1"/>
    <col min="3852" max="3852" width="13" style="329" customWidth="1"/>
    <col min="3853" max="4098" width="9.140625" style="329"/>
    <col min="4099" max="4099" width="31.85546875" style="329" customWidth="1"/>
    <col min="4100" max="4100" width="18" style="329" customWidth="1"/>
    <col min="4101" max="4101" width="15" style="329" customWidth="1"/>
    <col min="4102" max="4102" width="12.140625" style="329" customWidth="1"/>
    <col min="4103" max="4103" width="10.7109375" style="329" customWidth="1"/>
    <col min="4104" max="4104" width="9.140625" style="329"/>
    <col min="4105" max="4105" width="13.7109375" style="329" customWidth="1"/>
    <col min="4106" max="4106" width="13.5703125" style="329" customWidth="1"/>
    <col min="4107" max="4107" width="12.28515625" style="329" customWidth="1"/>
    <col min="4108" max="4108" width="13" style="329" customWidth="1"/>
    <col min="4109" max="4354" width="9.140625" style="329"/>
    <col min="4355" max="4355" width="31.85546875" style="329" customWidth="1"/>
    <col min="4356" max="4356" width="18" style="329" customWidth="1"/>
    <col min="4357" max="4357" width="15" style="329" customWidth="1"/>
    <col min="4358" max="4358" width="12.140625" style="329" customWidth="1"/>
    <col min="4359" max="4359" width="10.7109375" style="329" customWidth="1"/>
    <col min="4360" max="4360" width="9.140625" style="329"/>
    <col min="4361" max="4361" width="13.7109375" style="329" customWidth="1"/>
    <col min="4362" max="4362" width="13.5703125" style="329" customWidth="1"/>
    <col min="4363" max="4363" width="12.28515625" style="329" customWidth="1"/>
    <col min="4364" max="4364" width="13" style="329" customWidth="1"/>
    <col min="4365" max="4610" width="9.140625" style="329"/>
    <col min="4611" max="4611" width="31.85546875" style="329" customWidth="1"/>
    <col min="4612" max="4612" width="18" style="329" customWidth="1"/>
    <col min="4613" max="4613" width="15" style="329" customWidth="1"/>
    <col min="4614" max="4614" width="12.140625" style="329" customWidth="1"/>
    <col min="4615" max="4615" width="10.7109375" style="329" customWidth="1"/>
    <col min="4616" max="4616" width="9.140625" style="329"/>
    <col min="4617" max="4617" width="13.7109375" style="329" customWidth="1"/>
    <col min="4618" max="4618" width="13.5703125" style="329" customWidth="1"/>
    <col min="4619" max="4619" width="12.28515625" style="329" customWidth="1"/>
    <col min="4620" max="4620" width="13" style="329" customWidth="1"/>
    <col min="4621" max="4866" width="9.140625" style="329"/>
    <col min="4867" max="4867" width="31.85546875" style="329" customWidth="1"/>
    <col min="4868" max="4868" width="18" style="329" customWidth="1"/>
    <col min="4869" max="4869" width="15" style="329" customWidth="1"/>
    <col min="4870" max="4870" width="12.140625" style="329" customWidth="1"/>
    <col min="4871" max="4871" width="10.7109375" style="329" customWidth="1"/>
    <col min="4872" max="4872" width="9.140625" style="329"/>
    <col min="4873" max="4873" width="13.7109375" style="329" customWidth="1"/>
    <col min="4874" max="4874" width="13.5703125" style="329" customWidth="1"/>
    <col min="4875" max="4875" width="12.28515625" style="329" customWidth="1"/>
    <col min="4876" max="4876" width="13" style="329" customWidth="1"/>
    <col min="4877" max="5122" width="9.140625" style="329"/>
    <col min="5123" max="5123" width="31.85546875" style="329" customWidth="1"/>
    <col min="5124" max="5124" width="18" style="329" customWidth="1"/>
    <col min="5125" max="5125" width="15" style="329" customWidth="1"/>
    <col min="5126" max="5126" width="12.140625" style="329" customWidth="1"/>
    <col min="5127" max="5127" width="10.7109375" style="329" customWidth="1"/>
    <col min="5128" max="5128" width="9.140625" style="329"/>
    <col min="5129" max="5129" width="13.7109375" style="329" customWidth="1"/>
    <col min="5130" max="5130" width="13.5703125" style="329" customWidth="1"/>
    <col min="5131" max="5131" width="12.28515625" style="329" customWidth="1"/>
    <col min="5132" max="5132" width="13" style="329" customWidth="1"/>
    <col min="5133" max="5378" width="9.140625" style="329"/>
    <col min="5379" max="5379" width="31.85546875" style="329" customWidth="1"/>
    <col min="5380" max="5380" width="18" style="329" customWidth="1"/>
    <col min="5381" max="5381" width="15" style="329" customWidth="1"/>
    <col min="5382" max="5382" width="12.140625" style="329" customWidth="1"/>
    <col min="5383" max="5383" width="10.7109375" style="329" customWidth="1"/>
    <col min="5384" max="5384" width="9.140625" style="329"/>
    <col min="5385" max="5385" width="13.7109375" style="329" customWidth="1"/>
    <col min="5386" max="5386" width="13.5703125" style="329" customWidth="1"/>
    <col min="5387" max="5387" width="12.28515625" style="329" customWidth="1"/>
    <col min="5388" max="5388" width="13" style="329" customWidth="1"/>
    <col min="5389" max="5634" width="9.140625" style="329"/>
    <col min="5635" max="5635" width="31.85546875" style="329" customWidth="1"/>
    <col min="5636" max="5636" width="18" style="329" customWidth="1"/>
    <col min="5637" max="5637" width="15" style="329" customWidth="1"/>
    <col min="5638" max="5638" width="12.140625" style="329" customWidth="1"/>
    <col min="5639" max="5639" width="10.7109375" style="329" customWidth="1"/>
    <col min="5640" max="5640" width="9.140625" style="329"/>
    <col min="5641" max="5641" width="13.7109375" style="329" customWidth="1"/>
    <col min="5642" max="5642" width="13.5703125" style="329" customWidth="1"/>
    <col min="5643" max="5643" width="12.28515625" style="329" customWidth="1"/>
    <col min="5644" max="5644" width="13" style="329" customWidth="1"/>
    <col min="5645" max="5890" width="9.140625" style="329"/>
    <col min="5891" max="5891" width="31.85546875" style="329" customWidth="1"/>
    <col min="5892" max="5892" width="18" style="329" customWidth="1"/>
    <col min="5893" max="5893" width="15" style="329" customWidth="1"/>
    <col min="5894" max="5894" width="12.140625" style="329" customWidth="1"/>
    <col min="5895" max="5895" width="10.7109375" style="329" customWidth="1"/>
    <col min="5896" max="5896" width="9.140625" style="329"/>
    <col min="5897" max="5897" width="13.7109375" style="329" customWidth="1"/>
    <col min="5898" max="5898" width="13.5703125" style="329" customWidth="1"/>
    <col min="5899" max="5899" width="12.28515625" style="329" customWidth="1"/>
    <col min="5900" max="5900" width="13" style="329" customWidth="1"/>
    <col min="5901" max="6146" width="9.140625" style="329"/>
    <col min="6147" max="6147" width="31.85546875" style="329" customWidth="1"/>
    <col min="6148" max="6148" width="18" style="329" customWidth="1"/>
    <col min="6149" max="6149" width="15" style="329" customWidth="1"/>
    <col min="6150" max="6150" width="12.140625" style="329" customWidth="1"/>
    <col min="6151" max="6151" width="10.7109375" style="329" customWidth="1"/>
    <col min="6152" max="6152" width="9.140625" style="329"/>
    <col min="6153" max="6153" width="13.7109375" style="329" customWidth="1"/>
    <col min="6154" max="6154" width="13.5703125" style="329" customWidth="1"/>
    <col min="6155" max="6155" width="12.28515625" style="329" customWidth="1"/>
    <col min="6156" max="6156" width="13" style="329" customWidth="1"/>
    <col min="6157" max="6402" width="9.140625" style="329"/>
    <col min="6403" max="6403" width="31.85546875" style="329" customWidth="1"/>
    <col min="6404" max="6404" width="18" style="329" customWidth="1"/>
    <col min="6405" max="6405" width="15" style="329" customWidth="1"/>
    <col min="6406" max="6406" width="12.140625" style="329" customWidth="1"/>
    <col min="6407" max="6407" width="10.7109375" style="329" customWidth="1"/>
    <col min="6408" max="6408" width="9.140625" style="329"/>
    <col min="6409" max="6409" width="13.7109375" style="329" customWidth="1"/>
    <col min="6410" max="6410" width="13.5703125" style="329" customWidth="1"/>
    <col min="6411" max="6411" width="12.28515625" style="329" customWidth="1"/>
    <col min="6412" max="6412" width="13" style="329" customWidth="1"/>
    <col min="6413" max="6658" width="9.140625" style="329"/>
    <col min="6659" max="6659" width="31.85546875" style="329" customWidth="1"/>
    <col min="6660" max="6660" width="18" style="329" customWidth="1"/>
    <col min="6661" max="6661" width="15" style="329" customWidth="1"/>
    <col min="6662" max="6662" width="12.140625" style="329" customWidth="1"/>
    <col min="6663" max="6663" width="10.7109375" style="329" customWidth="1"/>
    <col min="6664" max="6664" width="9.140625" style="329"/>
    <col min="6665" max="6665" width="13.7109375" style="329" customWidth="1"/>
    <col min="6666" max="6666" width="13.5703125" style="329" customWidth="1"/>
    <col min="6667" max="6667" width="12.28515625" style="329" customWidth="1"/>
    <col min="6668" max="6668" width="13" style="329" customWidth="1"/>
    <col min="6669" max="6914" width="9.140625" style="329"/>
    <col min="6915" max="6915" width="31.85546875" style="329" customWidth="1"/>
    <col min="6916" max="6916" width="18" style="329" customWidth="1"/>
    <col min="6917" max="6917" width="15" style="329" customWidth="1"/>
    <col min="6918" max="6918" width="12.140625" style="329" customWidth="1"/>
    <col min="6919" max="6919" width="10.7109375" style="329" customWidth="1"/>
    <col min="6920" max="6920" width="9.140625" style="329"/>
    <col min="6921" max="6921" width="13.7109375" style="329" customWidth="1"/>
    <col min="6922" max="6922" width="13.5703125" style="329" customWidth="1"/>
    <col min="6923" max="6923" width="12.28515625" style="329" customWidth="1"/>
    <col min="6924" max="6924" width="13" style="329" customWidth="1"/>
    <col min="6925" max="7170" width="9.140625" style="329"/>
    <col min="7171" max="7171" width="31.85546875" style="329" customWidth="1"/>
    <col min="7172" max="7172" width="18" style="329" customWidth="1"/>
    <col min="7173" max="7173" width="15" style="329" customWidth="1"/>
    <col min="7174" max="7174" width="12.140625" style="329" customWidth="1"/>
    <col min="7175" max="7175" width="10.7109375" style="329" customWidth="1"/>
    <col min="7176" max="7176" width="9.140625" style="329"/>
    <col min="7177" max="7177" width="13.7109375" style="329" customWidth="1"/>
    <col min="7178" max="7178" width="13.5703125" style="329" customWidth="1"/>
    <col min="7179" max="7179" width="12.28515625" style="329" customWidth="1"/>
    <col min="7180" max="7180" width="13" style="329" customWidth="1"/>
    <col min="7181" max="7426" width="9.140625" style="329"/>
    <col min="7427" max="7427" width="31.85546875" style="329" customWidth="1"/>
    <col min="7428" max="7428" width="18" style="329" customWidth="1"/>
    <col min="7429" max="7429" width="15" style="329" customWidth="1"/>
    <col min="7430" max="7430" width="12.140625" style="329" customWidth="1"/>
    <col min="7431" max="7431" width="10.7109375" style="329" customWidth="1"/>
    <col min="7432" max="7432" width="9.140625" style="329"/>
    <col min="7433" max="7433" width="13.7109375" style="329" customWidth="1"/>
    <col min="7434" max="7434" width="13.5703125" style="329" customWidth="1"/>
    <col min="7435" max="7435" width="12.28515625" style="329" customWidth="1"/>
    <col min="7436" max="7436" width="13" style="329" customWidth="1"/>
    <col min="7437" max="7682" width="9.140625" style="329"/>
    <col min="7683" max="7683" width="31.85546875" style="329" customWidth="1"/>
    <col min="7684" max="7684" width="18" style="329" customWidth="1"/>
    <col min="7685" max="7685" width="15" style="329" customWidth="1"/>
    <col min="7686" max="7686" width="12.140625" style="329" customWidth="1"/>
    <col min="7687" max="7687" width="10.7109375" style="329" customWidth="1"/>
    <col min="7688" max="7688" width="9.140625" style="329"/>
    <col min="7689" max="7689" width="13.7109375" style="329" customWidth="1"/>
    <col min="7690" max="7690" width="13.5703125" style="329" customWidth="1"/>
    <col min="7691" max="7691" width="12.28515625" style="329" customWidth="1"/>
    <col min="7692" max="7692" width="13" style="329" customWidth="1"/>
    <col min="7693" max="7938" width="9.140625" style="329"/>
    <col min="7939" max="7939" width="31.85546875" style="329" customWidth="1"/>
    <col min="7940" max="7940" width="18" style="329" customWidth="1"/>
    <col min="7941" max="7941" width="15" style="329" customWidth="1"/>
    <col min="7942" max="7942" width="12.140625" style="329" customWidth="1"/>
    <col min="7943" max="7943" width="10.7109375" style="329" customWidth="1"/>
    <col min="7944" max="7944" width="9.140625" style="329"/>
    <col min="7945" max="7945" width="13.7109375" style="329" customWidth="1"/>
    <col min="7946" max="7946" width="13.5703125" style="329" customWidth="1"/>
    <col min="7947" max="7947" width="12.28515625" style="329" customWidth="1"/>
    <col min="7948" max="7948" width="13" style="329" customWidth="1"/>
    <col min="7949" max="8194" width="9.140625" style="329"/>
    <col min="8195" max="8195" width="31.85546875" style="329" customWidth="1"/>
    <col min="8196" max="8196" width="18" style="329" customWidth="1"/>
    <col min="8197" max="8197" width="15" style="329" customWidth="1"/>
    <col min="8198" max="8198" width="12.140625" style="329" customWidth="1"/>
    <col min="8199" max="8199" width="10.7109375" style="329" customWidth="1"/>
    <col min="8200" max="8200" width="9.140625" style="329"/>
    <col min="8201" max="8201" width="13.7109375" style="329" customWidth="1"/>
    <col min="8202" max="8202" width="13.5703125" style="329" customWidth="1"/>
    <col min="8203" max="8203" width="12.28515625" style="329" customWidth="1"/>
    <col min="8204" max="8204" width="13" style="329" customWidth="1"/>
    <col min="8205" max="8450" width="9.140625" style="329"/>
    <col min="8451" max="8451" width="31.85546875" style="329" customWidth="1"/>
    <col min="8452" max="8452" width="18" style="329" customWidth="1"/>
    <col min="8453" max="8453" width="15" style="329" customWidth="1"/>
    <col min="8454" max="8454" width="12.140625" style="329" customWidth="1"/>
    <col min="8455" max="8455" width="10.7109375" style="329" customWidth="1"/>
    <col min="8456" max="8456" width="9.140625" style="329"/>
    <col min="8457" max="8457" width="13.7109375" style="329" customWidth="1"/>
    <col min="8458" max="8458" width="13.5703125" style="329" customWidth="1"/>
    <col min="8459" max="8459" width="12.28515625" style="329" customWidth="1"/>
    <col min="8460" max="8460" width="13" style="329" customWidth="1"/>
    <col min="8461" max="8706" width="9.140625" style="329"/>
    <col min="8707" max="8707" width="31.85546875" style="329" customWidth="1"/>
    <col min="8708" max="8708" width="18" style="329" customWidth="1"/>
    <col min="8709" max="8709" width="15" style="329" customWidth="1"/>
    <col min="8710" max="8710" width="12.140625" style="329" customWidth="1"/>
    <col min="8711" max="8711" width="10.7109375" style="329" customWidth="1"/>
    <col min="8712" max="8712" width="9.140625" style="329"/>
    <col min="8713" max="8713" width="13.7109375" style="329" customWidth="1"/>
    <col min="8714" max="8714" width="13.5703125" style="329" customWidth="1"/>
    <col min="8715" max="8715" width="12.28515625" style="329" customWidth="1"/>
    <col min="8716" max="8716" width="13" style="329" customWidth="1"/>
    <col min="8717" max="8962" width="9.140625" style="329"/>
    <col min="8963" max="8963" width="31.85546875" style="329" customWidth="1"/>
    <col min="8964" max="8964" width="18" style="329" customWidth="1"/>
    <col min="8965" max="8965" width="15" style="329" customWidth="1"/>
    <col min="8966" max="8966" width="12.140625" style="329" customWidth="1"/>
    <col min="8967" max="8967" width="10.7109375" style="329" customWidth="1"/>
    <col min="8968" max="8968" width="9.140625" style="329"/>
    <col min="8969" max="8969" width="13.7109375" style="329" customWidth="1"/>
    <col min="8970" max="8970" width="13.5703125" style="329" customWidth="1"/>
    <col min="8971" max="8971" width="12.28515625" style="329" customWidth="1"/>
    <col min="8972" max="8972" width="13" style="329" customWidth="1"/>
    <col min="8973" max="9218" width="9.140625" style="329"/>
    <col min="9219" max="9219" width="31.85546875" style="329" customWidth="1"/>
    <col min="9220" max="9220" width="18" style="329" customWidth="1"/>
    <col min="9221" max="9221" width="15" style="329" customWidth="1"/>
    <col min="9222" max="9222" width="12.140625" style="329" customWidth="1"/>
    <col min="9223" max="9223" width="10.7109375" style="329" customWidth="1"/>
    <col min="9224" max="9224" width="9.140625" style="329"/>
    <col min="9225" max="9225" width="13.7109375" style="329" customWidth="1"/>
    <col min="9226" max="9226" width="13.5703125" style="329" customWidth="1"/>
    <col min="9227" max="9227" width="12.28515625" style="329" customWidth="1"/>
    <col min="9228" max="9228" width="13" style="329" customWidth="1"/>
    <col min="9229" max="9474" width="9.140625" style="329"/>
    <col min="9475" max="9475" width="31.85546875" style="329" customWidth="1"/>
    <col min="9476" max="9476" width="18" style="329" customWidth="1"/>
    <col min="9477" max="9477" width="15" style="329" customWidth="1"/>
    <col min="9478" max="9478" width="12.140625" style="329" customWidth="1"/>
    <col min="9479" max="9479" width="10.7109375" style="329" customWidth="1"/>
    <col min="9480" max="9480" width="9.140625" style="329"/>
    <col min="9481" max="9481" width="13.7109375" style="329" customWidth="1"/>
    <col min="9482" max="9482" width="13.5703125" style="329" customWidth="1"/>
    <col min="9483" max="9483" width="12.28515625" style="329" customWidth="1"/>
    <col min="9484" max="9484" width="13" style="329" customWidth="1"/>
    <col min="9485" max="9730" width="9.140625" style="329"/>
    <col min="9731" max="9731" width="31.85546875" style="329" customWidth="1"/>
    <col min="9732" max="9732" width="18" style="329" customWidth="1"/>
    <col min="9733" max="9733" width="15" style="329" customWidth="1"/>
    <col min="9734" max="9734" width="12.140625" style="329" customWidth="1"/>
    <col min="9735" max="9735" width="10.7109375" style="329" customWidth="1"/>
    <col min="9736" max="9736" width="9.140625" style="329"/>
    <col min="9737" max="9737" width="13.7109375" style="329" customWidth="1"/>
    <col min="9738" max="9738" width="13.5703125" style="329" customWidth="1"/>
    <col min="9739" max="9739" width="12.28515625" style="329" customWidth="1"/>
    <col min="9740" max="9740" width="13" style="329" customWidth="1"/>
    <col min="9741" max="9986" width="9.140625" style="329"/>
    <col min="9987" max="9987" width="31.85546875" style="329" customWidth="1"/>
    <col min="9988" max="9988" width="18" style="329" customWidth="1"/>
    <col min="9989" max="9989" width="15" style="329" customWidth="1"/>
    <col min="9990" max="9990" width="12.140625" style="329" customWidth="1"/>
    <col min="9991" max="9991" width="10.7109375" style="329" customWidth="1"/>
    <col min="9992" max="9992" width="9.140625" style="329"/>
    <col min="9993" max="9993" width="13.7109375" style="329" customWidth="1"/>
    <col min="9994" max="9994" width="13.5703125" style="329" customWidth="1"/>
    <col min="9995" max="9995" width="12.28515625" style="329" customWidth="1"/>
    <col min="9996" max="9996" width="13" style="329" customWidth="1"/>
    <col min="9997" max="10242" width="9.140625" style="329"/>
    <col min="10243" max="10243" width="31.85546875" style="329" customWidth="1"/>
    <col min="10244" max="10244" width="18" style="329" customWidth="1"/>
    <col min="10245" max="10245" width="15" style="329" customWidth="1"/>
    <col min="10246" max="10246" width="12.140625" style="329" customWidth="1"/>
    <col min="10247" max="10247" width="10.7109375" style="329" customWidth="1"/>
    <col min="10248" max="10248" width="9.140625" style="329"/>
    <col min="10249" max="10249" width="13.7109375" style="329" customWidth="1"/>
    <col min="10250" max="10250" width="13.5703125" style="329" customWidth="1"/>
    <col min="10251" max="10251" width="12.28515625" style="329" customWidth="1"/>
    <col min="10252" max="10252" width="13" style="329" customWidth="1"/>
    <col min="10253" max="10498" width="9.140625" style="329"/>
    <col min="10499" max="10499" width="31.85546875" style="329" customWidth="1"/>
    <col min="10500" max="10500" width="18" style="329" customWidth="1"/>
    <col min="10501" max="10501" width="15" style="329" customWidth="1"/>
    <col min="10502" max="10502" width="12.140625" style="329" customWidth="1"/>
    <col min="10503" max="10503" width="10.7109375" style="329" customWidth="1"/>
    <col min="10504" max="10504" width="9.140625" style="329"/>
    <col min="10505" max="10505" width="13.7109375" style="329" customWidth="1"/>
    <col min="10506" max="10506" width="13.5703125" style="329" customWidth="1"/>
    <col min="10507" max="10507" width="12.28515625" style="329" customWidth="1"/>
    <col min="10508" max="10508" width="13" style="329" customWidth="1"/>
    <col min="10509" max="10754" width="9.140625" style="329"/>
    <col min="10755" max="10755" width="31.85546875" style="329" customWidth="1"/>
    <col min="10756" max="10756" width="18" style="329" customWidth="1"/>
    <col min="10757" max="10757" width="15" style="329" customWidth="1"/>
    <col min="10758" max="10758" width="12.140625" style="329" customWidth="1"/>
    <col min="10759" max="10759" width="10.7109375" style="329" customWidth="1"/>
    <col min="10760" max="10760" width="9.140625" style="329"/>
    <col min="10761" max="10761" width="13.7109375" style="329" customWidth="1"/>
    <col min="10762" max="10762" width="13.5703125" style="329" customWidth="1"/>
    <col min="10763" max="10763" width="12.28515625" style="329" customWidth="1"/>
    <col min="10764" max="10764" width="13" style="329" customWidth="1"/>
    <col min="10765" max="11010" width="9.140625" style="329"/>
    <col min="11011" max="11011" width="31.85546875" style="329" customWidth="1"/>
    <col min="11012" max="11012" width="18" style="329" customWidth="1"/>
    <col min="11013" max="11013" width="15" style="329" customWidth="1"/>
    <col min="11014" max="11014" width="12.140625" style="329" customWidth="1"/>
    <col min="11015" max="11015" width="10.7109375" style="329" customWidth="1"/>
    <col min="11016" max="11016" width="9.140625" style="329"/>
    <col min="11017" max="11017" width="13.7109375" style="329" customWidth="1"/>
    <col min="11018" max="11018" width="13.5703125" style="329" customWidth="1"/>
    <col min="11019" max="11019" width="12.28515625" style="329" customWidth="1"/>
    <col min="11020" max="11020" width="13" style="329" customWidth="1"/>
    <col min="11021" max="11266" width="9.140625" style="329"/>
    <col min="11267" max="11267" width="31.85546875" style="329" customWidth="1"/>
    <col min="11268" max="11268" width="18" style="329" customWidth="1"/>
    <col min="11269" max="11269" width="15" style="329" customWidth="1"/>
    <col min="11270" max="11270" width="12.140625" style="329" customWidth="1"/>
    <col min="11271" max="11271" width="10.7109375" style="329" customWidth="1"/>
    <col min="11272" max="11272" width="9.140625" style="329"/>
    <col min="11273" max="11273" width="13.7109375" style="329" customWidth="1"/>
    <col min="11274" max="11274" width="13.5703125" style="329" customWidth="1"/>
    <col min="11275" max="11275" width="12.28515625" style="329" customWidth="1"/>
    <col min="11276" max="11276" width="13" style="329" customWidth="1"/>
    <col min="11277" max="11522" width="9.140625" style="329"/>
    <col min="11523" max="11523" width="31.85546875" style="329" customWidth="1"/>
    <col min="11524" max="11524" width="18" style="329" customWidth="1"/>
    <col min="11525" max="11525" width="15" style="329" customWidth="1"/>
    <col min="11526" max="11526" width="12.140625" style="329" customWidth="1"/>
    <col min="11527" max="11527" width="10.7109375" style="329" customWidth="1"/>
    <col min="11528" max="11528" width="9.140625" style="329"/>
    <col min="11529" max="11529" width="13.7109375" style="329" customWidth="1"/>
    <col min="11530" max="11530" width="13.5703125" style="329" customWidth="1"/>
    <col min="11531" max="11531" width="12.28515625" style="329" customWidth="1"/>
    <col min="11532" max="11532" width="13" style="329" customWidth="1"/>
    <col min="11533" max="11778" width="9.140625" style="329"/>
    <col min="11779" max="11779" width="31.85546875" style="329" customWidth="1"/>
    <col min="11780" max="11780" width="18" style="329" customWidth="1"/>
    <col min="11781" max="11781" width="15" style="329" customWidth="1"/>
    <col min="11782" max="11782" width="12.140625" style="329" customWidth="1"/>
    <col min="11783" max="11783" width="10.7109375" style="329" customWidth="1"/>
    <col min="11784" max="11784" width="9.140625" style="329"/>
    <col min="11785" max="11785" width="13.7109375" style="329" customWidth="1"/>
    <col min="11786" max="11786" width="13.5703125" style="329" customWidth="1"/>
    <col min="11787" max="11787" width="12.28515625" style="329" customWidth="1"/>
    <col min="11788" max="11788" width="13" style="329" customWidth="1"/>
    <col min="11789" max="12034" width="9.140625" style="329"/>
    <col min="12035" max="12035" width="31.85546875" style="329" customWidth="1"/>
    <col min="12036" max="12036" width="18" style="329" customWidth="1"/>
    <col min="12037" max="12037" width="15" style="329" customWidth="1"/>
    <col min="12038" max="12038" width="12.140625" style="329" customWidth="1"/>
    <col min="12039" max="12039" width="10.7109375" style="329" customWidth="1"/>
    <col min="12040" max="12040" width="9.140625" style="329"/>
    <col min="12041" max="12041" width="13.7109375" style="329" customWidth="1"/>
    <col min="12042" max="12042" width="13.5703125" style="329" customWidth="1"/>
    <col min="12043" max="12043" width="12.28515625" style="329" customWidth="1"/>
    <col min="12044" max="12044" width="13" style="329" customWidth="1"/>
    <col min="12045" max="12290" width="9.140625" style="329"/>
    <col min="12291" max="12291" width="31.85546875" style="329" customWidth="1"/>
    <col min="12292" max="12292" width="18" style="329" customWidth="1"/>
    <col min="12293" max="12293" width="15" style="329" customWidth="1"/>
    <col min="12294" max="12294" width="12.140625" style="329" customWidth="1"/>
    <col min="12295" max="12295" width="10.7109375" style="329" customWidth="1"/>
    <col min="12296" max="12296" width="9.140625" style="329"/>
    <col min="12297" max="12297" width="13.7109375" style="329" customWidth="1"/>
    <col min="12298" max="12298" width="13.5703125" style="329" customWidth="1"/>
    <col min="12299" max="12299" width="12.28515625" style="329" customWidth="1"/>
    <col min="12300" max="12300" width="13" style="329" customWidth="1"/>
    <col min="12301" max="12546" width="9.140625" style="329"/>
    <col min="12547" max="12547" width="31.85546875" style="329" customWidth="1"/>
    <col min="12548" max="12548" width="18" style="329" customWidth="1"/>
    <col min="12549" max="12549" width="15" style="329" customWidth="1"/>
    <col min="12550" max="12550" width="12.140625" style="329" customWidth="1"/>
    <col min="12551" max="12551" width="10.7109375" style="329" customWidth="1"/>
    <col min="12552" max="12552" width="9.140625" style="329"/>
    <col min="12553" max="12553" width="13.7109375" style="329" customWidth="1"/>
    <col min="12554" max="12554" width="13.5703125" style="329" customWidth="1"/>
    <col min="12555" max="12555" width="12.28515625" style="329" customWidth="1"/>
    <col min="12556" max="12556" width="13" style="329" customWidth="1"/>
    <col min="12557" max="12802" width="9.140625" style="329"/>
    <col min="12803" max="12803" width="31.85546875" style="329" customWidth="1"/>
    <col min="12804" max="12804" width="18" style="329" customWidth="1"/>
    <col min="12805" max="12805" width="15" style="329" customWidth="1"/>
    <col min="12806" max="12806" width="12.140625" style="329" customWidth="1"/>
    <col min="12807" max="12807" width="10.7109375" style="329" customWidth="1"/>
    <col min="12808" max="12808" width="9.140625" style="329"/>
    <col min="12809" max="12809" width="13.7109375" style="329" customWidth="1"/>
    <col min="12810" max="12810" width="13.5703125" style="329" customWidth="1"/>
    <col min="12811" max="12811" width="12.28515625" style="329" customWidth="1"/>
    <col min="12812" max="12812" width="13" style="329" customWidth="1"/>
    <col min="12813" max="13058" width="9.140625" style="329"/>
    <col min="13059" max="13059" width="31.85546875" style="329" customWidth="1"/>
    <col min="13060" max="13060" width="18" style="329" customWidth="1"/>
    <col min="13061" max="13061" width="15" style="329" customWidth="1"/>
    <col min="13062" max="13062" width="12.140625" style="329" customWidth="1"/>
    <col min="13063" max="13063" width="10.7109375" style="329" customWidth="1"/>
    <col min="13064" max="13064" width="9.140625" style="329"/>
    <col min="13065" max="13065" width="13.7109375" style="329" customWidth="1"/>
    <col min="13066" max="13066" width="13.5703125" style="329" customWidth="1"/>
    <col min="13067" max="13067" width="12.28515625" style="329" customWidth="1"/>
    <col min="13068" max="13068" width="13" style="329" customWidth="1"/>
    <col min="13069" max="13314" width="9.140625" style="329"/>
    <col min="13315" max="13315" width="31.85546875" style="329" customWidth="1"/>
    <col min="13316" max="13316" width="18" style="329" customWidth="1"/>
    <col min="13317" max="13317" width="15" style="329" customWidth="1"/>
    <col min="13318" max="13318" width="12.140625" style="329" customWidth="1"/>
    <col min="13319" max="13319" width="10.7109375" style="329" customWidth="1"/>
    <col min="13320" max="13320" width="9.140625" style="329"/>
    <col min="13321" max="13321" width="13.7109375" style="329" customWidth="1"/>
    <col min="13322" max="13322" width="13.5703125" style="329" customWidth="1"/>
    <col min="13323" max="13323" width="12.28515625" style="329" customWidth="1"/>
    <col min="13324" max="13324" width="13" style="329" customWidth="1"/>
    <col min="13325" max="13570" width="9.140625" style="329"/>
    <col min="13571" max="13571" width="31.85546875" style="329" customWidth="1"/>
    <col min="13572" max="13572" width="18" style="329" customWidth="1"/>
    <col min="13573" max="13573" width="15" style="329" customWidth="1"/>
    <col min="13574" max="13574" width="12.140625" style="329" customWidth="1"/>
    <col min="13575" max="13575" width="10.7109375" style="329" customWidth="1"/>
    <col min="13576" max="13576" width="9.140625" style="329"/>
    <col min="13577" max="13577" width="13.7109375" style="329" customWidth="1"/>
    <col min="13578" max="13578" width="13.5703125" style="329" customWidth="1"/>
    <col min="13579" max="13579" width="12.28515625" style="329" customWidth="1"/>
    <col min="13580" max="13580" width="13" style="329" customWidth="1"/>
    <col min="13581" max="13826" width="9.140625" style="329"/>
    <col min="13827" max="13827" width="31.85546875" style="329" customWidth="1"/>
    <col min="13828" max="13828" width="18" style="329" customWidth="1"/>
    <col min="13829" max="13829" width="15" style="329" customWidth="1"/>
    <col min="13830" max="13830" width="12.140625" style="329" customWidth="1"/>
    <col min="13831" max="13831" width="10.7109375" style="329" customWidth="1"/>
    <col min="13832" max="13832" width="9.140625" style="329"/>
    <col min="13833" max="13833" width="13.7109375" style="329" customWidth="1"/>
    <col min="13834" max="13834" width="13.5703125" style="329" customWidth="1"/>
    <col min="13835" max="13835" width="12.28515625" style="329" customWidth="1"/>
    <col min="13836" max="13836" width="13" style="329" customWidth="1"/>
    <col min="13837" max="14082" width="9.140625" style="329"/>
    <col min="14083" max="14083" width="31.85546875" style="329" customWidth="1"/>
    <col min="14084" max="14084" width="18" style="329" customWidth="1"/>
    <col min="14085" max="14085" width="15" style="329" customWidth="1"/>
    <col min="14086" max="14086" width="12.140625" style="329" customWidth="1"/>
    <col min="14087" max="14087" width="10.7109375" style="329" customWidth="1"/>
    <col min="14088" max="14088" width="9.140625" style="329"/>
    <col min="14089" max="14089" width="13.7109375" style="329" customWidth="1"/>
    <col min="14090" max="14090" width="13.5703125" style="329" customWidth="1"/>
    <col min="14091" max="14091" width="12.28515625" style="329" customWidth="1"/>
    <col min="14092" max="14092" width="13" style="329" customWidth="1"/>
    <col min="14093" max="14338" width="9.140625" style="329"/>
    <col min="14339" max="14339" width="31.85546875" style="329" customWidth="1"/>
    <col min="14340" max="14340" width="18" style="329" customWidth="1"/>
    <col min="14341" max="14341" width="15" style="329" customWidth="1"/>
    <col min="14342" max="14342" width="12.140625" style="329" customWidth="1"/>
    <col min="14343" max="14343" width="10.7109375" style="329" customWidth="1"/>
    <col min="14344" max="14344" width="9.140625" style="329"/>
    <col min="14345" max="14345" width="13.7109375" style="329" customWidth="1"/>
    <col min="14346" max="14346" width="13.5703125" style="329" customWidth="1"/>
    <col min="14347" max="14347" width="12.28515625" style="329" customWidth="1"/>
    <col min="14348" max="14348" width="13" style="329" customWidth="1"/>
    <col min="14349" max="14594" width="9.140625" style="329"/>
    <col min="14595" max="14595" width="31.85546875" style="329" customWidth="1"/>
    <col min="14596" max="14596" width="18" style="329" customWidth="1"/>
    <col min="14597" max="14597" width="15" style="329" customWidth="1"/>
    <col min="14598" max="14598" width="12.140625" style="329" customWidth="1"/>
    <col min="14599" max="14599" width="10.7109375" style="329" customWidth="1"/>
    <col min="14600" max="14600" width="9.140625" style="329"/>
    <col min="14601" max="14601" width="13.7109375" style="329" customWidth="1"/>
    <col min="14602" max="14602" width="13.5703125" style="329" customWidth="1"/>
    <col min="14603" max="14603" width="12.28515625" style="329" customWidth="1"/>
    <col min="14604" max="14604" width="13" style="329" customWidth="1"/>
    <col min="14605" max="14850" width="9.140625" style="329"/>
    <col min="14851" max="14851" width="31.85546875" style="329" customWidth="1"/>
    <col min="14852" max="14852" width="18" style="329" customWidth="1"/>
    <col min="14853" max="14853" width="15" style="329" customWidth="1"/>
    <col min="14854" max="14854" width="12.140625" style="329" customWidth="1"/>
    <col min="14855" max="14855" width="10.7109375" style="329" customWidth="1"/>
    <col min="14856" max="14856" width="9.140625" style="329"/>
    <col min="14857" max="14857" width="13.7109375" style="329" customWidth="1"/>
    <col min="14858" max="14858" width="13.5703125" style="329" customWidth="1"/>
    <col min="14859" max="14859" width="12.28515625" style="329" customWidth="1"/>
    <col min="14860" max="14860" width="13" style="329" customWidth="1"/>
    <col min="14861" max="15106" width="9.140625" style="329"/>
    <col min="15107" max="15107" width="31.85546875" style="329" customWidth="1"/>
    <col min="15108" max="15108" width="18" style="329" customWidth="1"/>
    <col min="15109" max="15109" width="15" style="329" customWidth="1"/>
    <col min="15110" max="15110" width="12.140625" style="329" customWidth="1"/>
    <col min="15111" max="15111" width="10.7109375" style="329" customWidth="1"/>
    <col min="15112" max="15112" width="9.140625" style="329"/>
    <col min="15113" max="15113" width="13.7109375" style="329" customWidth="1"/>
    <col min="15114" max="15114" width="13.5703125" style="329" customWidth="1"/>
    <col min="15115" max="15115" width="12.28515625" style="329" customWidth="1"/>
    <col min="15116" max="15116" width="13" style="329" customWidth="1"/>
    <col min="15117" max="15362" width="9.140625" style="329"/>
    <col min="15363" max="15363" width="31.85546875" style="329" customWidth="1"/>
    <col min="15364" max="15364" width="18" style="329" customWidth="1"/>
    <col min="15365" max="15365" width="15" style="329" customWidth="1"/>
    <col min="15366" max="15366" width="12.140625" style="329" customWidth="1"/>
    <col min="15367" max="15367" width="10.7109375" style="329" customWidth="1"/>
    <col min="15368" max="15368" width="9.140625" style="329"/>
    <col min="15369" max="15369" width="13.7109375" style="329" customWidth="1"/>
    <col min="15370" max="15370" width="13.5703125" style="329" customWidth="1"/>
    <col min="15371" max="15371" width="12.28515625" style="329" customWidth="1"/>
    <col min="15372" max="15372" width="13" style="329" customWidth="1"/>
    <col min="15373" max="15618" width="9.140625" style="329"/>
    <col min="15619" max="15619" width="31.85546875" style="329" customWidth="1"/>
    <col min="15620" max="15620" width="18" style="329" customWidth="1"/>
    <col min="15621" max="15621" width="15" style="329" customWidth="1"/>
    <col min="15622" max="15622" width="12.140625" style="329" customWidth="1"/>
    <col min="15623" max="15623" width="10.7109375" style="329" customWidth="1"/>
    <col min="15624" max="15624" width="9.140625" style="329"/>
    <col min="15625" max="15625" width="13.7109375" style="329" customWidth="1"/>
    <col min="15626" max="15626" width="13.5703125" style="329" customWidth="1"/>
    <col min="15627" max="15627" width="12.28515625" style="329" customWidth="1"/>
    <col min="15628" max="15628" width="13" style="329" customWidth="1"/>
    <col min="15629" max="15874" width="9.140625" style="329"/>
    <col min="15875" max="15875" width="31.85546875" style="329" customWidth="1"/>
    <col min="15876" max="15876" width="18" style="329" customWidth="1"/>
    <col min="15877" max="15877" width="15" style="329" customWidth="1"/>
    <col min="15878" max="15878" width="12.140625" style="329" customWidth="1"/>
    <col min="15879" max="15879" width="10.7109375" style="329" customWidth="1"/>
    <col min="15880" max="15880" width="9.140625" style="329"/>
    <col min="15881" max="15881" width="13.7109375" style="329" customWidth="1"/>
    <col min="15882" max="15882" width="13.5703125" style="329" customWidth="1"/>
    <col min="15883" max="15883" width="12.28515625" style="329" customWidth="1"/>
    <col min="15884" max="15884" width="13" style="329" customWidth="1"/>
    <col min="15885" max="16130" width="9.140625" style="329"/>
    <col min="16131" max="16131" width="31.85546875" style="329" customWidth="1"/>
    <col min="16132" max="16132" width="18" style="329" customWidth="1"/>
    <col min="16133" max="16133" width="15" style="329" customWidth="1"/>
    <col min="16134" max="16134" width="12.140625" style="329" customWidth="1"/>
    <col min="16135" max="16135" width="10.7109375" style="329" customWidth="1"/>
    <col min="16136" max="16136" width="9.140625" style="329"/>
    <col min="16137" max="16137" width="13.7109375" style="329" customWidth="1"/>
    <col min="16138" max="16138" width="13.5703125" style="329" customWidth="1"/>
    <col min="16139" max="16139" width="12.28515625" style="329" customWidth="1"/>
    <col min="16140" max="16140" width="13" style="329" customWidth="1"/>
    <col min="16141" max="16384" width="9.140625" style="329"/>
  </cols>
  <sheetData>
    <row r="1" spans="1:18" ht="24.75" x14ac:dyDescent="0.25">
      <c r="A1" s="392" t="s">
        <v>299</v>
      </c>
      <c r="B1" s="673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7"/>
      <c r="O1" s="396"/>
      <c r="P1" s="396"/>
      <c r="Q1" s="396"/>
      <c r="R1" s="396"/>
    </row>
    <row r="2" spans="1:18" ht="20.25" thickBot="1" x14ac:dyDescent="0.3">
      <c r="A2" s="393" t="s">
        <v>409</v>
      </c>
      <c r="B2" s="674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9"/>
      <c r="O2" s="398"/>
      <c r="P2" s="398"/>
      <c r="Q2" s="398"/>
      <c r="R2" s="398"/>
    </row>
    <row r="3" spans="1:18" ht="15" customHeight="1" thickBot="1" x14ac:dyDescent="0.3">
      <c r="A3" s="866" t="s">
        <v>33</v>
      </c>
      <c r="B3" s="868" t="s">
        <v>92</v>
      </c>
      <c r="C3" s="874" t="s">
        <v>200</v>
      </c>
      <c r="D3" s="875"/>
      <c r="E3" s="876"/>
      <c r="F3" s="400" t="s">
        <v>213</v>
      </c>
      <c r="G3" s="883" t="s">
        <v>303</v>
      </c>
      <c r="H3" s="879" t="s">
        <v>145</v>
      </c>
      <c r="I3" s="387" t="s">
        <v>203</v>
      </c>
      <c r="J3" s="872" t="s">
        <v>179</v>
      </c>
      <c r="K3" s="872" t="s">
        <v>180</v>
      </c>
      <c r="L3" s="877" t="s">
        <v>408</v>
      </c>
      <c r="M3" s="879" t="s">
        <v>181</v>
      </c>
      <c r="N3" s="401" t="s">
        <v>222</v>
      </c>
      <c r="O3" s="872" t="s">
        <v>22</v>
      </c>
      <c r="P3" s="881" t="s">
        <v>407</v>
      </c>
      <c r="Q3" s="870" t="s">
        <v>24</v>
      </c>
      <c r="R3" s="870" t="s">
        <v>182</v>
      </c>
    </row>
    <row r="4" spans="1:18" ht="15" customHeight="1" thickBot="1" x14ac:dyDescent="0.3">
      <c r="A4" s="867"/>
      <c r="B4" s="869"/>
      <c r="C4" s="389" t="s">
        <v>199</v>
      </c>
      <c r="D4" s="389" t="s">
        <v>201</v>
      </c>
      <c r="E4" s="389" t="s">
        <v>202</v>
      </c>
      <c r="F4" s="389" t="s">
        <v>195</v>
      </c>
      <c r="G4" s="884"/>
      <c r="H4" s="880"/>
      <c r="I4" s="388" t="s">
        <v>220</v>
      </c>
      <c r="J4" s="873"/>
      <c r="K4" s="873"/>
      <c r="L4" s="878"/>
      <c r="M4" s="880"/>
      <c r="N4" s="378" t="s">
        <v>221</v>
      </c>
      <c r="O4" s="873"/>
      <c r="P4" s="882"/>
      <c r="Q4" s="871"/>
      <c r="R4" s="871"/>
    </row>
    <row r="5" spans="1:18" ht="16.5" x14ac:dyDescent="0.25">
      <c r="A5" s="556" t="s">
        <v>410</v>
      </c>
      <c r="B5" s="557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9"/>
      <c r="O5" s="558"/>
      <c r="P5" s="558"/>
      <c r="Q5" s="560"/>
      <c r="R5" s="560"/>
    </row>
    <row r="6" spans="1:18" ht="15" x14ac:dyDescent="0.25">
      <c r="A6" s="551">
        <v>44564</v>
      </c>
      <c r="B6" s="537" t="s">
        <v>1330</v>
      </c>
      <c r="C6" s="538">
        <v>51500</v>
      </c>
      <c r="D6" s="538"/>
      <c r="E6" s="538"/>
      <c r="F6" s="538"/>
      <c r="G6" s="538"/>
      <c r="H6" s="538"/>
      <c r="I6" s="538"/>
      <c r="J6" s="538"/>
      <c r="K6" s="538"/>
      <c r="L6" s="538"/>
      <c r="M6" s="538"/>
      <c r="N6" s="539"/>
      <c r="O6" s="538"/>
      <c r="P6" s="538"/>
      <c r="Q6" s="538"/>
      <c r="R6" s="538"/>
    </row>
    <row r="7" spans="1:18" ht="15" x14ac:dyDescent="0.25">
      <c r="A7" s="552"/>
      <c r="B7" s="548" t="s">
        <v>1331</v>
      </c>
      <c r="C7" s="541"/>
      <c r="D7" s="541"/>
      <c r="E7" s="541"/>
      <c r="F7" s="541"/>
      <c r="G7" s="541"/>
      <c r="H7" s="541"/>
      <c r="I7" s="541">
        <v>250000</v>
      </c>
      <c r="J7" s="541"/>
      <c r="K7" s="541"/>
      <c r="L7" s="541"/>
      <c r="M7" s="541"/>
      <c r="N7" s="542"/>
      <c r="O7" s="541"/>
      <c r="P7" s="541"/>
      <c r="Q7" s="541"/>
      <c r="R7" s="541"/>
    </row>
    <row r="8" spans="1:18" ht="15" x14ac:dyDescent="0.25">
      <c r="A8" s="552"/>
      <c r="B8" s="540" t="s">
        <v>1332</v>
      </c>
      <c r="C8" s="541"/>
      <c r="D8" s="541"/>
      <c r="E8" s="541"/>
      <c r="F8" s="541"/>
      <c r="G8" s="541"/>
      <c r="H8" s="541"/>
      <c r="I8" s="541">
        <v>25000</v>
      </c>
      <c r="J8" s="541"/>
      <c r="K8" s="541"/>
      <c r="L8" s="541"/>
      <c r="M8" s="541"/>
      <c r="N8" s="542"/>
      <c r="O8" s="541"/>
      <c r="P8" s="541"/>
      <c r="Q8" s="541"/>
      <c r="R8" s="541"/>
    </row>
    <row r="9" spans="1:18" ht="15" x14ac:dyDescent="0.25">
      <c r="A9" s="552"/>
      <c r="B9" s="540" t="s">
        <v>1333</v>
      </c>
      <c r="C9" s="541"/>
      <c r="D9" s="541"/>
      <c r="E9" s="541"/>
      <c r="F9" s="541"/>
      <c r="G9" s="541"/>
      <c r="H9" s="541">
        <v>200000</v>
      </c>
      <c r="I9" s="541"/>
      <c r="J9" s="541"/>
      <c r="K9" s="541"/>
      <c r="L9" s="541"/>
      <c r="M9" s="541"/>
      <c r="N9" s="542"/>
      <c r="O9" s="541"/>
      <c r="P9" s="541"/>
      <c r="Q9" s="541"/>
      <c r="R9" s="541"/>
    </row>
    <row r="10" spans="1:18" ht="15" x14ac:dyDescent="0.25">
      <c r="A10" s="552">
        <v>44565</v>
      </c>
      <c r="B10" s="543" t="s">
        <v>1334</v>
      </c>
      <c r="C10" s="541"/>
      <c r="D10" s="541"/>
      <c r="E10" s="541"/>
      <c r="F10" s="541"/>
      <c r="G10" s="541"/>
      <c r="H10" s="541"/>
      <c r="I10" s="541"/>
      <c r="J10" s="541"/>
      <c r="K10" s="541"/>
      <c r="L10" s="541"/>
      <c r="M10" s="541"/>
      <c r="N10" s="542">
        <v>1492307</v>
      </c>
      <c r="O10" s="541"/>
      <c r="P10" s="541"/>
      <c r="Q10" s="541"/>
      <c r="R10" s="541"/>
    </row>
    <row r="11" spans="1:18" ht="15" x14ac:dyDescent="0.25">
      <c r="A11" s="552">
        <v>44566</v>
      </c>
      <c r="B11" s="672" t="s">
        <v>1335</v>
      </c>
      <c r="C11" s="541"/>
      <c r="D11" s="541"/>
      <c r="E11" s="541"/>
      <c r="F11" s="541"/>
      <c r="G11" s="541"/>
      <c r="H11" s="541">
        <v>100000</v>
      </c>
      <c r="I11" s="541"/>
      <c r="J11" s="541"/>
      <c r="K11" s="541"/>
      <c r="L11" s="541"/>
      <c r="M11" s="541"/>
      <c r="N11" s="542"/>
      <c r="O11" s="541"/>
      <c r="P11" s="541"/>
      <c r="Q11" s="541"/>
      <c r="R11" s="541"/>
    </row>
    <row r="12" spans="1:18" ht="15" x14ac:dyDescent="0.25">
      <c r="A12" s="552"/>
      <c r="B12" s="660" t="s">
        <v>1336</v>
      </c>
      <c r="C12" s="541"/>
      <c r="D12" s="541"/>
      <c r="E12" s="541"/>
      <c r="F12" s="541">
        <v>1950000</v>
      </c>
      <c r="G12" s="541"/>
      <c r="H12" s="541"/>
      <c r="I12" s="541"/>
      <c r="J12" s="541"/>
      <c r="K12" s="541"/>
      <c r="L12" s="541"/>
      <c r="M12" s="541"/>
      <c r="N12" s="542"/>
      <c r="O12" s="541"/>
      <c r="P12" s="541"/>
      <c r="Q12" s="541"/>
      <c r="R12" s="541"/>
    </row>
    <row r="13" spans="1:18" ht="15" x14ac:dyDescent="0.25">
      <c r="A13" s="552">
        <v>44568</v>
      </c>
      <c r="B13" s="543" t="s">
        <v>1337</v>
      </c>
      <c r="C13" s="541"/>
      <c r="D13" s="541"/>
      <c r="E13" s="541">
        <v>31500</v>
      </c>
      <c r="F13" s="541"/>
      <c r="G13" s="541"/>
      <c r="H13" s="541"/>
      <c r="I13" s="541"/>
      <c r="J13" s="541"/>
      <c r="K13" s="541"/>
      <c r="L13" s="541"/>
      <c r="M13" s="541"/>
      <c r="N13" s="542"/>
      <c r="O13" s="541"/>
      <c r="P13" s="541"/>
      <c r="Q13" s="541"/>
      <c r="R13" s="541"/>
    </row>
    <row r="14" spans="1:18" ht="28.5" x14ac:dyDescent="0.25">
      <c r="A14" s="552">
        <v>44569</v>
      </c>
      <c r="B14" s="543" t="s">
        <v>722</v>
      </c>
      <c r="C14" s="541"/>
      <c r="D14" s="541"/>
      <c r="E14" s="541"/>
      <c r="F14" s="541"/>
      <c r="G14" s="541"/>
      <c r="H14" s="541"/>
      <c r="I14" s="541"/>
      <c r="J14" s="541"/>
      <c r="K14" s="541"/>
      <c r="L14" s="541"/>
      <c r="M14" s="541"/>
      <c r="N14" s="542"/>
      <c r="O14" s="541"/>
      <c r="P14" s="541">
        <f>(40000*9)+(30000*1)</f>
        <v>390000</v>
      </c>
      <c r="Q14" s="541"/>
      <c r="R14" s="541"/>
    </row>
    <row r="15" spans="1:18" ht="15" x14ac:dyDescent="0.25">
      <c r="A15" s="552"/>
      <c r="B15" s="661" t="s">
        <v>1338</v>
      </c>
      <c r="C15" s="541"/>
      <c r="D15" s="541"/>
      <c r="E15" s="541"/>
      <c r="F15" s="541"/>
      <c r="G15" s="541"/>
      <c r="H15" s="541">
        <v>167000</v>
      </c>
      <c r="I15" s="541"/>
      <c r="J15" s="541"/>
      <c r="K15" s="541"/>
      <c r="L15" s="541"/>
      <c r="M15" s="541"/>
      <c r="N15" s="542"/>
      <c r="O15" s="541"/>
      <c r="P15" s="541"/>
      <c r="Q15" s="541"/>
      <c r="R15" s="541"/>
    </row>
    <row r="16" spans="1:18" ht="15" x14ac:dyDescent="0.25">
      <c r="A16" s="552">
        <v>44571</v>
      </c>
      <c r="B16" s="543" t="s">
        <v>1330</v>
      </c>
      <c r="C16" s="541"/>
      <c r="D16" s="541"/>
      <c r="E16" s="541">
        <v>55500</v>
      </c>
      <c r="F16" s="541"/>
      <c r="G16" s="541"/>
      <c r="H16" s="541"/>
      <c r="I16" s="541"/>
      <c r="J16" s="541"/>
      <c r="K16" s="541"/>
      <c r="L16" s="541"/>
      <c r="M16" s="541"/>
      <c r="N16" s="542"/>
      <c r="O16" s="541"/>
      <c r="P16" s="541"/>
      <c r="Q16" s="541"/>
      <c r="R16" s="541"/>
    </row>
    <row r="17" spans="1:18" ht="15" x14ac:dyDescent="0.25">
      <c r="A17" s="552">
        <v>44572</v>
      </c>
      <c r="B17" s="543" t="s">
        <v>1339</v>
      </c>
      <c r="C17" s="541"/>
      <c r="D17" s="541"/>
      <c r="E17" s="541"/>
      <c r="F17" s="541"/>
      <c r="G17" s="541"/>
      <c r="H17" s="541"/>
      <c r="I17" s="541">
        <v>952500</v>
      </c>
      <c r="J17" s="541"/>
      <c r="K17" s="541"/>
      <c r="L17" s="541"/>
      <c r="M17" s="541"/>
      <c r="N17" s="542"/>
      <c r="O17" s="541"/>
      <c r="P17" s="541"/>
      <c r="Q17" s="541"/>
      <c r="R17" s="541"/>
    </row>
    <row r="18" spans="1:18" ht="15" x14ac:dyDescent="0.25">
      <c r="A18" s="552"/>
      <c r="B18" s="671" t="s">
        <v>1340</v>
      </c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2"/>
      <c r="O18" s="541"/>
      <c r="P18" s="541"/>
      <c r="Q18" s="541"/>
      <c r="R18" s="541"/>
    </row>
    <row r="19" spans="1:18" ht="15" x14ac:dyDescent="0.25">
      <c r="A19" s="552"/>
      <c r="B19" s="540" t="s">
        <v>1341</v>
      </c>
      <c r="C19" s="541"/>
      <c r="D19" s="541"/>
      <c r="E19" s="541"/>
      <c r="F19" s="541"/>
      <c r="G19" s="541"/>
      <c r="H19" s="541">
        <f>48000+50000</f>
        <v>98000</v>
      </c>
      <c r="I19" s="541"/>
      <c r="J19" s="541"/>
      <c r="K19" s="541"/>
      <c r="L19" s="541"/>
      <c r="M19" s="541"/>
      <c r="N19" s="542"/>
      <c r="O19" s="541"/>
      <c r="P19" s="541"/>
      <c r="Q19" s="541"/>
      <c r="R19" s="541"/>
    </row>
    <row r="20" spans="1:18" ht="15" x14ac:dyDescent="0.25">
      <c r="A20" s="552">
        <v>44574</v>
      </c>
      <c r="B20" s="661" t="s">
        <v>1342</v>
      </c>
      <c r="C20" s="541"/>
      <c r="D20" s="541"/>
      <c r="E20" s="541"/>
      <c r="F20" s="541">
        <v>456000</v>
      </c>
      <c r="G20" s="541"/>
      <c r="H20" s="541"/>
      <c r="I20" s="541"/>
      <c r="J20" s="541"/>
      <c r="K20" s="541"/>
      <c r="L20" s="541"/>
      <c r="M20" s="541"/>
      <c r="N20" s="542"/>
      <c r="O20" s="541"/>
      <c r="P20" s="541"/>
      <c r="Q20" s="541"/>
      <c r="R20" s="541"/>
    </row>
    <row r="21" spans="1:18" ht="15" x14ac:dyDescent="0.25">
      <c r="A21" s="552"/>
      <c r="B21" s="540" t="s">
        <v>1343</v>
      </c>
      <c r="C21" s="541"/>
      <c r="D21" s="541"/>
      <c r="E21" s="541"/>
      <c r="F21" s="541"/>
      <c r="G21" s="541"/>
      <c r="H21" s="541"/>
      <c r="I21" s="541">
        <v>457500</v>
      </c>
      <c r="J21" s="541"/>
      <c r="K21" s="541"/>
      <c r="L21" s="541"/>
      <c r="M21" s="541"/>
      <c r="N21" s="542"/>
      <c r="O21" s="541"/>
      <c r="P21" s="541"/>
      <c r="Q21" s="541"/>
      <c r="R21" s="541"/>
    </row>
    <row r="22" spans="1:18" ht="15" x14ac:dyDescent="0.25">
      <c r="A22" s="552"/>
      <c r="B22" s="543" t="s">
        <v>1344</v>
      </c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2">
        <v>70000</v>
      </c>
      <c r="O22" s="541"/>
      <c r="P22" s="541"/>
      <c r="Q22" s="541"/>
      <c r="R22" s="541"/>
    </row>
    <row r="23" spans="1:18" ht="15" x14ac:dyDescent="0.25">
      <c r="A23" s="552">
        <v>44575</v>
      </c>
      <c r="B23" s="540" t="s">
        <v>1345</v>
      </c>
      <c r="C23" s="541"/>
      <c r="D23" s="541"/>
      <c r="E23" s="541"/>
      <c r="F23" s="541"/>
      <c r="G23" s="541"/>
      <c r="H23" s="541"/>
      <c r="I23" s="541">
        <v>1185000</v>
      </c>
      <c r="J23" s="541"/>
      <c r="K23" s="541"/>
      <c r="L23" s="541"/>
      <c r="M23" s="541"/>
      <c r="N23" s="542"/>
      <c r="O23" s="541"/>
      <c r="P23" s="541"/>
      <c r="Q23" s="541"/>
      <c r="R23" s="541"/>
    </row>
    <row r="24" spans="1:18" ht="28.5" x14ac:dyDescent="0.25">
      <c r="A24" s="552">
        <v>44576</v>
      </c>
      <c r="B24" s="543" t="s">
        <v>732</v>
      </c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  <c r="N24" s="542"/>
      <c r="O24" s="541">
        <f>((110000*12)*5)</f>
        <v>6600000</v>
      </c>
      <c r="P24" s="541"/>
      <c r="Q24" s="541"/>
      <c r="R24" s="541"/>
    </row>
    <row r="25" spans="1:18" ht="28.5" x14ac:dyDescent="0.25">
      <c r="A25" s="552"/>
      <c r="B25" s="678" t="s">
        <v>729</v>
      </c>
      <c r="C25" s="541"/>
      <c r="D25" s="541"/>
      <c r="E25" s="541"/>
      <c r="F25" s="541"/>
      <c r="G25" s="541"/>
      <c r="H25" s="541"/>
      <c r="I25" s="541"/>
      <c r="J25" s="541"/>
      <c r="K25" s="541"/>
      <c r="L25" s="541"/>
      <c r="M25" s="541"/>
      <c r="N25" s="542"/>
      <c r="O25" s="541"/>
      <c r="P25" s="541">
        <f>(40000*10)+(30000*1)</f>
        <v>430000</v>
      </c>
      <c r="Q25" s="541"/>
      <c r="R25" s="541"/>
    </row>
    <row r="26" spans="1:18" ht="15" x14ac:dyDescent="0.25">
      <c r="A26" s="552">
        <v>44578</v>
      </c>
      <c r="B26" s="685" t="s">
        <v>1359</v>
      </c>
      <c r="C26" s="541"/>
      <c r="D26" s="541"/>
      <c r="E26" s="541"/>
      <c r="F26" s="541"/>
      <c r="G26" s="541"/>
      <c r="H26" s="541"/>
      <c r="I26" s="541"/>
      <c r="J26" s="541"/>
      <c r="K26" s="541"/>
      <c r="L26" s="541">
        <f>1780500/2</f>
        <v>890250</v>
      </c>
      <c r="M26" s="541"/>
      <c r="N26" s="542"/>
      <c r="O26" s="541"/>
      <c r="P26" s="541"/>
      <c r="Q26" s="541"/>
      <c r="R26" s="541"/>
    </row>
    <row r="27" spans="1:18" ht="15" x14ac:dyDescent="0.25">
      <c r="A27" s="552"/>
      <c r="B27" s="685" t="s">
        <v>1360</v>
      </c>
      <c r="C27" s="541"/>
      <c r="D27" s="541"/>
      <c r="E27" s="541"/>
      <c r="F27" s="541"/>
      <c r="G27" s="541"/>
      <c r="H27" s="541"/>
      <c r="I27" s="541"/>
      <c r="J27" s="541"/>
      <c r="K27" s="541"/>
      <c r="L27" s="541">
        <f>3380000/2</f>
        <v>1690000</v>
      </c>
      <c r="M27" s="541"/>
      <c r="N27" s="542"/>
      <c r="O27" s="541"/>
      <c r="P27" s="541"/>
      <c r="Q27" s="541"/>
      <c r="R27" s="541"/>
    </row>
    <row r="28" spans="1:18" ht="15" x14ac:dyDescent="0.25">
      <c r="A28" s="552"/>
      <c r="B28" s="685" t="s">
        <v>1361</v>
      </c>
      <c r="C28" s="541"/>
      <c r="D28" s="541"/>
      <c r="E28" s="541"/>
      <c r="F28" s="541"/>
      <c r="G28" s="541"/>
      <c r="H28" s="541"/>
      <c r="I28" s="541"/>
      <c r="J28" s="541"/>
      <c r="K28" s="541"/>
      <c r="L28" s="541">
        <f>2065000/2</f>
        <v>1032500</v>
      </c>
      <c r="M28" s="541"/>
      <c r="N28" s="542"/>
      <c r="O28" s="541"/>
      <c r="P28" s="541"/>
      <c r="Q28" s="541"/>
      <c r="R28" s="541"/>
    </row>
    <row r="29" spans="1:18" ht="15" x14ac:dyDescent="0.25">
      <c r="A29" s="552"/>
      <c r="B29" s="685" t="s">
        <v>1362</v>
      </c>
      <c r="C29" s="541"/>
      <c r="D29" s="541"/>
      <c r="E29" s="541"/>
      <c r="F29" s="541"/>
      <c r="G29" s="541"/>
      <c r="H29" s="541"/>
      <c r="I29" s="541"/>
      <c r="J29" s="541"/>
      <c r="K29" s="541"/>
      <c r="L29" s="541">
        <f>3549000/2</f>
        <v>1774500</v>
      </c>
      <c r="M29" s="541"/>
      <c r="N29" s="542"/>
      <c r="O29" s="541"/>
      <c r="P29" s="541"/>
      <c r="Q29" s="541"/>
      <c r="R29" s="541"/>
    </row>
    <row r="30" spans="1:18" ht="15" x14ac:dyDescent="0.25">
      <c r="A30" s="552"/>
      <c r="B30" s="685" t="s">
        <v>1363</v>
      </c>
      <c r="C30" s="541"/>
      <c r="D30" s="541"/>
      <c r="E30" s="541"/>
      <c r="F30" s="541"/>
      <c r="G30" s="541"/>
      <c r="H30" s="541"/>
      <c r="I30" s="541"/>
      <c r="J30" s="541"/>
      <c r="K30" s="541"/>
      <c r="L30" s="541">
        <f>1496000/2</f>
        <v>748000</v>
      </c>
      <c r="M30" s="541"/>
      <c r="N30" s="542"/>
      <c r="O30" s="541"/>
      <c r="P30" s="541"/>
      <c r="Q30" s="541"/>
      <c r="R30" s="541"/>
    </row>
    <row r="31" spans="1:18" ht="15" x14ac:dyDescent="0.25">
      <c r="A31" s="552"/>
      <c r="B31" s="662" t="s">
        <v>1330</v>
      </c>
      <c r="C31" s="541">
        <v>55600</v>
      </c>
      <c r="D31" s="541"/>
      <c r="E31" s="541"/>
      <c r="F31" s="541"/>
      <c r="G31" s="541"/>
      <c r="H31" s="541"/>
      <c r="I31" s="541"/>
      <c r="J31" s="541"/>
      <c r="K31" s="541"/>
      <c r="L31" s="541"/>
      <c r="M31" s="541"/>
      <c r="N31" s="542"/>
      <c r="O31" s="541"/>
      <c r="P31" s="541"/>
      <c r="Q31" s="541"/>
      <c r="R31" s="541"/>
    </row>
    <row r="32" spans="1:18" ht="15" x14ac:dyDescent="0.25">
      <c r="A32" s="552"/>
      <c r="B32" s="540" t="s">
        <v>1346</v>
      </c>
      <c r="C32" s="541"/>
      <c r="D32" s="541"/>
      <c r="E32" s="541">
        <v>200000</v>
      </c>
      <c r="F32" s="541"/>
      <c r="G32" s="541"/>
      <c r="H32" s="541"/>
      <c r="I32" s="541"/>
      <c r="J32" s="541"/>
      <c r="K32" s="541"/>
      <c r="L32" s="541"/>
      <c r="M32" s="541"/>
      <c r="N32" s="542"/>
      <c r="O32" s="541"/>
      <c r="P32" s="541"/>
      <c r="Q32" s="541"/>
      <c r="R32" s="541"/>
    </row>
    <row r="33" spans="1:18" ht="15" x14ac:dyDescent="0.25">
      <c r="A33" s="552">
        <v>44579</v>
      </c>
      <c r="B33" s="540" t="s">
        <v>1347</v>
      </c>
      <c r="C33" s="541"/>
      <c r="D33" s="541"/>
      <c r="E33" s="541"/>
      <c r="F33" s="541"/>
      <c r="G33" s="541"/>
      <c r="H33" s="541">
        <v>150000</v>
      </c>
      <c r="I33" s="541"/>
      <c r="J33" s="541"/>
      <c r="K33" s="541"/>
      <c r="L33" s="541"/>
      <c r="M33" s="541"/>
      <c r="N33" s="542"/>
      <c r="O33" s="541"/>
      <c r="P33" s="541"/>
      <c r="Q33" s="541"/>
      <c r="R33" s="541"/>
    </row>
    <row r="34" spans="1:18" ht="15" x14ac:dyDescent="0.25">
      <c r="A34" s="552"/>
      <c r="B34" s="543" t="s">
        <v>1348</v>
      </c>
      <c r="C34" s="541"/>
      <c r="D34" s="541"/>
      <c r="E34" s="541"/>
      <c r="F34" s="541"/>
      <c r="G34" s="541">
        <v>299000</v>
      </c>
      <c r="H34" s="541"/>
      <c r="I34" s="541"/>
      <c r="J34" s="541"/>
      <c r="K34" s="541"/>
      <c r="L34" s="541"/>
      <c r="M34" s="541"/>
      <c r="N34" s="542"/>
      <c r="O34" s="541"/>
      <c r="P34" s="541"/>
      <c r="Q34" s="541"/>
      <c r="R34" s="541"/>
    </row>
    <row r="35" spans="1:18" ht="15" x14ac:dyDescent="0.25">
      <c r="A35" s="552"/>
      <c r="B35" s="540" t="s">
        <v>1349</v>
      </c>
      <c r="C35" s="541"/>
      <c r="D35" s="541"/>
      <c r="E35" s="541"/>
      <c r="F35" s="541"/>
      <c r="G35" s="541"/>
      <c r="H35" s="541"/>
      <c r="I35" s="541"/>
      <c r="J35" s="541"/>
      <c r="K35" s="541">
        <v>51000</v>
      </c>
      <c r="L35" s="541"/>
      <c r="M35" s="541"/>
      <c r="N35" s="542"/>
      <c r="O35" s="541"/>
      <c r="P35" s="541"/>
      <c r="Q35" s="541"/>
      <c r="R35" s="541"/>
    </row>
    <row r="36" spans="1:18" ht="15" x14ac:dyDescent="0.25">
      <c r="A36" s="552">
        <v>44580</v>
      </c>
      <c r="B36" s="540" t="s">
        <v>1336</v>
      </c>
      <c r="C36" s="541"/>
      <c r="D36" s="541"/>
      <c r="E36" s="541"/>
      <c r="F36" s="541">
        <v>1057500</v>
      </c>
      <c r="G36" s="541"/>
      <c r="H36" s="541"/>
      <c r="I36" s="541"/>
      <c r="J36" s="541"/>
      <c r="K36" s="541"/>
      <c r="L36" s="541"/>
      <c r="M36" s="541"/>
      <c r="N36" s="542"/>
      <c r="O36" s="541"/>
      <c r="P36" s="541"/>
      <c r="Q36" s="541"/>
      <c r="R36" s="541"/>
    </row>
    <row r="37" spans="1:18" ht="15" x14ac:dyDescent="0.25">
      <c r="A37" s="552"/>
      <c r="B37" s="543" t="s">
        <v>1350</v>
      </c>
      <c r="C37" s="541"/>
      <c r="D37" s="541"/>
      <c r="E37" s="541"/>
      <c r="F37" s="541"/>
      <c r="G37" s="541">
        <v>101500</v>
      </c>
      <c r="H37" s="541"/>
      <c r="I37" s="541"/>
      <c r="J37" s="541"/>
      <c r="K37" s="541"/>
      <c r="L37" s="541"/>
      <c r="M37" s="541"/>
      <c r="N37" s="542"/>
      <c r="O37" s="541"/>
      <c r="P37" s="541"/>
      <c r="Q37" s="541"/>
      <c r="R37" s="541"/>
    </row>
    <row r="38" spans="1:18" ht="15" x14ac:dyDescent="0.25">
      <c r="A38" s="552"/>
      <c r="B38" s="540" t="s">
        <v>1351</v>
      </c>
      <c r="C38" s="541"/>
      <c r="D38" s="541"/>
      <c r="E38" s="541"/>
      <c r="F38" s="541"/>
      <c r="G38" s="541"/>
      <c r="H38" s="541"/>
      <c r="I38" s="541"/>
      <c r="J38" s="541">
        <v>502500</v>
      </c>
      <c r="K38" s="541"/>
      <c r="L38" s="541"/>
      <c r="M38" s="541"/>
      <c r="N38" s="542"/>
      <c r="O38" s="541"/>
      <c r="P38" s="541"/>
      <c r="Q38" s="541"/>
      <c r="R38" s="541"/>
    </row>
    <row r="39" spans="1:18" ht="15" x14ac:dyDescent="0.25">
      <c r="A39" s="552"/>
      <c r="B39" s="540" t="s">
        <v>1352</v>
      </c>
      <c r="C39" s="541"/>
      <c r="D39" s="541"/>
      <c r="E39" s="541">
        <v>500000</v>
      </c>
      <c r="F39" s="541"/>
      <c r="G39" s="541"/>
      <c r="H39" s="541"/>
      <c r="I39" s="541"/>
      <c r="J39" s="541"/>
      <c r="K39" s="541"/>
      <c r="L39" s="541"/>
      <c r="M39" s="541"/>
      <c r="N39" s="542"/>
      <c r="O39" s="541"/>
      <c r="P39" s="541"/>
      <c r="Q39" s="541"/>
      <c r="R39" s="541"/>
    </row>
    <row r="40" spans="1:18" ht="15" x14ac:dyDescent="0.25">
      <c r="A40" s="552">
        <v>44581</v>
      </c>
      <c r="B40" s="543" t="s">
        <v>1353</v>
      </c>
      <c r="C40" s="541"/>
      <c r="D40" s="541"/>
      <c r="E40" s="541"/>
      <c r="F40" s="541"/>
      <c r="G40" s="541"/>
      <c r="H40" s="541"/>
      <c r="I40" s="541">
        <v>390000</v>
      </c>
      <c r="J40" s="541"/>
      <c r="K40" s="541"/>
      <c r="L40" s="541"/>
      <c r="M40" s="541"/>
      <c r="N40" s="542"/>
      <c r="O40" s="541"/>
      <c r="P40" s="541"/>
      <c r="Q40" s="541"/>
      <c r="R40" s="541"/>
    </row>
    <row r="41" spans="1:18" ht="15" x14ac:dyDescent="0.25">
      <c r="A41" s="552"/>
      <c r="B41" s="671" t="s">
        <v>1354</v>
      </c>
      <c r="C41" s="541"/>
      <c r="D41" s="541"/>
      <c r="E41" s="541"/>
      <c r="F41" s="541"/>
      <c r="G41" s="541"/>
      <c r="H41" s="541"/>
      <c r="I41" s="541"/>
      <c r="J41" s="541"/>
      <c r="K41" s="541"/>
      <c r="L41" s="541"/>
      <c r="M41" s="541"/>
      <c r="N41" s="542"/>
      <c r="O41" s="541"/>
      <c r="P41" s="541"/>
      <c r="Q41" s="541"/>
      <c r="R41" s="541"/>
    </row>
    <row r="42" spans="1:18" ht="15" x14ac:dyDescent="0.25">
      <c r="A42" s="552"/>
      <c r="B42" s="540" t="s">
        <v>1355</v>
      </c>
      <c r="C42" s="541"/>
      <c r="D42" s="541"/>
      <c r="E42" s="541">
        <v>180000</v>
      </c>
      <c r="F42" s="541"/>
      <c r="G42" s="541"/>
      <c r="H42" s="541"/>
      <c r="I42" s="541"/>
      <c r="J42" s="541"/>
      <c r="K42" s="541"/>
      <c r="L42" s="541"/>
      <c r="M42" s="541"/>
      <c r="N42" s="542"/>
      <c r="O42" s="541"/>
      <c r="P42" s="541"/>
      <c r="Q42" s="541"/>
      <c r="R42" s="541"/>
    </row>
    <row r="43" spans="1:18" ht="15" x14ac:dyDescent="0.25">
      <c r="A43" s="552"/>
      <c r="B43" s="540" t="s">
        <v>1337</v>
      </c>
      <c r="C43" s="541"/>
      <c r="D43" s="541"/>
      <c r="E43" s="541">
        <v>22500</v>
      </c>
      <c r="F43" s="541"/>
      <c r="G43" s="541"/>
      <c r="H43" s="541"/>
      <c r="I43" s="541"/>
      <c r="J43" s="541"/>
      <c r="K43" s="541"/>
      <c r="L43" s="541"/>
      <c r="M43" s="541"/>
      <c r="N43" s="542"/>
      <c r="O43" s="541"/>
      <c r="P43" s="541"/>
      <c r="Q43" s="541"/>
      <c r="R43" s="541"/>
    </row>
    <row r="44" spans="1:18" ht="15" x14ac:dyDescent="0.25">
      <c r="A44" s="552">
        <v>44582</v>
      </c>
      <c r="B44" s="540" t="s">
        <v>1356</v>
      </c>
      <c r="C44" s="541"/>
      <c r="D44" s="541"/>
      <c r="E44" s="541"/>
      <c r="F44" s="541"/>
      <c r="G44" s="541"/>
      <c r="H44" s="541"/>
      <c r="I44" s="541">
        <v>560000</v>
      </c>
      <c r="J44" s="541"/>
      <c r="K44" s="541"/>
      <c r="L44" s="541"/>
      <c r="M44" s="541"/>
      <c r="N44" s="542"/>
      <c r="O44" s="541"/>
      <c r="P44" s="541"/>
      <c r="Q44" s="541"/>
      <c r="R44" s="541"/>
    </row>
    <row r="45" spans="1:18" ht="15" x14ac:dyDescent="0.25">
      <c r="A45" s="552"/>
      <c r="B45" s="543" t="s">
        <v>1336</v>
      </c>
      <c r="C45" s="541"/>
      <c r="D45" s="541"/>
      <c r="E45" s="541"/>
      <c r="F45" s="541">
        <v>793000</v>
      </c>
      <c r="G45" s="541"/>
      <c r="H45" s="541"/>
      <c r="I45" s="541"/>
      <c r="J45" s="541"/>
      <c r="K45" s="541"/>
      <c r="L45" s="541"/>
      <c r="M45" s="541"/>
      <c r="N45" s="542"/>
      <c r="O45" s="541"/>
      <c r="P45" s="541"/>
      <c r="Q45" s="541"/>
      <c r="R45" s="541"/>
    </row>
    <row r="46" spans="1:18" ht="15" x14ac:dyDescent="0.25">
      <c r="A46" s="552"/>
      <c r="B46" s="685" t="s">
        <v>1364</v>
      </c>
      <c r="C46" s="541"/>
      <c r="D46" s="541"/>
      <c r="E46" s="541"/>
      <c r="F46" s="541"/>
      <c r="G46" s="541"/>
      <c r="H46" s="541"/>
      <c r="I46" s="541"/>
      <c r="J46" s="541"/>
      <c r="K46" s="541"/>
      <c r="L46" s="541">
        <f>2370000/2</f>
        <v>1185000</v>
      </c>
      <c r="M46" s="541"/>
      <c r="N46" s="542"/>
      <c r="O46" s="541"/>
      <c r="P46" s="541"/>
      <c r="Q46" s="541"/>
      <c r="R46" s="541"/>
    </row>
    <row r="47" spans="1:18" ht="15" x14ac:dyDescent="0.25">
      <c r="A47" s="552"/>
      <c r="B47" s="685" t="s">
        <v>1365</v>
      </c>
      <c r="C47" s="541"/>
      <c r="D47" s="541"/>
      <c r="E47" s="541"/>
      <c r="F47" s="541"/>
      <c r="G47" s="541"/>
      <c r="H47" s="541"/>
      <c r="I47" s="541"/>
      <c r="J47" s="541"/>
      <c r="K47" s="541"/>
      <c r="L47" s="541">
        <f>3382000/2</f>
        <v>1691000</v>
      </c>
      <c r="M47" s="541"/>
      <c r="N47" s="542"/>
      <c r="O47" s="541"/>
      <c r="P47" s="541"/>
      <c r="Q47" s="541"/>
      <c r="R47" s="541"/>
    </row>
    <row r="48" spans="1:18" ht="15" x14ac:dyDescent="0.25">
      <c r="A48" s="552"/>
      <c r="B48" s="685" t="s">
        <v>1366</v>
      </c>
      <c r="C48" s="541"/>
      <c r="D48" s="541"/>
      <c r="E48" s="541"/>
      <c r="F48" s="541"/>
      <c r="G48" s="541"/>
      <c r="H48" s="541"/>
      <c r="I48" s="541"/>
      <c r="J48" s="541"/>
      <c r="K48" s="541"/>
      <c r="L48" s="541">
        <f>1715000/2</f>
        <v>857500</v>
      </c>
      <c r="M48" s="541"/>
      <c r="N48" s="542"/>
      <c r="O48" s="541"/>
      <c r="P48" s="541"/>
      <c r="Q48" s="541"/>
      <c r="R48" s="541"/>
    </row>
    <row r="49" spans="1:18" ht="28.5" x14ac:dyDescent="0.25">
      <c r="A49" s="552">
        <v>44583</v>
      </c>
      <c r="B49" s="543" t="s">
        <v>730</v>
      </c>
      <c r="C49" s="541"/>
      <c r="D49" s="541"/>
      <c r="E49" s="541"/>
      <c r="F49" s="541"/>
      <c r="G49" s="541"/>
      <c r="H49" s="541"/>
      <c r="I49" s="541"/>
      <c r="J49" s="541"/>
      <c r="K49" s="541"/>
      <c r="L49" s="541"/>
      <c r="M49" s="541"/>
      <c r="N49" s="542"/>
      <c r="O49" s="541"/>
      <c r="P49" s="541">
        <f>(40000*8)+(30000*1)</f>
        <v>350000</v>
      </c>
      <c r="Q49" s="541"/>
      <c r="R49" s="541"/>
    </row>
    <row r="50" spans="1:18" ht="15" x14ac:dyDescent="0.25">
      <c r="A50" s="552">
        <v>44585</v>
      </c>
      <c r="B50" s="540" t="s">
        <v>1330</v>
      </c>
      <c r="C50" s="541">
        <v>55500</v>
      </c>
      <c r="D50" s="541"/>
      <c r="E50" s="541"/>
      <c r="F50" s="541"/>
      <c r="G50" s="541"/>
      <c r="H50" s="541"/>
      <c r="I50" s="541"/>
      <c r="J50" s="541"/>
      <c r="K50" s="541"/>
      <c r="L50" s="541"/>
      <c r="M50" s="541"/>
      <c r="N50" s="542"/>
      <c r="O50" s="541"/>
      <c r="P50" s="541"/>
      <c r="Q50" s="541"/>
      <c r="R50" s="541"/>
    </row>
    <row r="51" spans="1:18" ht="15" x14ac:dyDescent="0.25">
      <c r="A51" s="552">
        <v>44586</v>
      </c>
      <c r="B51" s="543" t="s">
        <v>1336</v>
      </c>
      <c r="C51" s="541"/>
      <c r="D51" s="541"/>
      <c r="E51" s="541"/>
      <c r="F51" s="541">
        <v>1020000</v>
      </c>
      <c r="G51" s="541"/>
      <c r="H51" s="541"/>
      <c r="I51" s="541"/>
      <c r="J51" s="541"/>
      <c r="K51" s="541"/>
      <c r="L51" s="541"/>
      <c r="M51" s="541"/>
      <c r="N51" s="542"/>
      <c r="O51" s="541"/>
      <c r="P51" s="541"/>
      <c r="Q51" s="541"/>
      <c r="R51" s="541"/>
    </row>
    <row r="52" spans="1:18" ht="15" x14ac:dyDescent="0.25">
      <c r="A52" s="552">
        <v>44588</v>
      </c>
      <c r="B52" s="540" t="s">
        <v>1337</v>
      </c>
      <c r="C52" s="541"/>
      <c r="D52" s="541"/>
      <c r="E52" s="541">
        <v>27000</v>
      </c>
      <c r="F52" s="541"/>
      <c r="G52" s="541"/>
      <c r="H52" s="541"/>
      <c r="I52" s="541"/>
      <c r="J52" s="541"/>
      <c r="K52" s="541"/>
      <c r="L52" s="541"/>
      <c r="M52" s="541"/>
      <c r="N52" s="542"/>
      <c r="O52" s="541"/>
      <c r="P52" s="541"/>
      <c r="Q52" s="541"/>
      <c r="R52" s="541"/>
    </row>
    <row r="53" spans="1:18" ht="15" x14ac:dyDescent="0.25">
      <c r="A53" s="552"/>
      <c r="B53" s="540" t="s">
        <v>1346</v>
      </c>
      <c r="C53" s="541"/>
      <c r="D53" s="541"/>
      <c r="E53" s="541">
        <v>180000</v>
      </c>
      <c r="F53" s="541"/>
      <c r="G53" s="541"/>
      <c r="H53" s="541"/>
      <c r="I53" s="541"/>
      <c r="J53" s="541"/>
      <c r="K53" s="541"/>
      <c r="L53" s="541"/>
      <c r="M53" s="541"/>
      <c r="N53" s="542"/>
      <c r="O53" s="541"/>
      <c r="P53" s="541"/>
      <c r="Q53" s="541"/>
      <c r="R53" s="541"/>
    </row>
    <row r="54" spans="1:18" ht="15" x14ac:dyDescent="0.25">
      <c r="A54" s="552"/>
      <c r="B54" s="540" t="s">
        <v>1335</v>
      </c>
      <c r="C54" s="541"/>
      <c r="D54" s="541"/>
      <c r="E54" s="541"/>
      <c r="F54" s="541"/>
      <c r="G54" s="541"/>
      <c r="H54" s="541">
        <v>150000</v>
      </c>
      <c r="I54" s="541"/>
      <c r="J54" s="541"/>
      <c r="K54" s="541"/>
      <c r="L54" s="541"/>
      <c r="M54" s="541"/>
      <c r="N54" s="542"/>
      <c r="O54" s="541"/>
      <c r="P54" s="541"/>
      <c r="Q54" s="541"/>
      <c r="R54" s="541"/>
    </row>
    <row r="55" spans="1:18" ht="28.5" x14ac:dyDescent="0.25">
      <c r="A55" s="552">
        <v>44590</v>
      </c>
      <c r="B55" s="543" t="s">
        <v>1439</v>
      </c>
      <c r="C55" s="541"/>
      <c r="D55" s="541"/>
      <c r="E55" s="541"/>
      <c r="F55" s="541"/>
      <c r="G55" s="541"/>
      <c r="H55" s="541"/>
      <c r="I55" s="541"/>
      <c r="J55" s="541"/>
      <c r="K55" s="541"/>
      <c r="L55" s="541"/>
      <c r="M55" s="541"/>
      <c r="N55" s="542"/>
      <c r="O55" s="541">
        <f>((110000*12)*5)-10000</f>
        <v>6590000</v>
      </c>
      <c r="P55" s="541"/>
      <c r="Q55" s="541"/>
      <c r="R55" s="541"/>
    </row>
    <row r="56" spans="1:18" ht="28.5" x14ac:dyDescent="0.25">
      <c r="A56" s="552"/>
      <c r="B56" s="662" t="s">
        <v>731</v>
      </c>
      <c r="C56" s="541"/>
      <c r="D56" s="541"/>
      <c r="E56" s="541"/>
      <c r="F56" s="541"/>
      <c r="G56" s="541"/>
      <c r="H56" s="541"/>
      <c r="I56" s="541"/>
      <c r="J56" s="541"/>
      <c r="K56" s="541"/>
      <c r="L56" s="541"/>
      <c r="M56" s="541"/>
      <c r="N56" s="542"/>
      <c r="O56" s="541"/>
      <c r="P56" s="541">
        <f>(40000*9)+(30000*1)</f>
        <v>390000</v>
      </c>
      <c r="Q56" s="541"/>
      <c r="R56" s="541"/>
    </row>
    <row r="57" spans="1:18" ht="15" x14ac:dyDescent="0.25">
      <c r="A57" s="553">
        <v>44592</v>
      </c>
      <c r="B57" s="543" t="s">
        <v>733</v>
      </c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5"/>
      <c r="O57" s="554">
        <v>24500000</v>
      </c>
      <c r="P57" s="554"/>
      <c r="Q57" s="554"/>
      <c r="R57" s="554"/>
    </row>
    <row r="58" spans="1:18" ht="15" x14ac:dyDescent="0.25">
      <c r="A58" s="553"/>
      <c r="B58" s="543" t="s">
        <v>735</v>
      </c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>
        <v>5969000</v>
      </c>
      <c r="N58" s="555"/>
      <c r="O58" s="554"/>
      <c r="P58" s="554"/>
      <c r="Q58" s="554"/>
      <c r="R58" s="554"/>
    </row>
    <row r="59" spans="1:18" ht="15" x14ac:dyDescent="0.25">
      <c r="A59" s="553"/>
      <c r="B59" s="543" t="s">
        <v>734</v>
      </c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5"/>
      <c r="O59" s="554"/>
      <c r="P59" s="554">
        <v>1200000</v>
      </c>
      <c r="Q59" s="554"/>
      <c r="R59" s="554"/>
    </row>
    <row r="60" spans="1:18" ht="15" x14ac:dyDescent="0.25">
      <c r="A60" s="552"/>
      <c r="B60" s="661" t="s">
        <v>1336</v>
      </c>
      <c r="C60" s="541"/>
      <c r="D60" s="541"/>
      <c r="E60" s="541"/>
      <c r="F60" s="541">
        <v>2625000</v>
      </c>
      <c r="G60" s="541"/>
      <c r="H60" s="541"/>
      <c r="I60" s="541"/>
      <c r="J60" s="541"/>
      <c r="K60" s="541"/>
      <c r="L60" s="541"/>
      <c r="M60" s="541"/>
      <c r="N60" s="542"/>
      <c r="O60" s="541"/>
      <c r="P60" s="541"/>
      <c r="Q60" s="541"/>
      <c r="R60" s="541"/>
    </row>
    <row r="61" spans="1:18" ht="15" x14ac:dyDescent="0.25">
      <c r="A61" s="552"/>
      <c r="B61" s="661" t="s">
        <v>1330</v>
      </c>
      <c r="C61" s="541">
        <v>57000</v>
      </c>
      <c r="D61" s="541"/>
      <c r="E61" s="541"/>
      <c r="F61" s="541"/>
      <c r="G61" s="541"/>
      <c r="H61" s="541"/>
      <c r="I61" s="541"/>
      <c r="J61" s="541"/>
      <c r="K61" s="541"/>
      <c r="L61" s="541"/>
      <c r="M61" s="541"/>
      <c r="N61" s="542"/>
      <c r="O61" s="541"/>
      <c r="P61" s="541"/>
      <c r="Q61" s="541"/>
      <c r="R61" s="541"/>
    </row>
    <row r="62" spans="1:18" ht="15" x14ac:dyDescent="0.25">
      <c r="A62" s="552"/>
      <c r="B62" s="569" t="s">
        <v>1357</v>
      </c>
      <c r="C62" s="541"/>
      <c r="D62" s="541"/>
      <c r="E62" s="541">
        <v>65000</v>
      </c>
      <c r="F62" s="541"/>
      <c r="G62" s="541"/>
      <c r="H62" s="541"/>
      <c r="I62" s="541"/>
      <c r="J62" s="541"/>
      <c r="K62" s="541"/>
      <c r="L62" s="541"/>
      <c r="M62" s="541"/>
      <c r="N62" s="542"/>
      <c r="O62" s="541"/>
      <c r="P62" s="541"/>
      <c r="Q62" s="541"/>
      <c r="R62" s="541"/>
    </row>
    <row r="63" spans="1:18" ht="15" x14ac:dyDescent="0.25">
      <c r="A63" s="553"/>
      <c r="B63" s="660" t="s">
        <v>1358</v>
      </c>
      <c r="C63" s="554"/>
      <c r="D63" s="554"/>
      <c r="E63" s="554"/>
      <c r="F63" s="554"/>
      <c r="G63" s="554"/>
      <c r="H63" s="554">
        <v>150000</v>
      </c>
      <c r="I63" s="554"/>
      <c r="J63" s="554"/>
      <c r="K63" s="554"/>
      <c r="L63" s="554"/>
      <c r="M63" s="554"/>
      <c r="N63" s="555"/>
      <c r="O63" s="554"/>
      <c r="P63" s="554"/>
      <c r="Q63" s="554"/>
      <c r="R63" s="554"/>
    </row>
    <row r="64" spans="1:18" ht="16.5" x14ac:dyDescent="0.25">
      <c r="A64" s="566"/>
      <c r="B64" s="567" t="s">
        <v>38</v>
      </c>
      <c r="C64" s="568">
        <f t="shared" ref="C64:R64" si="0">SUM(C6:C63)</f>
        <v>219600</v>
      </c>
      <c r="D64" s="568">
        <f t="shared" si="0"/>
        <v>0</v>
      </c>
      <c r="E64" s="568">
        <f t="shared" si="0"/>
        <v>1261500</v>
      </c>
      <c r="F64" s="568">
        <f t="shared" si="0"/>
        <v>7901500</v>
      </c>
      <c r="G64" s="568">
        <f t="shared" si="0"/>
        <v>400500</v>
      </c>
      <c r="H64" s="568">
        <f t="shared" si="0"/>
        <v>1015000</v>
      </c>
      <c r="I64" s="568">
        <f t="shared" si="0"/>
        <v>3820000</v>
      </c>
      <c r="J64" s="568">
        <f t="shared" si="0"/>
        <v>502500</v>
      </c>
      <c r="K64" s="568">
        <f t="shared" si="0"/>
        <v>51000</v>
      </c>
      <c r="L64" s="568">
        <f t="shared" si="0"/>
        <v>9868750</v>
      </c>
      <c r="M64" s="568">
        <f t="shared" si="0"/>
        <v>5969000</v>
      </c>
      <c r="N64" s="568">
        <f t="shared" si="0"/>
        <v>1562307</v>
      </c>
      <c r="O64" s="568">
        <f t="shared" si="0"/>
        <v>37690000</v>
      </c>
      <c r="P64" s="568">
        <f t="shared" si="0"/>
        <v>2760000</v>
      </c>
      <c r="Q64" s="568">
        <f t="shared" ref="Q64" si="1">SUM(Q6:Q63)</f>
        <v>0</v>
      </c>
      <c r="R64" s="568">
        <f t="shared" si="0"/>
        <v>0</v>
      </c>
    </row>
    <row r="65" spans="1:18" ht="16.5" x14ac:dyDescent="0.25">
      <c r="A65" s="561" t="s">
        <v>411</v>
      </c>
      <c r="B65" s="562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4"/>
      <c r="O65" s="563"/>
      <c r="P65" s="563"/>
      <c r="Q65" s="565"/>
      <c r="R65" s="565"/>
    </row>
    <row r="66" spans="1:18" ht="15" x14ac:dyDescent="0.25">
      <c r="A66" s="551">
        <v>44594</v>
      </c>
      <c r="B66" s="548" t="s">
        <v>1338</v>
      </c>
      <c r="C66" s="549"/>
      <c r="D66" s="549"/>
      <c r="E66" s="549"/>
      <c r="F66" s="549"/>
      <c r="G66" s="549"/>
      <c r="H66" s="549">
        <v>200000</v>
      </c>
      <c r="I66" s="549"/>
      <c r="J66" s="549"/>
      <c r="K66" s="549"/>
      <c r="L66" s="549"/>
      <c r="M66" s="549"/>
      <c r="N66" s="550"/>
      <c r="O66" s="549"/>
      <c r="P66" s="549"/>
      <c r="Q66" s="549"/>
      <c r="R66" s="549"/>
    </row>
    <row r="67" spans="1:18" ht="15" x14ac:dyDescent="0.25">
      <c r="A67" s="552">
        <v>44595</v>
      </c>
      <c r="B67" s="543" t="s">
        <v>1334</v>
      </c>
      <c r="C67" s="541"/>
      <c r="D67" s="541"/>
      <c r="E67" s="541"/>
      <c r="F67" s="541"/>
      <c r="G67" s="541"/>
      <c r="H67" s="541"/>
      <c r="I67" s="541"/>
      <c r="J67" s="541"/>
      <c r="K67" s="541"/>
      <c r="L67" s="541"/>
      <c r="M67" s="541"/>
      <c r="N67" s="542">
        <v>1492307</v>
      </c>
      <c r="O67" s="541"/>
      <c r="P67" s="541"/>
      <c r="Q67" s="541"/>
      <c r="R67" s="541"/>
    </row>
    <row r="68" spans="1:18" ht="15" x14ac:dyDescent="0.25">
      <c r="A68" s="552"/>
      <c r="B68" s="540" t="s">
        <v>1910</v>
      </c>
      <c r="C68" s="541"/>
      <c r="D68" s="541"/>
      <c r="E68" s="541"/>
      <c r="F68" s="541"/>
      <c r="G68" s="541"/>
      <c r="H68" s="541"/>
      <c r="I68" s="541">
        <v>970000</v>
      </c>
      <c r="J68" s="541"/>
      <c r="K68" s="541"/>
      <c r="L68" s="541"/>
      <c r="M68" s="541"/>
      <c r="N68" s="542"/>
      <c r="O68" s="541"/>
      <c r="P68" s="541"/>
      <c r="Q68" s="541"/>
      <c r="R68" s="541"/>
    </row>
    <row r="69" spans="1:18" ht="15" x14ac:dyDescent="0.25">
      <c r="A69" s="552"/>
      <c r="B69" s="540" t="s">
        <v>1911</v>
      </c>
      <c r="C69" s="541"/>
      <c r="D69" s="541"/>
      <c r="E69" s="541"/>
      <c r="F69" s="541"/>
      <c r="G69" s="541"/>
      <c r="H69" s="541"/>
      <c r="I69" s="541">
        <v>467500</v>
      </c>
      <c r="J69" s="541"/>
      <c r="K69" s="541"/>
      <c r="L69" s="541"/>
      <c r="M69" s="541"/>
      <c r="N69" s="542"/>
      <c r="O69" s="541"/>
      <c r="P69" s="541"/>
      <c r="Q69" s="541"/>
      <c r="R69" s="541"/>
    </row>
    <row r="70" spans="1:18" ht="15" x14ac:dyDescent="0.25">
      <c r="A70" s="552">
        <v>44596</v>
      </c>
      <c r="B70" s="543" t="s">
        <v>1337</v>
      </c>
      <c r="C70" s="541"/>
      <c r="D70" s="541"/>
      <c r="E70" s="541">
        <v>13500</v>
      </c>
      <c r="F70" s="541"/>
      <c r="G70" s="541"/>
      <c r="H70" s="541"/>
      <c r="I70" s="541"/>
      <c r="J70" s="541"/>
      <c r="K70" s="541"/>
      <c r="L70" s="541"/>
      <c r="M70" s="541"/>
      <c r="N70" s="542"/>
      <c r="O70" s="541"/>
      <c r="P70" s="541"/>
      <c r="Q70" s="541"/>
      <c r="R70" s="541"/>
    </row>
    <row r="71" spans="1:18" ht="15" x14ac:dyDescent="0.25">
      <c r="A71" s="552"/>
      <c r="B71" s="660" t="s">
        <v>1912</v>
      </c>
      <c r="C71" s="541"/>
      <c r="D71" s="541"/>
      <c r="E71" s="541"/>
      <c r="F71" s="541">
        <v>195000</v>
      </c>
      <c r="G71" s="541"/>
      <c r="H71" s="541"/>
      <c r="I71" s="541"/>
      <c r="J71" s="541"/>
      <c r="K71" s="541"/>
      <c r="L71" s="541"/>
      <c r="M71" s="541"/>
      <c r="N71" s="542"/>
      <c r="O71" s="541"/>
      <c r="P71" s="541"/>
      <c r="Q71" s="541"/>
      <c r="R71" s="541"/>
    </row>
    <row r="72" spans="1:18" ht="42.75" x14ac:dyDescent="0.25">
      <c r="A72" s="552">
        <v>44597</v>
      </c>
      <c r="B72" s="543" t="s">
        <v>1441</v>
      </c>
      <c r="C72" s="541"/>
      <c r="D72" s="541"/>
      <c r="E72" s="541"/>
      <c r="F72" s="541"/>
      <c r="G72" s="541"/>
      <c r="H72" s="541"/>
      <c r="I72" s="541"/>
      <c r="J72" s="541"/>
      <c r="K72" s="541"/>
      <c r="L72" s="541"/>
      <c r="M72" s="541"/>
      <c r="N72" s="542"/>
      <c r="O72" s="541">
        <f>(110000*5)*5</f>
        <v>2750000</v>
      </c>
      <c r="P72" s="541"/>
      <c r="Q72" s="541"/>
      <c r="R72" s="541"/>
    </row>
    <row r="73" spans="1:18" ht="42.75" x14ac:dyDescent="0.25">
      <c r="A73" s="552"/>
      <c r="B73" s="662" t="s">
        <v>1442</v>
      </c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2"/>
      <c r="O73" s="541"/>
      <c r="P73" s="541">
        <f>(40000*10)+30000</f>
        <v>430000</v>
      </c>
      <c r="Q73" s="541"/>
      <c r="R73" s="541"/>
    </row>
    <row r="74" spans="1:18" ht="15" x14ac:dyDescent="0.25">
      <c r="A74" s="552"/>
      <c r="B74" s="685" t="s">
        <v>1934</v>
      </c>
      <c r="C74" s="541"/>
      <c r="D74" s="541"/>
      <c r="E74" s="541"/>
      <c r="F74" s="541"/>
      <c r="G74" s="541"/>
      <c r="H74" s="541"/>
      <c r="I74" s="541"/>
      <c r="J74" s="541"/>
      <c r="K74" s="541"/>
      <c r="L74" s="541">
        <f>4120000/2</f>
        <v>2060000</v>
      </c>
      <c r="M74" s="541"/>
      <c r="N74" s="542"/>
      <c r="O74" s="541"/>
      <c r="P74" s="541"/>
      <c r="Q74" s="541"/>
      <c r="R74" s="541"/>
    </row>
    <row r="75" spans="1:18" ht="15" x14ac:dyDescent="0.25">
      <c r="A75" s="552"/>
      <c r="B75" s="685" t="s">
        <v>1935</v>
      </c>
      <c r="C75" s="541"/>
      <c r="D75" s="541"/>
      <c r="E75" s="541"/>
      <c r="F75" s="541"/>
      <c r="G75" s="541"/>
      <c r="H75" s="541"/>
      <c r="I75" s="541"/>
      <c r="J75" s="541"/>
      <c r="K75" s="541"/>
      <c r="L75" s="541">
        <f>1565000/2</f>
        <v>782500</v>
      </c>
      <c r="M75" s="541"/>
      <c r="N75" s="542"/>
      <c r="O75" s="541"/>
      <c r="P75" s="541"/>
      <c r="Q75" s="541"/>
      <c r="R75" s="541"/>
    </row>
    <row r="76" spans="1:18" ht="15" x14ac:dyDescent="0.25">
      <c r="A76" s="552">
        <v>44599</v>
      </c>
      <c r="B76" s="543" t="s">
        <v>1330</v>
      </c>
      <c r="C76" s="541">
        <v>57500</v>
      </c>
      <c r="D76" s="541"/>
      <c r="E76" s="541"/>
      <c r="F76" s="541"/>
      <c r="G76" s="541"/>
      <c r="H76" s="541"/>
      <c r="I76" s="541"/>
      <c r="J76" s="541"/>
      <c r="K76" s="541"/>
      <c r="L76" s="541"/>
      <c r="M76" s="541"/>
      <c r="N76" s="542"/>
      <c r="O76" s="541"/>
      <c r="P76" s="541"/>
      <c r="Q76" s="541"/>
      <c r="R76" s="541"/>
    </row>
    <row r="77" spans="1:18" ht="15" x14ac:dyDescent="0.25">
      <c r="A77" s="552"/>
      <c r="B77" s="543" t="s">
        <v>1335</v>
      </c>
      <c r="C77" s="541"/>
      <c r="D77" s="541"/>
      <c r="E77" s="541"/>
      <c r="F77" s="541"/>
      <c r="G77" s="541"/>
      <c r="H77" s="541">
        <v>180000</v>
      </c>
      <c r="I77" s="541"/>
      <c r="J77" s="541"/>
      <c r="K77" s="541"/>
      <c r="L77" s="541"/>
      <c r="M77" s="541"/>
      <c r="N77" s="542"/>
      <c r="O77" s="541"/>
      <c r="P77" s="541"/>
      <c r="Q77" s="541"/>
      <c r="R77" s="541"/>
    </row>
    <row r="78" spans="1:18" ht="15" x14ac:dyDescent="0.25">
      <c r="A78" s="552"/>
      <c r="B78" s="543" t="s">
        <v>1358</v>
      </c>
      <c r="C78" s="541"/>
      <c r="D78" s="541"/>
      <c r="E78" s="541"/>
      <c r="F78" s="541"/>
      <c r="G78" s="541"/>
      <c r="H78" s="541">
        <v>100000</v>
      </c>
      <c r="I78" s="541"/>
      <c r="J78" s="541"/>
      <c r="K78" s="541"/>
      <c r="L78" s="541"/>
      <c r="M78" s="541"/>
      <c r="N78" s="542"/>
      <c r="O78" s="541"/>
      <c r="P78" s="541"/>
      <c r="Q78" s="541"/>
      <c r="R78" s="541"/>
    </row>
    <row r="79" spans="1:18" ht="15" x14ac:dyDescent="0.25">
      <c r="A79" s="552">
        <v>44600</v>
      </c>
      <c r="B79" s="543" t="s">
        <v>1908</v>
      </c>
      <c r="C79" s="541"/>
      <c r="D79" s="541"/>
      <c r="E79" s="541"/>
      <c r="F79" s="541"/>
      <c r="G79" s="541"/>
      <c r="H79" s="541"/>
      <c r="I79" s="541"/>
      <c r="J79" s="541"/>
      <c r="K79" s="541">
        <v>107537</v>
      </c>
      <c r="L79" s="541"/>
      <c r="M79" s="541"/>
      <c r="N79" s="542"/>
      <c r="O79" s="541"/>
      <c r="P79" s="541"/>
      <c r="Q79" s="541"/>
      <c r="R79" s="541"/>
    </row>
    <row r="80" spans="1:18" ht="15" x14ac:dyDescent="0.25">
      <c r="A80" s="552"/>
      <c r="B80" s="712" t="s">
        <v>1909</v>
      </c>
      <c r="C80" s="541"/>
      <c r="D80" s="541"/>
      <c r="E80" s="541"/>
      <c r="F80" s="541"/>
      <c r="G80" s="541"/>
      <c r="H80" s="541"/>
      <c r="I80" s="541"/>
      <c r="J80" s="541"/>
      <c r="K80" s="541">
        <v>286000</v>
      </c>
      <c r="L80" s="541"/>
      <c r="M80" s="541"/>
      <c r="N80" s="542"/>
      <c r="O80" s="541"/>
      <c r="P80" s="541"/>
      <c r="Q80" s="541"/>
      <c r="R80" s="541"/>
    </row>
    <row r="81" spans="1:18" ht="15" x14ac:dyDescent="0.25">
      <c r="A81" s="552">
        <v>44601</v>
      </c>
      <c r="B81" s="662" t="s">
        <v>1337</v>
      </c>
      <c r="C81" s="541"/>
      <c r="D81" s="541"/>
      <c r="E81" s="541">
        <v>20000</v>
      </c>
      <c r="F81" s="541"/>
      <c r="G81" s="541"/>
      <c r="H81" s="541"/>
      <c r="I81" s="541"/>
      <c r="J81" s="541"/>
      <c r="K81" s="541"/>
      <c r="L81" s="541"/>
      <c r="M81" s="541"/>
      <c r="N81" s="542"/>
      <c r="O81" s="541"/>
      <c r="P81" s="541"/>
      <c r="Q81" s="541"/>
      <c r="R81" s="541"/>
    </row>
    <row r="82" spans="1:18" ht="15" x14ac:dyDescent="0.25">
      <c r="A82" s="552">
        <v>44602</v>
      </c>
      <c r="B82" s="543" t="s">
        <v>1347</v>
      </c>
      <c r="C82" s="541"/>
      <c r="D82" s="541"/>
      <c r="E82" s="541"/>
      <c r="F82" s="541"/>
      <c r="G82" s="541"/>
      <c r="H82" s="541">
        <v>100000</v>
      </c>
      <c r="I82" s="541"/>
      <c r="J82" s="541"/>
      <c r="K82" s="541"/>
      <c r="L82" s="541"/>
      <c r="M82" s="541"/>
      <c r="N82" s="542"/>
      <c r="O82" s="541"/>
      <c r="P82" s="541"/>
      <c r="Q82" s="541"/>
      <c r="R82" s="541"/>
    </row>
    <row r="83" spans="1:18" ht="15" x14ac:dyDescent="0.25">
      <c r="A83" s="552">
        <v>44603</v>
      </c>
      <c r="B83" s="540" t="s">
        <v>1913</v>
      </c>
      <c r="C83" s="541"/>
      <c r="D83" s="541"/>
      <c r="E83" s="541"/>
      <c r="F83" s="541"/>
      <c r="G83" s="541">
        <v>250000</v>
      </c>
      <c r="H83" s="541"/>
      <c r="I83" s="541"/>
      <c r="J83" s="541"/>
      <c r="K83" s="541"/>
      <c r="L83" s="541"/>
      <c r="M83" s="541"/>
      <c r="N83" s="542"/>
      <c r="O83" s="541"/>
      <c r="P83" s="541"/>
      <c r="Q83" s="541"/>
      <c r="R83" s="541"/>
    </row>
    <row r="84" spans="1:18" ht="15" x14ac:dyDescent="0.25">
      <c r="A84" s="552">
        <v>44604</v>
      </c>
      <c r="B84" s="540" t="s">
        <v>1337</v>
      </c>
      <c r="C84" s="541"/>
      <c r="D84" s="541"/>
      <c r="E84" s="541">
        <v>31500</v>
      </c>
      <c r="F84" s="541"/>
      <c r="G84" s="541"/>
      <c r="H84" s="541"/>
      <c r="I84" s="541"/>
      <c r="J84" s="541"/>
      <c r="K84" s="541"/>
      <c r="L84" s="541"/>
      <c r="M84" s="541"/>
      <c r="N84" s="542"/>
      <c r="O84" s="541"/>
      <c r="P84" s="541"/>
      <c r="Q84" s="541"/>
      <c r="R84" s="541"/>
    </row>
    <row r="85" spans="1:18" ht="15" x14ac:dyDescent="0.25">
      <c r="A85" s="552"/>
      <c r="B85" s="540" t="s">
        <v>1336</v>
      </c>
      <c r="C85" s="541"/>
      <c r="D85" s="541"/>
      <c r="E85" s="541"/>
      <c r="F85" s="541">
        <v>4477000</v>
      </c>
      <c r="G85" s="541"/>
      <c r="H85" s="541"/>
      <c r="I85" s="541"/>
      <c r="J85" s="541"/>
      <c r="K85" s="541"/>
      <c r="L85" s="541"/>
      <c r="M85" s="541"/>
      <c r="N85" s="542"/>
      <c r="O85" s="541"/>
      <c r="P85" s="541"/>
      <c r="Q85" s="541"/>
      <c r="R85" s="541"/>
    </row>
    <row r="86" spans="1:18" ht="28.5" x14ac:dyDescent="0.25">
      <c r="A86" s="552"/>
      <c r="B86" s="662" t="s">
        <v>1443</v>
      </c>
      <c r="C86" s="541"/>
      <c r="D86" s="541"/>
      <c r="E86" s="541"/>
      <c r="F86" s="541"/>
      <c r="G86" s="541"/>
      <c r="H86" s="541"/>
      <c r="I86" s="541"/>
      <c r="J86" s="541"/>
      <c r="K86" s="541"/>
      <c r="L86" s="541"/>
      <c r="M86" s="541"/>
      <c r="N86" s="542"/>
      <c r="O86" s="541"/>
      <c r="P86" s="541">
        <f>40000*7</f>
        <v>280000</v>
      </c>
      <c r="Q86" s="541"/>
      <c r="R86" s="541"/>
    </row>
    <row r="87" spans="1:18" ht="15" x14ac:dyDescent="0.25">
      <c r="A87" s="552"/>
      <c r="B87" s="685" t="s">
        <v>1895</v>
      </c>
      <c r="C87" s="541"/>
      <c r="D87" s="541"/>
      <c r="E87" s="541"/>
      <c r="F87" s="541"/>
      <c r="G87" s="541"/>
      <c r="H87" s="541"/>
      <c r="I87" s="541"/>
      <c r="J87" s="541"/>
      <c r="K87" s="541"/>
      <c r="L87" s="541">
        <f>1832000/2</f>
        <v>916000</v>
      </c>
      <c r="M87" s="541"/>
      <c r="N87" s="542"/>
      <c r="O87" s="541"/>
      <c r="P87" s="541"/>
      <c r="Q87" s="541"/>
      <c r="R87" s="541"/>
    </row>
    <row r="88" spans="1:18" ht="15" x14ac:dyDescent="0.25">
      <c r="A88" s="552"/>
      <c r="B88" s="685" t="s">
        <v>1897</v>
      </c>
      <c r="C88" s="541"/>
      <c r="D88" s="541"/>
      <c r="E88" s="541"/>
      <c r="F88" s="541"/>
      <c r="G88" s="541"/>
      <c r="H88" s="541"/>
      <c r="I88" s="541"/>
      <c r="J88" s="541"/>
      <c r="K88" s="541"/>
      <c r="L88" s="541">
        <f>1730000/2</f>
        <v>865000</v>
      </c>
      <c r="M88" s="541"/>
      <c r="N88" s="542"/>
      <c r="O88" s="541"/>
      <c r="P88" s="541"/>
      <c r="Q88" s="541"/>
      <c r="R88" s="541"/>
    </row>
    <row r="89" spans="1:18" ht="15" x14ac:dyDescent="0.25">
      <c r="A89" s="552"/>
      <c r="B89" s="685" t="s">
        <v>1896</v>
      </c>
      <c r="C89" s="541"/>
      <c r="D89" s="541"/>
      <c r="E89" s="541"/>
      <c r="F89" s="541"/>
      <c r="G89" s="541"/>
      <c r="H89" s="541"/>
      <c r="I89" s="541"/>
      <c r="J89" s="541"/>
      <c r="K89" s="541"/>
      <c r="L89" s="541">
        <f>1839000/2</f>
        <v>919500</v>
      </c>
      <c r="M89" s="541"/>
      <c r="N89" s="542"/>
      <c r="O89" s="541"/>
      <c r="P89" s="541"/>
      <c r="Q89" s="541"/>
      <c r="R89" s="541"/>
    </row>
    <row r="90" spans="1:18" ht="15" x14ac:dyDescent="0.25">
      <c r="A90" s="552"/>
      <c r="B90" s="685" t="s">
        <v>1898</v>
      </c>
      <c r="C90" s="541"/>
      <c r="D90" s="541"/>
      <c r="E90" s="541"/>
      <c r="F90" s="541"/>
      <c r="G90" s="541"/>
      <c r="H90" s="541"/>
      <c r="I90" s="541"/>
      <c r="J90" s="541"/>
      <c r="K90" s="541"/>
      <c r="L90" s="541">
        <f>1952000/2</f>
        <v>976000</v>
      </c>
      <c r="M90" s="541"/>
      <c r="N90" s="542"/>
      <c r="O90" s="541"/>
      <c r="P90" s="541"/>
      <c r="Q90" s="541"/>
      <c r="R90" s="541"/>
    </row>
    <row r="91" spans="1:18" ht="15" x14ac:dyDescent="0.25">
      <c r="A91" s="552"/>
      <c r="B91" s="685" t="s">
        <v>1899</v>
      </c>
      <c r="C91" s="541"/>
      <c r="D91" s="541"/>
      <c r="E91" s="541"/>
      <c r="F91" s="541"/>
      <c r="G91" s="541"/>
      <c r="H91" s="541"/>
      <c r="I91" s="541"/>
      <c r="J91" s="541"/>
      <c r="K91" s="541"/>
      <c r="L91" s="541">
        <f>1532000/2</f>
        <v>766000</v>
      </c>
      <c r="M91" s="541"/>
      <c r="N91" s="542"/>
      <c r="O91" s="541"/>
      <c r="P91" s="541"/>
      <c r="Q91" s="541"/>
      <c r="R91" s="541"/>
    </row>
    <row r="92" spans="1:18" ht="15" x14ac:dyDescent="0.25">
      <c r="A92" s="552"/>
      <c r="B92" s="685" t="s">
        <v>1900</v>
      </c>
      <c r="C92" s="541"/>
      <c r="D92" s="541"/>
      <c r="E92" s="541"/>
      <c r="F92" s="541"/>
      <c r="G92" s="541"/>
      <c r="H92" s="541"/>
      <c r="I92" s="541"/>
      <c r="J92" s="541"/>
      <c r="K92" s="541"/>
      <c r="L92" s="541">
        <f>1887000/2</f>
        <v>943500</v>
      </c>
      <c r="M92" s="541"/>
      <c r="N92" s="542"/>
      <c r="O92" s="541"/>
      <c r="P92" s="541"/>
      <c r="Q92" s="541"/>
      <c r="R92" s="541"/>
    </row>
    <row r="93" spans="1:18" ht="15" x14ac:dyDescent="0.25">
      <c r="A93" s="552"/>
      <c r="B93" s="685" t="s">
        <v>1901</v>
      </c>
      <c r="C93" s="541"/>
      <c r="D93" s="541"/>
      <c r="E93" s="541"/>
      <c r="F93" s="541"/>
      <c r="G93" s="541"/>
      <c r="H93" s="541"/>
      <c r="I93" s="541"/>
      <c r="J93" s="541"/>
      <c r="K93" s="541"/>
      <c r="L93" s="541">
        <f>1947000/2</f>
        <v>973500</v>
      </c>
      <c r="M93" s="541"/>
      <c r="N93" s="542"/>
      <c r="O93" s="541"/>
      <c r="P93" s="541"/>
      <c r="Q93" s="541"/>
      <c r="R93" s="541"/>
    </row>
    <row r="94" spans="1:18" ht="15" x14ac:dyDescent="0.25">
      <c r="A94" s="552"/>
      <c r="B94" s="685" t="s">
        <v>1902</v>
      </c>
      <c r="C94" s="541"/>
      <c r="D94" s="541"/>
      <c r="E94" s="541"/>
      <c r="F94" s="541"/>
      <c r="G94" s="541"/>
      <c r="H94" s="541"/>
      <c r="I94" s="541"/>
      <c r="J94" s="541"/>
      <c r="K94" s="541"/>
      <c r="L94" s="541">
        <f>1969000/2</f>
        <v>984500</v>
      </c>
      <c r="M94" s="541"/>
      <c r="N94" s="542"/>
      <c r="O94" s="541"/>
      <c r="P94" s="541"/>
      <c r="Q94" s="541"/>
      <c r="R94" s="541"/>
    </row>
    <row r="95" spans="1:18" ht="15" x14ac:dyDescent="0.25">
      <c r="A95" s="552"/>
      <c r="B95" s="685" t="s">
        <v>1903</v>
      </c>
      <c r="C95" s="541"/>
      <c r="D95" s="541"/>
      <c r="E95" s="541"/>
      <c r="F95" s="541"/>
      <c r="G95" s="541"/>
      <c r="H95" s="541"/>
      <c r="I95" s="541"/>
      <c r="J95" s="541"/>
      <c r="K95" s="541"/>
      <c r="L95" s="541">
        <f>1817000/2</f>
        <v>908500</v>
      </c>
      <c r="M95" s="541"/>
      <c r="N95" s="542"/>
      <c r="O95" s="541"/>
      <c r="P95" s="541"/>
      <c r="Q95" s="541"/>
      <c r="R95" s="541"/>
    </row>
    <row r="96" spans="1:18" ht="15" x14ac:dyDescent="0.25">
      <c r="A96" s="552"/>
      <c r="B96" s="685" t="s">
        <v>1904</v>
      </c>
      <c r="C96" s="541"/>
      <c r="D96" s="541"/>
      <c r="E96" s="541"/>
      <c r="F96" s="541"/>
      <c r="G96" s="541"/>
      <c r="H96" s="541"/>
      <c r="I96" s="541"/>
      <c r="J96" s="541"/>
      <c r="K96" s="541"/>
      <c r="L96" s="541">
        <f>1973000/2</f>
        <v>986500</v>
      </c>
      <c r="M96" s="541"/>
      <c r="N96" s="542"/>
      <c r="O96" s="541"/>
      <c r="P96" s="541"/>
      <c r="Q96" s="541"/>
      <c r="R96" s="541"/>
    </row>
    <row r="97" spans="1:18" ht="15" x14ac:dyDescent="0.25">
      <c r="A97" s="552"/>
      <c r="B97" s="685" t="s">
        <v>1905</v>
      </c>
      <c r="C97" s="541"/>
      <c r="D97" s="541"/>
      <c r="E97" s="541"/>
      <c r="F97" s="541"/>
      <c r="G97" s="541"/>
      <c r="H97" s="541"/>
      <c r="I97" s="541"/>
      <c r="J97" s="541"/>
      <c r="K97" s="541"/>
      <c r="L97" s="541">
        <f>1598000/2</f>
        <v>799000</v>
      </c>
      <c r="M97" s="541"/>
      <c r="N97" s="542"/>
      <c r="O97" s="541"/>
      <c r="P97" s="541"/>
      <c r="Q97" s="541"/>
      <c r="R97" s="541"/>
    </row>
    <row r="98" spans="1:18" ht="15" x14ac:dyDescent="0.25">
      <c r="A98" s="552"/>
      <c r="B98" s="685" t="s">
        <v>1906</v>
      </c>
      <c r="C98" s="541"/>
      <c r="D98" s="541"/>
      <c r="E98" s="541"/>
      <c r="F98" s="541"/>
      <c r="G98" s="541"/>
      <c r="H98" s="541"/>
      <c r="I98" s="541"/>
      <c r="J98" s="541"/>
      <c r="K98" s="541"/>
      <c r="L98" s="541">
        <f>1607000/2</f>
        <v>803500</v>
      </c>
      <c r="M98" s="541"/>
      <c r="N98" s="542"/>
      <c r="O98" s="541"/>
      <c r="P98" s="541"/>
      <c r="Q98" s="541"/>
      <c r="R98" s="541"/>
    </row>
    <row r="99" spans="1:18" ht="15" x14ac:dyDescent="0.25">
      <c r="A99" s="552"/>
      <c r="B99" s="685" t="s">
        <v>1907</v>
      </c>
      <c r="C99" s="541"/>
      <c r="D99" s="541"/>
      <c r="E99" s="541"/>
      <c r="F99" s="541"/>
      <c r="G99" s="541"/>
      <c r="H99" s="541"/>
      <c r="I99" s="541"/>
      <c r="J99" s="541"/>
      <c r="K99" s="541"/>
      <c r="L99" s="541">
        <f>1949000/2</f>
        <v>974500</v>
      </c>
      <c r="M99" s="541"/>
      <c r="N99" s="542"/>
      <c r="O99" s="541"/>
      <c r="P99" s="541"/>
      <c r="Q99" s="541"/>
      <c r="R99" s="541"/>
    </row>
    <row r="100" spans="1:18" ht="15" x14ac:dyDescent="0.25">
      <c r="A100" s="552">
        <v>44607</v>
      </c>
      <c r="B100" s="540" t="s">
        <v>1914</v>
      </c>
      <c r="C100" s="541"/>
      <c r="D100" s="541"/>
      <c r="E100" s="541"/>
      <c r="F100" s="541"/>
      <c r="G100" s="541">
        <v>200000</v>
      </c>
      <c r="H100" s="541"/>
      <c r="I100" s="541"/>
      <c r="J100" s="541"/>
      <c r="K100" s="541"/>
      <c r="L100" s="541"/>
      <c r="M100" s="541"/>
      <c r="N100" s="542"/>
      <c r="O100" s="541"/>
      <c r="P100" s="541"/>
      <c r="Q100" s="541"/>
      <c r="R100" s="541"/>
    </row>
    <row r="101" spans="1:18" ht="15" x14ac:dyDescent="0.25">
      <c r="A101" s="552"/>
      <c r="B101" s="540" t="s">
        <v>1344</v>
      </c>
      <c r="C101" s="541"/>
      <c r="D101" s="541"/>
      <c r="E101" s="541"/>
      <c r="F101" s="541"/>
      <c r="G101" s="541"/>
      <c r="H101" s="541"/>
      <c r="I101" s="541"/>
      <c r="J101" s="541"/>
      <c r="K101" s="541"/>
      <c r="L101" s="541"/>
      <c r="M101" s="541"/>
      <c r="N101" s="542">
        <v>154000</v>
      </c>
      <c r="O101" s="541"/>
      <c r="P101" s="541"/>
      <c r="Q101" s="541"/>
      <c r="R101" s="541"/>
    </row>
    <row r="102" spans="1:18" ht="15" x14ac:dyDescent="0.25">
      <c r="A102" s="552"/>
      <c r="B102" s="540" t="s">
        <v>1330</v>
      </c>
      <c r="C102" s="541">
        <v>57700</v>
      </c>
      <c r="D102" s="541"/>
      <c r="E102" s="541"/>
      <c r="F102" s="541"/>
      <c r="G102" s="541"/>
      <c r="H102" s="541"/>
      <c r="I102" s="541"/>
      <c r="J102" s="541"/>
      <c r="K102" s="541"/>
      <c r="L102" s="541"/>
      <c r="M102" s="541"/>
      <c r="N102" s="542"/>
      <c r="O102" s="541"/>
      <c r="P102" s="541"/>
      <c r="Q102" s="541"/>
      <c r="R102" s="541"/>
    </row>
    <row r="103" spans="1:18" ht="15" x14ac:dyDescent="0.25">
      <c r="A103" s="552">
        <v>44608</v>
      </c>
      <c r="B103" s="543" t="s">
        <v>1335</v>
      </c>
      <c r="C103" s="541"/>
      <c r="D103" s="541"/>
      <c r="E103" s="541"/>
      <c r="F103" s="541"/>
      <c r="G103" s="541"/>
      <c r="H103" s="541">
        <v>150000</v>
      </c>
      <c r="I103" s="541"/>
      <c r="J103" s="541"/>
      <c r="K103" s="541"/>
      <c r="L103" s="541"/>
      <c r="M103" s="541"/>
      <c r="N103" s="542"/>
      <c r="O103" s="541"/>
      <c r="P103" s="541"/>
      <c r="Q103" s="541"/>
      <c r="R103" s="541"/>
    </row>
    <row r="104" spans="1:18" ht="15" x14ac:dyDescent="0.25">
      <c r="A104" s="552"/>
      <c r="B104" s="543" t="s">
        <v>1915</v>
      </c>
      <c r="C104" s="541"/>
      <c r="D104" s="541"/>
      <c r="E104" s="541"/>
      <c r="F104" s="541"/>
      <c r="G104" s="541"/>
      <c r="H104" s="541"/>
      <c r="I104" s="541"/>
      <c r="J104" s="541"/>
      <c r="K104" s="541"/>
      <c r="L104" s="541"/>
      <c r="M104" s="541"/>
      <c r="N104" s="542"/>
      <c r="O104" s="541"/>
      <c r="P104" s="541"/>
      <c r="Q104" s="541"/>
      <c r="R104" s="541">
        <v>10000</v>
      </c>
    </row>
    <row r="105" spans="1:18" ht="15" x14ac:dyDescent="0.25">
      <c r="A105" s="552">
        <v>44609</v>
      </c>
      <c r="B105" s="543" t="s">
        <v>1349</v>
      </c>
      <c r="C105" s="541"/>
      <c r="D105" s="541"/>
      <c r="E105" s="541"/>
      <c r="F105" s="541"/>
      <c r="G105" s="541"/>
      <c r="H105" s="541"/>
      <c r="I105" s="541"/>
      <c r="J105" s="541"/>
      <c r="K105" s="541">
        <v>51000</v>
      </c>
      <c r="L105" s="541"/>
      <c r="M105" s="541"/>
      <c r="N105" s="542"/>
      <c r="O105" s="541"/>
      <c r="P105" s="541"/>
      <c r="Q105" s="541"/>
      <c r="R105" s="541"/>
    </row>
    <row r="106" spans="1:18" ht="15" x14ac:dyDescent="0.25">
      <c r="A106" s="552">
        <v>44610</v>
      </c>
      <c r="B106" s="543" t="s">
        <v>1353</v>
      </c>
      <c r="C106" s="541"/>
      <c r="D106" s="541"/>
      <c r="E106" s="541"/>
      <c r="F106" s="541"/>
      <c r="G106" s="541"/>
      <c r="H106" s="541"/>
      <c r="I106" s="541">
        <v>1450000</v>
      </c>
      <c r="J106" s="541"/>
      <c r="K106" s="541"/>
      <c r="L106" s="541"/>
      <c r="M106" s="541"/>
      <c r="N106" s="542"/>
      <c r="O106" s="541"/>
      <c r="P106" s="541"/>
      <c r="Q106" s="541"/>
      <c r="R106" s="541"/>
    </row>
    <row r="107" spans="1:18" ht="15" x14ac:dyDescent="0.25">
      <c r="A107" s="552"/>
      <c r="B107" s="671" t="s">
        <v>1916</v>
      </c>
      <c r="C107" s="541"/>
      <c r="D107" s="541"/>
      <c r="E107" s="541"/>
      <c r="F107" s="541"/>
      <c r="G107" s="541"/>
      <c r="H107" s="541"/>
      <c r="I107" s="541"/>
      <c r="J107" s="541"/>
      <c r="K107" s="541"/>
      <c r="L107" s="541"/>
      <c r="M107" s="541"/>
      <c r="N107" s="542"/>
      <c r="O107" s="541"/>
      <c r="P107" s="541"/>
      <c r="Q107" s="541"/>
      <c r="R107" s="541"/>
    </row>
    <row r="108" spans="1:18" ht="15" x14ac:dyDescent="0.25">
      <c r="A108" s="552"/>
      <c r="B108" s="671" t="s">
        <v>1917</v>
      </c>
      <c r="C108" s="541"/>
      <c r="D108" s="541"/>
      <c r="E108" s="541"/>
      <c r="F108" s="541"/>
      <c r="G108" s="541"/>
      <c r="H108" s="541"/>
      <c r="I108" s="541"/>
      <c r="J108" s="541"/>
      <c r="K108" s="541"/>
      <c r="L108" s="541"/>
      <c r="M108" s="541"/>
      <c r="N108" s="542"/>
      <c r="O108" s="541"/>
      <c r="P108" s="541"/>
      <c r="Q108" s="541"/>
      <c r="R108" s="541"/>
    </row>
    <row r="109" spans="1:18" ht="15" x14ac:dyDescent="0.25">
      <c r="A109" s="552"/>
      <c r="B109" s="671" t="s">
        <v>1918</v>
      </c>
      <c r="C109" s="541"/>
      <c r="D109" s="541"/>
      <c r="E109" s="541"/>
      <c r="F109" s="541"/>
      <c r="G109" s="541"/>
      <c r="H109" s="541"/>
      <c r="I109" s="541"/>
      <c r="J109" s="541"/>
      <c r="K109" s="541"/>
      <c r="L109" s="541"/>
      <c r="M109" s="541"/>
      <c r="N109" s="542"/>
      <c r="O109" s="541"/>
      <c r="P109" s="541"/>
      <c r="Q109" s="541"/>
      <c r="R109" s="541"/>
    </row>
    <row r="110" spans="1:18" ht="28.5" x14ac:dyDescent="0.25">
      <c r="A110" s="552">
        <v>44611</v>
      </c>
      <c r="B110" s="543" t="s">
        <v>1440</v>
      </c>
      <c r="C110" s="541"/>
      <c r="D110" s="541"/>
      <c r="E110" s="541"/>
      <c r="F110" s="541"/>
      <c r="G110" s="541"/>
      <c r="H110" s="541"/>
      <c r="I110" s="541"/>
      <c r="J110" s="541"/>
      <c r="K110" s="541"/>
      <c r="L110" s="541"/>
      <c r="M110" s="541"/>
      <c r="N110" s="542"/>
      <c r="O110" s="541">
        <f>((110000*12)-(110000*2))+(110000*12)+(110000*12)+(110000*12)+((110000*12)-(110000*2))</f>
        <v>6160000</v>
      </c>
      <c r="P110" s="541"/>
      <c r="Q110" s="541"/>
      <c r="R110" s="541"/>
    </row>
    <row r="111" spans="1:18" ht="28.5" x14ac:dyDescent="0.25">
      <c r="A111" s="552"/>
      <c r="B111" s="662" t="s">
        <v>1444</v>
      </c>
      <c r="C111" s="541"/>
      <c r="D111" s="541"/>
      <c r="E111" s="541"/>
      <c r="F111" s="541"/>
      <c r="G111" s="541"/>
      <c r="H111" s="541"/>
      <c r="I111" s="541"/>
      <c r="J111" s="541"/>
      <c r="K111" s="541"/>
      <c r="L111" s="541"/>
      <c r="M111" s="541"/>
      <c r="N111" s="542"/>
      <c r="O111" s="541"/>
      <c r="P111" s="541">
        <f>(40000*8)+30000</f>
        <v>350000</v>
      </c>
      <c r="Q111" s="541"/>
      <c r="R111" s="541"/>
    </row>
    <row r="112" spans="1:18" ht="15" x14ac:dyDescent="0.25">
      <c r="A112" s="552">
        <v>44614</v>
      </c>
      <c r="B112" s="675" t="s">
        <v>1351</v>
      </c>
      <c r="C112" s="541"/>
      <c r="D112" s="541"/>
      <c r="E112" s="541"/>
      <c r="F112" s="541"/>
      <c r="G112" s="541"/>
      <c r="H112" s="541"/>
      <c r="I112" s="541"/>
      <c r="J112" s="541">
        <v>502500</v>
      </c>
      <c r="K112" s="541"/>
      <c r="L112" s="541"/>
      <c r="M112" s="541"/>
      <c r="N112" s="542"/>
      <c r="O112" s="541"/>
      <c r="P112" s="541"/>
      <c r="Q112" s="541"/>
      <c r="R112" s="541"/>
    </row>
    <row r="113" spans="1:18" ht="15" x14ac:dyDescent="0.25">
      <c r="A113" s="552"/>
      <c r="B113" s="675" t="s">
        <v>1919</v>
      </c>
      <c r="C113" s="541"/>
      <c r="D113" s="541">
        <v>70000</v>
      </c>
      <c r="E113" s="541"/>
      <c r="F113" s="541"/>
      <c r="G113" s="541"/>
      <c r="H113" s="541"/>
      <c r="I113" s="541"/>
      <c r="J113" s="541"/>
      <c r="K113" s="541"/>
      <c r="L113" s="541"/>
      <c r="M113" s="541"/>
      <c r="N113" s="542"/>
      <c r="O113" s="541"/>
      <c r="P113" s="541"/>
      <c r="Q113" s="541"/>
      <c r="R113" s="541"/>
    </row>
    <row r="114" spans="1:18" ht="15" x14ac:dyDescent="0.25">
      <c r="A114" s="552">
        <v>44615</v>
      </c>
      <c r="B114" s="675" t="s">
        <v>1920</v>
      </c>
      <c r="C114" s="541"/>
      <c r="D114" s="541"/>
      <c r="E114" s="541"/>
      <c r="F114" s="541"/>
      <c r="G114" s="541"/>
      <c r="H114" s="541"/>
      <c r="I114" s="541">
        <v>700000</v>
      </c>
      <c r="J114" s="541"/>
      <c r="K114" s="541"/>
      <c r="L114" s="541"/>
      <c r="M114" s="541"/>
      <c r="N114" s="542"/>
      <c r="O114" s="541"/>
      <c r="P114" s="541"/>
      <c r="Q114" s="541"/>
      <c r="R114" s="541"/>
    </row>
    <row r="115" spans="1:18" ht="15" x14ac:dyDescent="0.25">
      <c r="A115" s="552"/>
      <c r="B115" s="675" t="s">
        <v>1337</v>
      </c>
      <c r="C115" s="541"/>
      <c r="D115" s="541"/>
      <c r="E115" s="541">
        <v>27000</v>
      </c>
      <c r="F115" s="541"/>
      <c r="G115" s="541"/>
      <c r="H115" s="541"/>
      <c r="I115" s="541"/>
      <c r="J115" s="541"/>
      <c r="K115" s="541"/>
      <c r="L115" s="541"/>
      <c r="M115" s="541"/>
      <c r="N115" s="542"/>
      <c r="O115" s="541"/>
      <c r="P115" s="541"/>
      <c r="Q115" s="541"/>
      <c r="R115" s="541"/>
    </row>
    <row r="116" spans="1:18" ht="15" x14ac:dyDescent="0.25">
      <c r="A116" s="552"/>
      <c r="B116" s="675" t="s">
        <v>1338</v>
      </c>
      <c r="C116" s="541"/>
      <c r="D116" s="541"/>
      <c r="E116" s="541"/>
      <c r="F116" s="541"/>
      <c r="G116" s="541"/>
      <c r="H116" s="541">
        <v>187000</v>
      </c>
      <c r="I116" s="541"/>
      <c r="J116" s="541"/>
      <c r="K116" s="541"/>
      <c r="L116" s="541"/>
      <c r="M116" s="541"/>
      <c r="N116" s="542"/>
      <c r="O116" s="541"/>
      <c r="P116" s="541"/>
      <c r="Q116" s="541"/>
      <c r="R116" s="541"/>
    </row>
    <row r="117" spans="1:18" ht="15" x14ac:dyDescent="0.25">
      <c r="A117" s="552">
        <v>44616</v>
      </c>
      <c r="B117" s="675" t="s">
        <v>1351</v>
      </c>
      <c r="C117" s="541"/>
      <c r="D117" s="541"/>
      <c r="E117" s="541"/>
      <c r="F117" s="541"/>
      <c r="G117" s="541"/>
      <c r="H117" s="541"/>
      <c r="I117" s="541"/>
      <c r="J117" s="541">
        <v>502500</v>
      </c>
      <c r="K117" s="541"/>
      <c r="L117" s="541"/>
      <c r="M117" s="541"/>
      <c r="N117" s="542"/>
      <c r="O117" s="541"/>
      <c r="P117" s="541"/>
      <c r="Q117" s="541"/>
      <c r="R117" s="541"/>
    </row>
    <row r="118" spans="1:18" ht="15" x14ac:dyDescent="0.25">
      <c r="A118" s="552"/>
      <c r="B118" s="675" t="s">
        <v>1921</v>
      </c>
      <c r="C118" s="541"/>
      <c r="D118" s="541"/>
      <c r="E118" s="541"/>
      <c r="F118" s="541">
        <v>158000</v>
      </c>
      <c r="G118" s="541"/>
      <c r="H118" s="541">
        <v>150000</v>
      </c>
      <c r="I118" s="541"/>
      <c r="J118" s="541"/>
      <c r="K118" s="541"/>
      <c r="L118" s="541"/>
      <c r="M118" s="541"/>
      <c r="N118" s="542"/>
      <c r="O118" s="541"/>
      <c r="P118" s="541"/>
      <c r="Q118" s="541"/>
      <c r="R118" s="541"/>
    </row>
    <row r="119" spans="1:18" ht="15" x14ac:dyDescent="0.25">
      <c r="A119" s="552">
        <v>44617</v>
      </c>
      <c r="B119" s="675" t="s">
        <v>1922</v>
      </c>
      <c r="C119" s="541"/>
      <c r="D119" s="541"/>
      <c r="E119" s="541">
        <v>15000</v>
      </c>
      <c r="F119" s="541"/>
      <c r="G119" s="541"/>
      <c r="H119" s="541"/>
      <c r="I119" s="541"/>
      <c r="J119" s="541"/>
      <c r="K119" s="541"/>
      <c r="L119" s="541"/>
      <c r="M119" s="541"/>
      <c r="N119" s="542"/>
      <c r="O119" s="541"/>
      <c r="P119" s="541"/>
      <c r="Q119" s="541"/>
      <c r="R119" s="541"/>
    </row>
    <row r="120" spans="1:18" ht="15" x14ac:dyDescent="0.25">
      <c r="A120" s="552">
        <v>44618</v>
      </c>
      <c r="B120" s="675" t="s">
        <v>1347</v>
      </c>
      <c r="C120" s="541"/>
      <c r="D120" s="541"/>
      <c r="E120" s="541"/>
      <c r="F120" s="541"/>
      <c r="G120" s="541"/>
      <c r="H120" s="541">
        <v>150000</v>
      </c>
      <c r="I120" s="541"/>
      <c r="J120" s="541"/>
      <c r="K120" s="541"/>
      <c r="L120" s="541"/>
      <c r="M120" s="541"/>
      <c r="N120" s="542"/>
      <c r="O120" s="541"/>
      <c r="P120" s="541"/>
      <c r="Q120" s="541"/>
      <c r="R120" s="541"/>
    </row>
    <row r="121" spans="1:18" ht="15" x14ac:dyDescent="0.25">
      <c r="A121" s="552"/>
      <c r="B121" s="675" t="s">
        <v>1333</v>
      </c>
      <c r="C121" s="541"/>
      <c r="D121" s="541"/>
      <c r="E121" s="541"/>
      <c r="F121" s="541"/>
      <c r="G121" s="541"/>
      <c r="H121" s="541">
        <v>150000</v>
      </c>
      <c r="I121" s="541"/>
      <c r="J121" s="541"/>
      <c r="K121" s="541"/>
      <c r="L121" s="541"/>
      <c r="M121" s="541"/>
      <c r="N121" s="542"/>
      <c r="O121" s="541"/>
      <c r="P121" s="541"/>
      <c r="Q121" s="541"/>
      <c r="R121" s="541"/>
    </row>
    <row r="122" spans="1:18" ht="15" x14ac:dyDescent="0.25">
      <c r="A122" s="552">
        <v>44618</v>
      </c>
      <c r="B122" s="543" t="s">
        <v>733</v>
      </c>
      <c r="C122" s="541"/>
      <c r="D122" s="541"/>
      <c r="E122" s="541"/>
      <c r="F122" s="541"/>
      <c r="G122" s="541"/>
      <c r="H122" s="541"/>
      <c r="I122" s="541"/>
      <c r="J122" s="541"/>
      <c r="K122" s="541"/>
      <c r="L122" s="541"/>
      <c r="M122" s="541"/>
      <c r="N122" s="542"/>
      <c r="O122" s="554">
        <v>24500000</v>
      </c>
      <c r="P122" s="541"/>
      <c r="Q122" s="541"/>
      <c r="R122" s="541"/>
    </row>
    <row r="123" spans="1:18" ht="15" x14ac:dyDescent="0.25">
      <c r="A123" s="553"/>
      <c r="B123" s="543" t="s">
        <v>735</v>
      </c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>
        <v>6350000</v>
      </c>
      <c r="N123" s="555"/>
      <c r="O123" s="554"/>
      <c r="P123" s="554"/>
      <c r="Q123" s="554"/>
      <c r="R123" s="554"/>
    </row>
    <row r="124" spans="1:18" ht="15" x14ac:dyDescent="0.25">
      <c r="A124" s="553"/>
      <c r="B124" s="543" t="s">
        <v>734</v>
      </c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5"/>
      <c r="O124" s="554"/>
      <c r="P124" s="554">
        <v>1400000</v>
      </c>
      <c r="Q124" s="554"/>
      <c r="R124" s="554"/>
    </row>
    <row r="125" spans="1:18" ht="28.5" x14ac:dyDescent="0.25">
      <c r="A125" s="552"/>
      <c r="B125" s="662" t="s">
        <v>1445</v>
      </c>
      <c r="C125" s="541"/>
      <c r="D125" s="541"/>
      <c r="E125" s="541"/>
      <c r="F125" s="541"/>
      <c r="G125" s="541"/>
      <c r="H125" s="541"/>
      <c r="I125" s="541"/>
      <c r="J125" s="541"/>
      <c r="K125" s="541"/>
      <c r="L125" s="541"/>
      <c r="M125" s="541"/>
      <c r="N125" s="542"/>
      <c r="O125" s="541"/>
      <c r="P125" s="541">
        <f>(40000*10)+30000</f>
        <v>430000</v>
      </c>
      <c r="Q125" s="541"/>
      <c r="R125" s="541"/>
    </row>
    <row r="126" spans="1:18" ht="15" x14ac:dyDescent="0.25">
      <c r="A126" s="691"/>
      <c r="B126" s="675"/>
      <c r="C126" s="541"/>
      <c r="D126" s="541"/>
      <c r="E126" s="541"/>
      <c r="F126" s="541"/>
      <c r="G126" s="541"/>
      <c r="H126" s="541"/>
      <c r="I126" s="541"/>
      <c r="J126" s="541"/>
      <c r="K126" s="541"/>
      <c r="L126" s="541"/>
      <c r="M126" s="541"/>
      <c r="N126" s="542"/>
      <c r="O126" s="541"/>
      <c r="P126" s="541"/>
      <c r="Q126" s="541"/>
      <c r="R126" s="541"/>
    </row>
    <row r="127" spans="1:18" ht="16.5" x14ac:dyDescent="0.25">
      <c r="A127" s="566"/>
      <c r="B127" s="567" t="s">
        <v>38</v>
      </c>
      <c r="C127" s="568">
        <f t="shared" ref="C127:R127" si="2">SUM(C66:C126)</f>
        <v>115200</v>
      </c>
      <c r="D127" s="568">
        <f t="shared" si="2"/>
        <v>70000</v>
      </c>
      <c r="E127" s="568">
        <f t="shared" si="2"/>
        <v>107000</v>
      </c>
      <c r="F127" s="568">
        <f t="shared" si="2"/>
        <v>4830000</v>
      </c>
      <c r="G127" s="568">
        <f t="shared" si="2"/>
        <v>450000</v>
      </c>
      <c r="H127" s="568">
        <f t="shared" si="2"/>
        <v>1367000</v>
      </c>
      <c r="I127" s="568">
        <f t="shared" si="2"/>
        <v>3587500</v>
      </c>
      <c r="J127" s="568">
        <f t="shared" si="2"/>
        <v>1005000</v>
      </c>
      <c r="K127" s="568">
        <f t="shared" si="2"/>
        <v>444537</v>
      </c>
      <c r="L127" s="568">
        <f t="shared" si="2"/>
        <v>14658500</v>
      </c>
      <c r="M127" s="568">
        <f t="shared" si="2"/>
        <v>6350000</v>
      </c>
      <c r="N127" s="568">
        <f t="shared" si="2"/>
        <v>1646307</v>
      </c>
      <c r="O127" s="568">
        <f t="shared" si="2"/>
        <v>33410000</v>
      </c>
      <c r="P127" s="568">
        <f t="shared" si="2"/>
        <v>2890000</v>
      </c>
      <c r="Q127" s="568">
        <f t="shared" ref="Q127" si="3">SUM(Q66:Q126)</f>
        <v>0</v>
      </c>
      <c r="R127" s="568">
        <f t="shared" si="2"/>
        <v>10000</v>
      </c>
    </row>
    <row r="128" spans="1:18" ht="16.5" x14ac:dyDescent="0.25">
      <c r="A128" s="561" t="s">
        <v>412</v>
      </c>
      <c r="B128" s="562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4"/>
      <c r="O128" s="563"/>
      <c r="P128" s="563"/>
      <c r="Q128" s="565"/>
      <c r="R128" s="565"/>
    </row>
    <row r="129" spans="1:18" ht="15" x14ac:dyDescent="0.25">
      <c r="A129" s="552">
        <v>44621</v>
      </c>
      <c r="B129" s="543" t="s">
        <v>1334</v>
      </c>
      <c r="C129" s="541"/>
      <c r="D129" s="541"/>
      <c r="E129" s="541"/>
      <c r="F129" s="541"/>
      <c r="G129" s="541"/>
      <c r="H129" s="541"/>
      <c r="I129" s="541"/>
      <c r="J129" s="541"/>
      <c r="K129" s="541"/>
      <c r="L129" s="541"/>
      <c r="M129" s="541"/>
      <c r="N129" s="542">
        <v>1492307</v>
      </c>
      <c r="O129" s="541"/>
      <c r="P129" s="541"/>
      <c r="Q129" s="541"/>
      <c r="R129" s="541"/>
    </row>
    <row r="130" spans="1:18" ht="15" x14ac:dyDescent="0.25">
      <c r="A130" s="551"/>
      <c r="B130" s="540" t="s">
        <v>1330</v>
      </c>
      <c r="C130" s="541">
        <v>56500</v>
      </c>
      <c r="D130" s="541"/>
      <c r="E130" s="541"/>
      <c r="F130" s="541"/>
      <c r="G130" s="541"/>
      <c r="H130" s="541"/>
      <c r="I130" s="541"/>
      <c r="J130" s="541"/>
      <c r="K130" s="541"/>
      <c r="L130" s="541"/>
      <c r="M130" s="541"/>
      <c r="N130" s="542"/>
      <c r="O130" s="541"/>
      <c r="P130" s="541"/>
      <c r="Q130" s="541"/>
      <c r="R130" s="541"/>
    </row>
    <row r="131" spans="1:18" ht="15" x14ac:dyDescent="0.25">
      <c r="A131" s="552">
        <v>44622</v>
      </c>
      <c r="B131" s="675" t="s">
        <v>2461</v>
      </c>
      <c r="C131" s="541"/>
      <c r="D131" s="541"/>
      <c r="E131" s="541"/>
      <c r="F131" s="541"/>
      <c r="G131" s="541"/>
      <c r="H131" s="541">
        <v>150000</v>
      </c>
      <c r="I131" s="541"/>
      <c r="J131" s="541"/>
      <c r="K131" s="541"/>
      <c r="L131" s="541"/>
      <c r="M131" s="541"/>
      <c r="N131" s="542"/>
      <c r="O131" s="541"/>
      <c r="P131" s="541"/>
      <c r="Q131" s="541"/>
      <c r="R131" s="541"/>
    </row>
    <row r="132" spans="1:18" ht="15" x14ac:dyDescent="0.25">
      <c r="A132" s="552"/>
      <c r="B132" s="675" t="s">
        <v>2462</v>
      </c>
      <c r="C132" s="541"/>
      <c r="D132" s="541"/>
      <c r="E132" s="541"/>
      <c r="F132" s="541"/>
      <c r="G132" s="541"/>
      <c r="H132" s="541"/>
      <c r="I132" s="541">
        <v>1895000</v>
      </c>
      <c r="J132" s="541"/>
      <c r="K132" s="541"/>
      <c r="L132" s="541"/>
      <c r="M132" s="541"/>
      <c r="N132" s="542"/>
      <c r="O132" s="541"/>
      <c r="P132" s="541"/>
      <c r="Q132" s="541"/>
      <c r="R132" s="541"/>
    </row>
    <row r="133" spans="1:18" ht="15" x14ac:dyDescent="0.25">
      <c r="A133" s="552">
        <v>44624</v>
      </c>
      <c r="B133" s="675" t="s">
        <v>1335</v>
      </c>
      <c r="C133" s="541"/>
      <c r="D133" s="541"/>
      <c r="E133" s="541"/>
      <c r="F133" s="541"/>
      <c r="G133" s="541"/>
      <c r="H133" s="541">
        <v>150000</v>
      </c>
      <c r="I133" s="541"/>
      <c r="J133" s="541"/>
      <c r="K133" s="541"/>
      <c r="L133" s="541"/>
      <c r="M133" s="541"/>
      <c r="N133" s="542"/>
      <c r="O133" s="541"/>
      <c r="P133" s="541"/>
      <c r="Q133" s="541"/>
      <c r="R133" s="541"/>
    </row>
    <row r="134" spans="1:18" ht="28.5" x14ac:dyDescent="0.25">
      <c r="A134" s="552">
        <v>44625</v>
      </c>
      <c r="B134" s="543" t="s">
        <v>1939</v>
      </c>
      <c r="C134" s="541"/>
      <c r="D134" s="541"/>
      <c r="E134" s="541"/>
      <c r="F134" s="541"/>
      <c r="G134" s="541"/>
      <c r="H134" s="541"/>
      <c r="I134" s="541"/>
      <c r="J134" s="541"/>
      <c r="K134" s="541"/>
      <c r="L134" s="541"/>
      <c r="M134" s="541"/>
      <c r="N134" s="542"/>
      <c r="O134" s="541">
        <f>(110000*10)*5</f>
        <v>5500000</v>
      </c>
      <c r="P134" s="541"/>
      <c r="Q134" s="541"/>
      <c r="R134" s="541"/>
    </row>
    <row r="135" spans="1:18" ht="28.5" x14ac:dyDescent="0.25">
      <c r="A135" s="552"/>
      <c r="B135" s="662" t="s">
        <v>1938</v>
      </c>
      <c r="C135" s="544"/>
      <c r="D135" s="544"/>
      <c r="E135" s="544"/>
      <c r="F135" s="544"/>
      <c r="G135" s="544"/>
      <c r="H135" s="544"/>
      <c r="I135" s="544"/>
      <c r="J135" s="544"/>
      <c r="K135" s="544"/>
      <c r="L135" s="544"/>
      <c r="M135" s="544"/>
      <c r="N135" s="545"/>
      <c r="O135" s="544"/>
      <c r="P135" s="541">
        <f>(40000*9)+30000</f>
        <v>390000</v>
      </c>
      <c r="Q135" s="544"/>
      <c r="R135" s="544"/>
    </row>
    <row r="136" spans="1:18" ht="15" x14ac:dyDescent="0.25">
      <c r="A136" s="552">
        <v>44627</v>
      </c>
      <c r="B136" s="543" t="s">
        <v>1341</v>
      </c>
      <c r="C136" s="544"/>
      <c r="D136" s="544"/>
      <c r="E136" s="544"/>
      <c r="F136" s="544"/>
      <c r="G136" s="544"/>
      <c r="H136" s="544">
        <v>90000</v>
      </c>
      <c r="I136" s="544"/>
      <c r="J136" s="544"/>
      <c r="K136" s="544"/>
      <c r="L136" s="544"/>
      <c r="M136" s="544"/>
      <c r="N136" s="545"/>
      <c r="O136" s="544"/>
      <c r="P136" s="544"/>
      <c r="Q136" s="544"/>
      <c r="R136" s="544"/>
    </row>
    <row r="137" spans="1:18" ht="15" x14ac:dyDescent="0.25">
      <c r="A137" s="552">
        <v>44628</v>
      </c>
      <c r="B137" s="543" t="s">
        <v>1908</v>
      </c>
      <c r="C137" s="541"/>
      <c r="D137" s="541"/>
      <c r="E137" s="541"/>
      <c r="F137" s="541"/>
      <c r="G137" s="541"/>
      <c r="H137" s="541"/>
      <c r="I137" s="541"/>
      <c r="J137" s="541"/>
      <c r="K137" s="541">
        <v>85580</v>
      </c>
      <c r="L137" s="541"/>
      <c r="M137" s="541"/>
      <c r="N137" s="542"/>
      <c r="O137" s="541"/>
      <c r="P137" s="541"/>
      <c r="Q137" s="541"/>
      <c r="R137" s="541"/>
    </row>
    <row r="138" spans="1:18" ht="15" x14ac:dyDescent="0.25">
      <c r="A138" s="552"/>
      <c r="B138" s="712" t="s">
        <v>1909</v>
      </c>
      <c r="C138" s="541"/>
      <c r="D138" s="541"/>
      <c r="E138" s="541"/>
      <c r="F138" s="541"/>
      <c r="G138" s="541"/>
      <c r="H138" s="541"/>
      <c r="I138" s="541"/>
      <c r="J138" s="541"/>
      <c r="K138" s="541">
        <v>286000</v>
      </c>
      <c r="L138" s="541"/>
      <c r="M138" s="541"/>
      <c r="N138" s="542"/>
      <c r="O138" s="541"/>
      <c r="P138" s="541"/>
      <c r="Q138" s="541"/>
      <c r="R138" s="541"/>
    </row>
    <row r="139" spans="1:18" ht="15" x14ac:dyDescent="0.25">
      <c r="A139" s="552"/>
      <c r="B139" s="543" t="s">
        <v>1330</v>
      </c>
      <c r="C139" s="544">
        <v>56000</v>
      </c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5"/>
      <c r="O139" s="544"/>
      <c r="P139" s="544"/>
      <c r="Q139" s="544"/>
      <c r="R139" s="544"/>
    </row>
    <row r="140" spans="1:18" ht="15" x14ac:dyDescent="0.25">
      <c r="A140" s="552"/>
      <c r="B140" s="662" t="s">
        <v>1337</v>
      </c>
      <c r="C140" s="541"/>
      <c r="D140" s="541"/>
      <c r="E140" s="541">
        <v>27000</v>
      </c>
      <c r="F140" s="541"/>
      <c r="G140" s="541"/>
      <c r="H140" s="541"/>
      <c r="I140" s="541"/>
      <c r="J140" s="541"/>
      <c r="K140" s="541"/>
      <c r="L140" s="541"/>
      <c r="M140" s="541"/>
      <c r="N140" s="542"/>
      <c r="O140" s="541"/>
      <c r="P140" s="541"/>
      <c r="Q140" s="541"/>
      <c r="R140" s="541"/>
    </row>
    <row r="141" spans="1:18" ht="15" x14ac:dyDescent="0.25">
      <c r="A141" s="552"/>
      <c r="B141" s="543" t="s">
        <v>1358</v>
      </c>
      <c r="C141" s="541"/>
      <c r="D141" s="541"/>
      <c r="E141" s="541"/>
      <c r="F141" s="541"/>
      <c r="G141" s="541"/>
      <c r="H141" s="541">
        <v>150000</v>
      </c>
      <c r="I141" s="541"/>
      <c r="J141" s="541"/>
      <c r="K141" s="541"/>
      <c r="L141" s="541"/>
      <c r="M141" s="541"/>
      <c r="N141" s="542"/>
      <c r="O141" s="541"/>
      <c r="P141" s="541"/>
      <c r="Q141" s="541"/>
      <c r="R141" s="541"/>
    </row>
    <row r="142" spans="1:18" ht="15" x14ac:dyDescent="0.25">
      <c r="A142" s="552">
        <v>44630</v>
      </c>
      <c r="B142" s="540" t="s">
        <v>1349</v>
      </c>
      <c r="C142" s="541"/>
      <c r="D142" s="541"/>
      <c r="E142" s="541"/>
      <c r="F142" s="541"/>
      <c r="G142" s="541"/>
      <c r="H142" s="541"/>
      <c r="I142" s="541"/>
      <c r="J142" s="541"/>
      <c r="K142" s="541">
        <v>51000</v>
      </c>
      <c r="L142" s="541"/>
      <c r="M142" s="541"/>
      <c r="N142" s="542"/>
      <c r="O142" s="541"/>
      <c r="P142" s="541"/>
      <c r="Q142" s="541"/>
      <c r="R142" s="541"/>
    </row>
    <row r="143" spans="1:18" ht="15" x14ac:dyDescent="0.25">
      <c r="A143" s="552"/>
      <c r="B143" s="543" t="s">
        <v>1353</v>
      </c>
      <c r="C143" s="541"/>
      <c r="D143" s="541"/>
      <c r="E143" s="541"/>
      <c r="F143" s="541"/>
      <c r="G143" s="541"/>
      <c r="H143" s="541"/>
      <c r="I143" s="541">
        <v>915000</v>
      </c>
      <c r="J143" s="541"/>
      <c r="K143" s="541"/>
      <c r="L143" s="541"/>
      <c r="M143" s="541"/>
      <c r="N143" s="542"/>
      <c r="O143" s="541"/>
      <c r="P143" s="541"/>
      <c r="Q143" s="541"/>
      <c r="R143" s="541"/>
    </row>
    <row r="144" spans="1:18" ht="15" x14ac:dyDescent="0.25">
      <c r="A144" s="552"/>
      <c r="B144" s="671" t="s">
        <v>2463</v>
      </c>
      <c r="C144" s="541"/>
      <c r="D144" s="541"/>
      <c r="E144" s="541"/>
      <c r="F144" s="541"/>
      <c r="G144" s="541"/>
      <c r="H144" s="541"/>
      <c r="I144" s="541"/>
      <c r="J144" s="541"/>
      <c r="K144" s="541"/>
      <c r="L144" s="541"/>
      <c r="M144" s="541"/>
      <c r="N144" s="542"/>
      <c r="O144" s="541"/>
      <c r="P144" s="541"/>
      <c r="Q144" s="541"/>
      <c r="R144" s="541"/>
    </row>
    <row r="145" spans="1:18" ht="15" x14ac:dyDescent="0.25">
      <c r="A145" s="552"/>
      <c r="B145" s="671" t="s">
        <v>2464</v>
      </c>
      <c r="C145" s="541"/>
      <c r="D145" s="541"/>
      <c r="E145" s="541"/>
      <c r="F145" s="541"/>
      <c r="G145" s="541"/>
      <c r="H145" s="541"/>
      <c r="I145" s="541"/>
      <c r="J145" s="541"/>
      <c r="K145" s="541"/>
      <c r="L145" s="541"/>
      <c r="M145" s="541"/>
      <c r="N145" s="542"/>
      <c r="O145" s="541"/>
      <c r="P145" s="541"/>
      <c r="Q145" s="541"/>
      <c r="R145" s="541"/>
    </row>
    <row r="146" spans="1:18" ht="15" x14ac:dyDescent="0.25">
      <c r="A146" s="552">
        <v>44631</v>
      </c>
      <c r="B146" s="540" t="s">
        <v>1346</v>
      </c>
      <c r="C146" s="541"/>
      <c r="D146" s="541"/>
      <c r="E146" s="541">
        <v>200000</v>
      </c>
      <c r="F146" s="541"/>
      <c r="G146" s="541"/>
      <c r="H146" s="541"/>
      <c r="I146" s="541"/>
      <c r="J146" s="541"/>
      <c r="K146" s="541"/>
      <c r="L146" s="541"/>
      <c r="M146" s="541"/>
      <c r="N146" s="542"/>
      <c r="O146" s="541"/>
      <c r="P146" s="541"/>
      <c r="Q146" s="541"/>
      <c r="R146" s="541"/>
    </row>
    <row r="147" spans="1:18" ht="15" x14ac:dyDescent="0.25">
      <c r="A147" s="552"/>
      <c r="B147" s="540" t="s">
        <v>1336</v>
      </c>
      <c r="C147" s="541"/>
      <c r="D147" s="541"/>
      <c r="E147" s="541"/>
      <c r="F147" s="541">
        <v>2150000</v>
      </c>
      <c r="G147" s="541"/>
      <c r="H147" s="541"/>
      <c r="I147" s="541"/>
      <c r="J147" s="541"/>
      <c r="K147" s="541"/>
      <c r="L147" s="541"/>
      <c r="M147" s="541"/>
      <c r="N147" s="542"/>
      <c r="O147" s="541"/>
      <c r="P147" s="541"/>
      <c r="Q147" s="541"/>
      <c r="R147" s="541"/>
    </row>
    <row r="148" spans="1:18" ht="28.5" x14ac:dyDescent="0.25">
      <c r="A148" s="552">
        <v>44632</v>
      </c>
      <c r="B148" s="662" t="s">
        <v>1940</v>
      </c>
      <c r="C148" s="541"/>
      <c r="D148" s="541"/>
      <c r="E148" s="541"/>
      <c r="F148" s="541"/>
      <c r="G148" s="541"/>
      <c r="H148" s="541"/>
      <c r="I148" s="541"/>
      <c r="J148" s="541"/>
      <c r="K148" s="541"/>
      <c r="L148" s="541"/>
      <c r="M148" s="541"/>
      <c r="N148" s="542"/>
      <c r="O148" s="541"/>
      <c r="P148" s="541">
        <f>(40000*9)+30000</f>
        <v>390000</v>
      </c>
      <c r="Q148" s="541"/>
      <c r="R148" s="541"/>
    </row>
    <row r="149" spans="1:18" ht="15" x14ac:dyDescent="0.25">
      <c r="A149" s="552">
        <v>44634</v>
      </c>
      <c r="B149" s="543" t="s">
        <v>1330</v>
      </c>
      <c r="C149" s="541">
        <v>46500</v>
      </c>
      <c r="D149" s="541"/>
      <c r="E149" s="541"/>
      <c r="F149" s="541"/>
      <c r="G149" s="541"/>
      <c r="H149" s="541"/>
      <c r="I149" s="541"/>
      <c r="J149" s="541"/>
      <c r="K149" s="541"/>
      <c r="L149" s="541"/>
      <c r="M149" s="541"/>
      <c r="N149" s="542"/>
      <c r="O149" s="541"/>
      <c r="P149" s="541"/>
      <c r="Q149" s="541"/>
      <c r="R149" s="541"/>
    </row>
    <row r="150" spans="1:18" ht="15" x14ac:dyDescent="0.25">
      <c r="A150" s="552"/>
      <c r="B150" s="543" t="s">
        <v>1333</v>
      </c>
      <c r="C150" s="541"/>
      <c r="D150" s="541"/>
      <c r="E150" s="541"/>
      <c r="F150" s="541"/>
      <c r="G150" s="541"/>
      <c r="H150" s="541">
        <v>200000</v>
      </c>
      <c r="I150" s="541"/>
      <c r="J150" s="541"/>
      <c r="K150" s="541"/>
      <c r="L150" s="541"/>
      <c r="M150" s="541"/>
      <c r="N150" s="542"/>
      <c r="O150" s="541"/>
      <c r="P150" s="541"/>
      <c r="Q150" s="541"/>
      <c r="R150" s="541"/>
    </row>
    <row r="151" spans="1:18" ht="15" x14ac:dyDescent="0.25">
      <c r="A151" s="552">
        <v>44635</v>
      </c>
      <c r="B151" s="540" t="s">
        <v>1914</v>
      </c>
      <c r="C151" s="541"/>
      <c r="D151" s="541"/>
      <c r="E151" s="541"/>
      <c r="F151" s="541"/>
      <c r="G151" s="541">
        <v>200000</v>
      </c>
      <c r="H151" s="541"/>
      <c r="I151" s="541"/>
      <c r="J151" s="541"/>
      <c r="K151" s="541"/>
      <c r="L151" s="541"/>
      <c r="M151" s="541"/>
      <c r="N151" s="542"/>
      <c r="O151" s="541"/>
      <c r="P151" s="541"/>
      <c r="Q151" s="541"/>
      <c r="R151" s="541"/>
    </row>
    <row r="152" spans="1:18" ht="15" x14ac:dyDescent="0.25">
      <c r="A152" s="552"/>
      <c r="B152" s="661" t="s">
        <v>1342</v>
      </c>
      <c r="C152" s="541"/>
      <c r="D152" s="541"/>
      <c r="E152" s="541"/>
      <c r="F152" s="541">
        <v>658500</v>
      </c>
      <c r="G152" s="541"/>
      <c r="H152" s="541"/>
      <c r="I152" s="541"/>
      <c r="J152" s="541"/>
      <c r="K152" s="541"/>
      <c r="L152" s="541"/>
      <c r="M152" s="541"/>
      <c r="N152" s="542"/>
      <c r="O152" s="541"/>
      <c r="P152" s="541"/>
      <c r="Q152" s="541"/>
      <c r="R152" s="541"/>
    </row>
    <row r="153" spans="1:18" ht="15" x14ac:dyDescent="0.25">
      <c r="A153" s="552">
        <v>44637</v>
      </c>
      <c r="B153" s="543" t="s">
        <v>1337</v>
      </c>
      <c r="C153" s="541"/>
      <c r="D153" s="541"/>
      <c r="E153" s="541">
        <v>27000</v>
      </c>
      <c r="F153" s="541"/>
      <c r="G153" s="541"/>
      <c r="H153" s="541"/>
      <c r="I153" s="541"/>
      <c r="J153" s="541"/>
      <c r="K153" s="541"/>
      <c r="L153" s="541"/>
      <c r="M153" s="541"/>
      <c r="N153" s="542"/>
      <c r="O153" s="541"/>
      <c r="P153" s="541"/>
      <c r="Q153" s="541"/>
      <c r="R153" s="541"/>
    </row>
    <row r="154" spans="1:18" ht="15" x14ac:dyDescent="0.25">
      <c r="A154" s="552"/>
      <c r="B154" s="675" t="s">
        <v>2465</v>
      </c>
      <c r="C154" s="541">
        <v>435000</v>
      </c>
      <c r="D154" s="541"/>
      <c r="E154" s="541"/>
      <c r="F154" s="541"/>
      <c r="G154" s="541"/>
      <c r="H154" s="541"/>
      <c r="I154" s="541"/>
      <c r="J154" s="541"/>
      <c r="K154" s="541"/>
      <c r="L154" s="541"/>
      <c r="M154" s="541"/>
      <c r="N154" s="542"/>
      <c r="O154" s="541"/>
      <c r="P154" s="541"/>
      <c r="Q154" s="541"/>
      <c r="R154" s="541"/>
    </row>
    <row r="155" spans="1:18" ht="15" x14ac:dyDescent="0.25">
      <c r="A155" s="552"/>
      <c r="B155" s="675" t="s">
        <v>2466</v>
      </c>
      <c r="C155" s="541"/>
      <c r="D155" s="541"/>
      <c r="E155" s="541"/>
      <c r="F155" s="541"/>
      <c r="G155" s="541"/>
      <c r="H155" s="541"/>
      <c r="I155" s="541">
        <v>250000</v>
      </c>
      <c r="J155" s="541"/>
      <c r="K155" s="541"/>
      <c r="L155" s="541"/>
      <c r="M155" s="541"/>
      <c r="N155" s="542"/>
      <c r="O155" s="541"/>
      <c r="P155" s="541"/>
      <c r="Q155" s="541"/>
      <c r="R155" s="541"/>
    </row>
    <row r="156" spans="1:18" ht="28.5" x14ac:dyDescent="0.25">
      <c r="A156" s="552">
        <v>44639</v>
      </c>
      <c r="B156" s="543" t="s">
        <v>1941</v>
      </c>
      <c r="C156" s="541"/>
      <c r="D156" s="541"/>
      <c r="E156" s="541"/>
      <c r="F156" s="541"/>
      <c r="G156" s="541"/>
      <c r="H156" s="541"/>
      <c r="I156" s="541"/>
      <c r="J156" s="541"/>
      <c r="K156" s="541"/>
      <c r="L156" s="541"/>
      <c r="M156" s="541"/>
      <c r="N156" s="542"/>
      <c r="O156" s="541">
        <f>(110000*12)*5</f>
        <v>6600000</v>
      </c>
      <c r="P156" s="541"/>
      <c r="Q156" s="541"/>
      <c r="R156" s="541"/>
    </row>
    <row r="157" spans="1:18" ht="28.5" x14ac:dyDescent="0.25">
      <c r="A157" s="552"/>
      <c r="B157" s="662" t="s">
        <v>1942</v>
      </c>
      <c r="C157" s="541"/>
      <c r="D157" s="541"/>
      <c r="E157" s="541"/>
      <c r="F157" s="541"/>
      <c r="G157" s="541"/>
      <c r="H157" s="541"/>
      <c r="I157" s="541"/>
      <c r="J157" s="541"/>
      <c r="K157" s="541"/>
      <c r="L157" s="541"/>
      <c r="M157" s="541"/>
      <c r="N157" s="542"/>
      <c r="O157" s="541"/>
      <c r="P157" s="541">
        <f>(40000*10)+30000</f>
        <v>430000</v>
      </c>
      <c r="Q157" s="541"/>
      <c r="R157" s="541"/>
    </row>
    <row r="158" spans="1:18" ht="15" x14ac:dyDescent="0.25">
      <c r="A158" s="552"/>
      <c r="B158" s="675" t="s">
        <v>1336</v>
      </c>
      <c r="C158" s="541"/>
      <c r="D158" s="541"/>
      <c r="E158" s="541"/>
      <c r="F158" s="541">
        <v>5625000</v>
      </c>
      <c r="G158" s="541"/>
      <c r="H158" s="541"/>
      <c r="I158" s="541"/>
      <c r="J158" s="541"/>
      <c r="K158" s="541"/>
      <c r="L158" s="541"/>
      <c r="M158" s="541"/>
      <c r="N158" s="542"/>
      <c r="O158" s="541"/>
      <c r="P158" s="541"/>
      <c r="Q158" s="541"/>
      <c r="R158" s="541"/>
    </row>
    <row r="159" spans="1:18" ht="15" x14ac:dyDescent="0.25">
      <c r="A159" s="552"/>
      <c r="B159" s="685" t="s">
        <v>2613</v>
      </c>
      <c r="C159" s="541"/>
      <c r="D159" s="541"/>
      <c r="E159" s="541"/>
      <c r="F159" s="541"/>
      <c r="G159" s="541"/>
      <c r="H159" s="541"/>
      <c r="I159" s="541"/>
      <c r="J159" s="541"/>
      <c r="K159" s="541"/>
      <c r="L159" s="541">
        <f>2771000/2</f>
        <v>1385500</v>
      </c>
      <c r="M159" s="541"/>
      <c r="N159" s="542"/>
      <c r="O159" s="541"/>
      <c r="P159" s="541"/>
      <c r="Q159" s="541"/>
      <c r="R159" s="541"/>
    </row>
    <row r="160" spans="1:18" ht="15" x14ac:dyDescent="0.25">
      <c r="A160" s="552"/>
      <c r="B160" s="685" t="s">
        <v>2614</v>
      </c>
      <c r="C160" s="541"/>
      <c r="D160" s="541"/>
      <c r="E160" s="541"/>
      <c r="F160" s="541"/>
      <c r="G160" s="541"/>
      <c r="H160" s="541"/>
      <c r="I160" s="541"/>
      <c r="J160" s="541"/>
      <c r="K160" s="541"/>
      <c r="L160" s="541">
        <f>2835000/2</f>
        <v>1417500</v>
      </c>
      <c r="M160" s="541"/>
      <c r="N160" s="542"/>
      <c r="O160" s="541"/>
      <c r="P160" s="541"/>
      <c r="Q160" s="541"/>
      <c r="R160" s="541"/>
    </row>
    <row r="161" spans="1:18" ht="15" x14ac:dyDescent="0.25">
      <c r="A161" s="552"/>
      <c r="B161" s="685" t="s">
        <v>2615</v>
      </c>
      <c r="C161" s="541"/>
      <c r="D161" s="541"/>
      <c r="E161" s="541"/>
      <c r="F161" s="541"/>
      <c r="G161" s="541"/>
      <c r="H161" s="541"/>
      <c r="I161" s="541"/>
      <c r="J161" s="541"/>
      <c r="K161" s="541"/>
      <c r="L161" s="541">
        <f>2475000/2</f>
        <v>1237500</v>
      </c>
      <c r="M161" s="541"/>
      <c r="N161" s="542"/>
      <c r="O161" s="541"/>
      <c r="P161" s="541"/>
      <c r="Q161" s="541"/>
      <c r="R161" s="541"/>
    </row>
    <row r="162" spans="1:18" ht="15" x14ac:dyDescent="0.25">
      <c r="A162" s="552"/>
      <c r="B162" s="685" t="s">
        <v>2616</v>
      </c>
      <c r="C162" s="541"/>
      <c r="D162" s="541"/>
      <c r="E162" s="541"/>
      <c r="F162" s="541"/>
      <c r="G162" s="541"/>
      <c r="H162" s="541"/>
      <c r="I162" s="541"/>
      <c r="J162" s="541"/>
      <c r="K162" s="541"/>
      <c r="L162" s="541">
        <f>3543000/2</f>
        <v>1771500</v>
      </c>
      <c r="M162" s="541"/>
      <c r="N162" s="542"/>
      <c r="O162" s="541"/>
      <c r="P162" s="541"/>
      <c r="Q162" s="541"/>
      <c r="R162" s="541"/>
    </row>
    <row r="163" spans="1:18" ht="15" x14ac:dyDescent="0.25">
      <c r="A163" s="552"/>
      <c r="B163" s="685" t="s">
        <v>2617</v>
      </c>
      <c r="C163" s="541"/>
      <c r="D163" s="541"/>
      <c r="E163" s="541"/>
      <c r="F163" s="541"/>
      <c r="G163" s="541"/>
      <c r="H163" s="541"/>
      <c r="I163" s="541"/>
      <c r="J163" s="541"/>
      <c r="K163" s="541"/>
      <c r="L163" s="541">
        <f>2815000/2</f>
        <v>1407500</v>
      </c>
      <c r="M163" s="541"/>
      <c r="N163" s="542"/>
      <c r="O163" s="541"/>
      <c r="P163" s="541"/>
      <c r="Q163" s="541"/>
      <c r="R163" s="541"/>
    </row>
    <row r="164" spans="1:18" ht="15" x14ac:dyDescent="0.25">
      <c r="A164" s="552">
        <v>44641</v>
      </c>
      <c r="B164" s="675" t="s">
        <v>1330</v>
      </c>
      <c r="C164" s="541">
        <v>56500</v>
      </c>
      <c r="D164" s="541"/>
      <c r="E164" s="541"/>
      <c r="F164" s="541"/>
      <c r="G164" s="541"/>
      <c r="H164" s="541"/>
      <c r="I164" s="541"/>
      <c r="J164" s="541"/>
      <c r="K164" s="541"/>
      <c r="L164" s="541"/>
      <c r="M164" s="541"/>
      <c r="N164" s="542"/>
      <c r="O164" s="541"/>
      <c r="P164" s="541"/>
      <c r="Q164" s="541"/>
      <c r="R164" s="541"/>
    </row>
    <row r="165" spans="1:18" ht="15" x14ac:dyDescent="0.25">
      <c r="A165" s="552"/>
      <c r="B165" s="675" t="s">
        <v>1344</v>
      </c>
      <c r="C165" s="541"/>
      <c r="D165" s="541"/>
      <c r="E165" s="541"/>
      <c r="F165" s="541"/>
      <c r="G165" s="541"/>
      <c r="H165" s="541"/>
      <c r="I165" s="541"/>
      <c r="J165" s="541"/>
      <c r="K165" s="541"/>
      <c r="L165" s="541"/>
      <c r="M165" s="541"/>
      <c r="N165" s="542">
        <v>14220</v>
      </c>
      <c r="O165" s="541"/>
      <c r="P165" s="541"/>
      <c r="Q165" s="541"/>
      <c r="R165" s="541"/>
    </row>
    <row r="166" spans="1:18" ht="15" x14ac:dyDescent="0.25">
      <c r="A166" s="552">
        <v>44643</v>
      </c>
      <c r="B166" s="675" t="s">
        <v>1351</v>
      </c>
      <c r="C166" s="541"/>
      <c r="D166" s="541"/>
      <c r="E166" s="541"/>
      <c r="F166" s="541"/>
      <c r="G166" s="541"/>
      <c r="H166" s="541"/>
      <c r="I166" s="541"/>
      <c r="J166" s="541">
        <v>502500</v>
      </c>
      <c r="K166" s="541"/>
      <c r="L166" s="541"/>
      <c r="M166" s="541"/>
      <c r="N166" s="542"/>
      <c r="O166" s="541"/>
      <c r="P166" s="541"/>
      <c r="Q166" s="541"/>
      <c r="R166" s="541"/>
    </row>
    <row r="167" spans="1:18" ht="15" x14ac:dyDescent="0.25">
      <c r="A167" s="552">
        <v>44644</v>
      </c>
      <c r="B167" s="543" t="s">
        <v>1337</v>
      </c>
      <c r="C167" s="544"/>
      <c r="D167" s="544"/>
      <c r="E167" s="544">
        <v>31500</v>
      </c>
      <c r="F167" s="544"/>
      <c r="G167" s="544"/>
      <c r="H167" s="544"/>
      <c r="I167" s="544"/>
      <c r="J167" s="544"/>
      <c r="K167" s="544"/>
      <c r="L167" s="544"/>
      <c r="M167" s="544"/>
      <c r="N167" s="545"/>
      <c r="O167" s="544"/>
      <c r="P167" s="544"/>
      <c r="Q167" s="544"/>
      <c r="R167" s="544"/>
    </row>
    <row r="168" spans="1:18" ht="15" x14ac:dyDescent="0.25">
      <c r="A168" s="552">
        <v>44645</v>
      </c>
      <c r="B168" s="546" t="s">
        <v>1346</v>
      </c>
      <c r="C168" s="544"/>
      <c r="D168" s="544"/>
      <c r="E168" s="544">
        <v>200000</v>
      </c>
      <c r="F168" s="544"/>
      <c r="G168" s="544"/>
      <c r="H168" s="544"/>
      <c r="I168" s="544"/>
      <c r="J168" s="544"/>
      <c r="K168" s="544"/>
      <c r="L168" s="544"/>
      <c r="M168" s="544"/>
      <c r="N168" s="545"/>
      <c r="O168" s="544"/>
      <c r="P168" s="544"/>
      <c r="Q168" s="544"/>
      <c r="R168" s="544"/>
    </row>
    <row r="169" spans="1:18" ht="28.5" x14ac:dyDescent="0.25">
      <c r="A169" s="552">
        <v>44646</v>
      </c>
      <c r="B169" s="662" t="s">
        <v>1943</v>
      </c>
      <c r="C169" s="544"/>
      <c r="D169" s="544"/>
      <c r="E169" s="544"/>
      <c r="F169" s="544"/>
      <c r="G169" s="544"/>
      <c r="H169" s="544"/>
      <c r="I169" s="544"/>
      <c r="J169" s="544"/>
      <c r="K169" s="544"/>
      <c r="L169" s="544"/>
      <c r="M169" s="544"/>
      <c r="N169" s="545"/>
      <c r="O169" s="544"/>
      <c r="P169" s="541">
        <f>(40000*7)+30000</f>
        <v>310000</v>
      </c>
      <c r="Q169" s="544"/>
      <c r="R169" s="544"/>
    </row>
    <row r="170" spans="1:18" ht="15" x14ac:dyDescent="0.25">
      <c r="A170" s="552"/>
      <c r="B170" s="714" t="s">
        <v>2467</v>
      </c>
      <c r="C170" s="544"/>
      <c r="D170" s="544"/>
      <c r="E170" s="544"/>
      <c r="F170" s="544"/>
      <c r="G170" s="544"/>
      <c r="H170" s="544">
        <v>35000</v>
      </c>
      <c r="I170" s="544"/>
      <c r="J170" s="544"/>
      <c r="K170" s="544"/>
      <c r="L170" s="544"/>
      <c r="M170" s="544"/>
      <c r="N170" s="545"/>
      <c r="O170" s="544"/>
      <c r="P170" s="544"/>
      <c r="Q170" s="544"/>
      <c r="R170" s="544"/>
    </row>
    <row r="171" spans="1:18" ht="15" x14ac:dyDescent="0.25">
      <c r="A171" s="552">
        <v>44648</v>
      </c>
      <c r="B171" s="543" t="s">
        <v>1330</v>
      </c>
      <c r="C171" s="544">
        <v>67000</v>
      </c>
      <c r="D171" s="544"/>
      <c r="E171" s="544"/>
      <c r="F171" s="544"/>
      <c r="G171" s="544"/>
      <c r="H171" s="544"/>
      <c r="I171" s="544"/>
      <c r="J171" s="544"/>
      <c r="K171" s="544"/>
      <c r="L171" s="544"/>
      <c r="M171" s="544"/>
      <c r="N171" s="545"/>
      <c r="O171" s="544"/>
      <c r="P171" s="544"/>
      <c r="Q171" s="544"/>
      <c r="R171" s="544"/>
    </row>
    <row r="172" spans="1:18" ht="15" x14ac:dyDescent="0.25">
      <c r="A172" s="552">
        <v>44650</v>
      </c>
      <c r="B172" s="546" t="s">
        <v>2468</v>
      </c>
      <c r="C172" s="544">
        <v>180000</v>
      </c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5"/>
      <c r="O172" s="544"/>
      <c r="P172" s="544"/>
      <c r="Q172" s="544"/>
      <c r="R172" s="544"/>
    </row>
    <row r="173" spans="1:18" ht="15" x14ac:dyDescent="0.25">
      <c r="A173" s="552"/>
      <c r="B173" s="546" t="s">
        <v>1335</v>
      </c>
      <c r="C173" s="544"/>
      <c r="D173" s="544"/>
      <c r="E173" s="544"/>
      <c r="F173" s="544"/>
      <c r="G173" s="544"/>
      <c r="H173" s="544">
        <v>150000</v>
      </c>
      <c r="I173" s="544"/>
      <c r="J173" s="544"/>
      <c r="K173" s="544"/>
      <c r="L173" s="544"/>
      <c r="M173" s="544"/>
      <c r="N173" s="545"/>
      <c r="O173" s="544"/>
      <c r="P173" s="544"/>
      <c r="Q173" s="544"/>
      <c r="R173" s="544"/>
    </row>
    <row r="174" spans="1:18" ht="15" x14ac:dyDescent="0.25">
      <c r="A174" s="552">
        <v>44651</v>
      </c>
      <c r="B174" s="543" t="s">
        <v>733</v>
      </c>
      <c r="C174" s="544"/>
      <c r="D174" s="544"/>
      <c r="E174" s="544"/>
      <c r="F174" s="544"/>
      <c r="G174" s="544"/>
      <c r="H174" s="544"/>
      <c r="I174" s="544"/>
      <c r="J174" s="544"/>
      <c r="K174" s="544"/>
      <c r="L174" s="544"/>
      <c r="M174" s="544"/>
      <c r="N174" s="545"/>
      <c r="O174" s="544">
        <v>24500000</v>
      </c>
      <c r="P174" s="544"/>
      <c r="Q174" s="544"/>
      <c r="R174" s="544"/>
    </row>
    <row r="175" spans="1:18" ht="15" x14ac:dyDescent="0.25">
      <c r="A175" s="552"/>
      <c r="B175" s="543" t="s">
        <v>735</v>
      </c>
      <c r="C175" s="544"/>
      <c r="D175" s="544"/>
      <c r="E175" s="544"/>
      <c r="F175" s="544"/>
      <c r="G175" s="544"/>
      <c r="H175" s="544"/>
      <c r="I175" s="544"/>
      <c r="J175" s="544"/>
      <c r="K175" s="544"/>
      <c r="L175" s="544"/>
      <c r="M175" s="544">
        <v>6306000</v>
      </c>
      <c r="N175" s="545"/>
      <c r="O175" s="544"/>
      <c r="P175" s="544"/>
      <c r="Q175" s="544"/>
      <c r="R175" s="544"/>
    </row>
    <row r="176" spans="1:18" ht="15" x14ac:dyDescent="0.25">
      <c r="A176" s="691"/>
      <c r="B176" s="543" t="s">
        <v>734</v>
      </c>
      <c r="C176" s="544"/>
      <c r="D176" s="544"/>
      <c r="E176" s="544"/>
      <c r="F176" s="544"/>
      <c r="G176" s="544"/>
      <c r="H176" s="544"/>
      <c r="I176" s="544"/>
      <c r="J176" s="544"/>
      <c r="K176" s="544"/>
      <c r="L176" s="544"/>
      <c r="M176" s="544"/>
      <c r="N176" s="545"/>
      <c r="O176" s="544"/>
      <c r="P176" s="544">
        <v>1400000</v>
      </c>
      <c r="Q176" s="544"/>
      <c r="R176" s="544"/>
    </row>
    <row r="177" spans="1:18" ht="16.5" x14ac:dyDescent="0.25">
      <c r="A177" s="566"/>
      <c r="B177" s="567" t="s">
        <v>38</v>
      </c>
      <c r="C177" s="568">
        <f t="shared" ref="C177:R177" si="4">SUM(C130:C176)</f>
        <v>897500</v>
      </c>
      <c r="D177" s="568">
        <f t="shared" si="4"/>
        <v>0</v>
      </c>
      <c r="E177" s="568">
        <f t="shared" si="4"/>
        <v>485500</v>
      </c>
      <c r="F177" s="568">
        <f t="shared" si="4"/>
        <v>8433500</v>
      </c>
      <c r="G177" s="568">
        <f t="shared" si="4"/>
        <v>200000</v>
      </c>
      <c r="H177" s="568">
        <f t="shared" si="4"/>
        <v>925000</v>
      </c>
      <c r="I177" s="568">
        <f t="shared" si="4"/>
        <v>3060000</v>
      </c>
      <c r="J177" s="568">
        <f t="shared" si="4"/>
        <v>502500</v>
      </c>
      <c r="K177" s="568">
        <f t="shared" si="4"/>
        <v>422580</v>
      </c>
      <c r="L177" s="568">
        <f t="shared" si="4"/>
        <v>7219500</v>
      </c>
      <c r="M177" s="568">
        <f t="shared" si="4"/>
        <v>6306000</v>
      </c>
      <c r="N177" s="568">
        <f t="shared" si="4"/>
        <v>14220</v>
      </c>
      <c r="O177" s="568">
        <f t="shared" si="4"/>
        <v>36600000</v>
      </c>
      <c r="P177" s="568">
        <f t="shared" si="4"/>
        <v>2920000</v>
      </c>
      <c r="Q177" s="568">
        <f t="shared" ref="Q177" si="5">SUM(Q130:Q176)</f>
        <v>0</v>
      </c>
      <c r="R177" s="568">
        <f t="shared" si="4"/>
        <v>0</v>
      </c>
    </row>
    <row r="178" spans="1:18" ht="16.5" x14ac:dyDescent="0.25">
      <c r="A178" s="561" t="s">
        <v>413</v>
      </c>
      <c r="B178" s="562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4"/>
      <c r="O178" s="563"/>
      <c r="P178" s="563"/>
      <c r="Q178" s="565"/>
      <c r="R178" s="565"/>
    </row>
    <row r="179" spans="1:18" ht="15" x14ac:dyDescent="0.25">
      <c r="A179" s="551">
        <v>44652</v>
      </c>
      <c r="B179" s="543" t="s">
        <v>1334</v>
      </c>
      <c r="C179" s="541"/>
      <c r="D179" s="541"/>
      <c r="E179" s="541"/>
      <c r="F179" s="541"/>
      <c r="G179" s="541"/>
      <c r="H179" s="541"/>
      <c r="I179" s="541"/>
      <c r="J179" s="541"/>
      <c r="K179" s="541"/>
      <c r="L179" s="541"/>
      <c r="M179" s="541"/>
      <c r="N179" s="542">
        <v>1692307</v>
      </c>
      <c r="O179" s="541"/>
      <c r="P179" s="541"/>
      <c r="Q179" s="541"/>
      <c r="R179" s="541"/>
    </row>
    <row r="180" spans="1:18" ht="15" x14ac:dyDescent="0.25">
      <c r="A180" s="552"/>
      <c r="B180" s="543" t="s">
        <v>1337</v>
      </c>
      <c r="C180" s="541"/>
      <c r="D180" s="541"/>
      <c r="E180" s="541">
        <v>27000</v>
      </c>
      <c r="F180" s="541"/>
      <c r="G180" s="541"/>
      <c r="H180" s="541"/>
      <c r="I180" s="541"/>
      <c r="J180" s="541"/>
      <c r="K180" s="541"/>
      <c r="L180" s="541"/>
      <c r="M180" s="541"/>
      <c r="N180" s="542"/>
      <c r="O180" s="541"/>
      <c r="P180" s="541"/>
      <c r="Q180" s="541"/>
      <c r="R180" s="541"/>
    </row>
    <row r="181" spans="1:18" ht="28.5" x14ac:dyDescent="0.25">
      <c r="A181" s="713">
        <v>44653</v>
      </c>
      <c r="B181" s="543" t="s">
        <v>1944</v>
      </c>
      <c r="C181" s="541"/>
      <c r="D181" s="541"/>
      <c r="E181" s="541"/>
      <c r="F181" s="541"/>
      <c r="G181" s="541"/>
      <c r="H181" s="541"/>
      <c r="I181" s="541"/>
      <c r="J181" s="541"/>
      <c r="K181" s="541"/>
      <c r="L181" s="541"/>
      <c r="M181" s="541"/>
      <c r="N181" s="542"/>
      <c r="O181" s="541">
        <f>(110000*11)+(110000*12)+(110000*12)+(110000*12)+(110000*12)</f>
        <v>6490000</v>
      </c>
      <c r="P181" s="541"/>
      <c r="Q181" s="541"/>
      <c r="R181" s="541"/>
    </row>
    <row r="182" spans="1:18" ht="28.5" x14ac:dyDescent="0.25">
      <c r="A182" s="552"/>
      <c r="B182" s="662" t="s">
        <v>1945</v>
      </c>
      <c r="C182" s="541"/>
      <c r="D182" s="541"/>
      <c r="E182" s="541"/>
      <c r="F182" s="541"/>
      <c r="G182" s="541"/>
      <c r="H182" s="541"/>
      <c r="I182" s="541"/>
      <c r="J182" s="541"/>
      <c r="K182" s="541"/>
      <c r="L182" s="541"/>
      <c r="M182" s="541"/>
      <c r="N182" s="542"/>
      <c r="O182" s="541"/>
      <c r="P182" s="541">
        <f>40000*9</f>
        <v>360000</v>
      </c>
      <c r="Q182" s="541"/>
      <c r="R182" s="541"/>
    </row>
    <row r="183" spans="1:18" ht="15" x14ac:dyDescent="0.25">
      <c r="A183" s="552">
        <v>44655</v>
      </c>
      <c r="B183" s="543" t="s">
        <v>1330</v>
      </c>
      <c r="C183" s="541">
        <v>66700</v>
      </c>
      <c r="D183" s="541"/>
      <c r="E183" s="541"/>
      <c r="F183" s="541"/>
      <c r="G183" s="541"/>
      <c r="H183" s="541"/>
      <c r="I183" s="541"/>
      <c r="J183" s="541"/>
      <c r="K183" s="541"/>
      <c r="L183" s="541"/>
      <c r="M183" s="541"/>
      <c r="N183" s="542"/>
      <c r="O183" s="541"/>
      <c r="P183" s="541"/>
      <c r="Q183" s="541"/>
      <c r="R183" s="541"/>
    </row>
    <row r="184" spans="1:18" ht="15" x14ac:dyDescent="0.25">
      <c r="A184" s="552"/>
      <c r="B184" s="540" t="s">
        <v>1914</v>
      </c>
      <c r="C184" s="544"/>
      <c r="D184" s="544"/>
      <c r="E184" s="544"/>
      <c r="F184" s="544"/>
      <c r="G184" s="544">
        <v>200000</v>
      </c>
      <c r="H184" s="544"/>
      <c r="I184" s="544"/>
      <c r="J184" s="544"/>
      <c r="K184" s="544"/>
      <c r="L184" s="544"/>
      <c r="M184" s="544"/>
      <c r="N184" s="545"/>
      <c r="O184" s="544"/>
      <c r="P184" s="544"/>
      <c r="Q184" s="544"/>
      <c r="R184" s="544"/>
    </row>
    <row r="185" spans="1:18" ht="15" x14ac:dyDescent="0.25">
      <c r="A185" s="552">
        <v>44659</v>
      </c>
      <c r="B185" s="543" t="s">
        <v>1908</v>
      </c>
      <c r="C185" s="541"/>
      <c r="D185" s="541"/>
      <c r="E185" s="541"/>
      <c r="F185" s="541"/>
      <c r="G185" s="541"/>
      <c r="H185" s="541"/>
      <c r="I185" s="541"/>
      <c r="J185" s="541"/>
      <c r="K185" s="541">
        <v>95366</v>
      </c>
      <c r="L185" s="541"/>
      <c r="M185" s="541"/>
      <c r="N185" s="542"/>
      <c r="O185" s="541"/>
      <c r="P185" s="541"/>
      <c r="Q185" s="541"/>
      <c r="R185" s="541"/>
    </row>
    <row r="186" spans="1:18" ht="15" x14ac:dyDescent="0.25">
      <c r="A186" s="552"/>
      <c r="B186" s="712" t="s">
        <v>1909</v>
      </c>
      <c r="C186" s="541"/>
      <c r="D186" s="541"/>
      <c r="E186" s="541"/>
      <c r="F186" s="541"/>
      <c r="G186" s="541"/>
      <c r="H186" s="541"/>
      <c r="I186" s="541"/>
      <c r="J186" s="541"/>
      <c r="K186" s="541">
        <v>288600</v>
      </c>
      <c r="L186" s="541"/>
      <c r="M186" s="541"/>
      <c r="N186" s="542"/>
      <c r="O186" s="541"/>
      <c r="P186" s="541"/>
      <c r="Q186" s="541"/>
      <c r="R186" s="541"/>
    </row>
    <row r="187" spans="1:18" ht="15" x14ac:dyDescent="0.25">
      <c r="A187" s="552">
        <v>44660</v>
      </c>
      <c r="B187" s="546" t="s">
        <v>1346</v>
      </c>
      <c r="C187" s="544"/>
      <c r="D187" s="544"/>
      <c r="E187" s="544">
        <v>200000</v>
      </c>
      <c r="F187" s="544"/>
      <c r="G187" s="544"/>
      <c r="H187" s="544"/>
      <c r="I187" s="544"/>
      <c r="J187" s="544"/>
      <c r="K187" s="544"/>
      <c r="L187" s="544"/>
      <c r="M187" s="544"/>
      <c r="N187" s="545"/>
      <c r="O187" s="544"/>
      <c r="P187" s="544"/>
      <c r="Q187" s="544"/>
      <c r="R187" s="544"/>
    </row>
    <row r="188" spans="1:18" ht="28.5" x14ac:dyDescent="0.25">
      <c r="A188" s="552"/>
      <c r="B188" s="662" t="s">
        <v>2633</v>
      </c>
      <c r="C188" s="544"/>
      <c r="D188" s="544"/>
      <c r="E188" s="544"/>
      <c r="F188" s="544"/>
      <c r="G188" s="544"/>
      <c r="H188" s="544"/>
      <c r="I188" s="544"/>
      <c r="J188" s="544"/>
      <c r="K188" s="544"/>
      <c r="L188" s="544"/>
      <c r="M188" s="544"/>
      <c r="N188" s="545"/>
      <c r="O188" s="544"/>
      <c r="P188" s="544">
        <f>40000*11</f>
        <v>440000</v>
      </c>
      <c r="Q188" s="544"/>
      <c r="R188" s="544"/>
    </row>
    <row r="189" spans="1:18" ht="15" x14ac:dyDescent="0.25">
      <c r="A189" s="552">
        <v>44662</v>
      </c>
      <c r="B189" s="546" t="s">
        <v>1330</v>
      </c>
      <c r="C189" s="544">
        <v>62800</v>
      </c>
      <c r="D189" s="544"/>
      <c r="E189" s="544"/>
      <c r="F189" s="544"/>
      <c r="G189" s="544"/>
      <c r="H189" s="544"/>
      <c r="I189" s="544"/>
      <c r="J189" s="544"/>
      <c r="K189" s="544"/>
      <c r="L189" s="544"/>
      <c r="M189" s="544"/>
      <c r="N189" s="545"/>
      <c r="O189" s="544"/>
      <c r="P189" s="544"/>
      <c r="Q189" s="544"/>
      <c r="R189" s="544"/>
    </row>
    <row r="190" spans="1:18" ht="15" x14ac:dyDescent="0.25">
      <c r="A190" s="552">
        <v>44663</v>
      </c>
      <c r="B190" s="543" t="s">
        <v>1353</v>
      </c>
      <c r="C190" s="544"/>
      <c r="D190" s="544"/>
      <c r="E190" s="544"/>
      <c r="F190" s="544"/>
      <c r="G190" s="544"/>
      <c r="H190" s="544"/>
      <c r="I190" s="544">
        <v>1176000</v>
      </c>
      <c r="J190" s="544"/>
      <c r="K190" s="544"/>
      <c r="L190" s="544"/>
      <c r="M190" s="544"/>
      <c r="N190" s="545"/>
      <c r="O190" s="544"/>
      <c r="P190" s="544"/>
      <c r="Q190" s="544"/>
      <c r="R190" s="544"/>
    </row>
    <row r="191" spans="1:18" ht="15" x14ac:dyDescent="0.25">
      <c r="A191" s="552"/>
      <c r="B191" s="671" t="s">
        <v>3049</v>
      </c>
      <c r="C191" s="544"/>
      <c r="D191" s="544"/>
      <c r="E191" s="544"/>
      <c r="F191" s="544"/>
      <c r="G191" s="544"/>
      <c r="H191" s="544"/>
      <c r="I191" s="544"/>
      <c r="J191" s="544"/>
      <c r="K191" s="544"/>
      <c r="L191" s="544"/>
      <c r="M191" s="544"/>
      <c r="N191" s="545"/>
      <c r="O191" s="544"/>
      <c r="P191" s="544"/>
      <c r="Q191" s="544"/>
      <c r="R191" s="544"/>
    </row>
    <row r="192" spans="1:18" ht="15" x14ac:dyDescent="0.25">
      <c r="A192" s="552"/>
      <c r="B192" s="671" t="s">
        <v>3050</v>
      </c>
      <c r="C192" s="544"/>
      <c r="D192" s="544"/>
      <c r="E192" s="544"/>
      <c r="F192" s="544"/>
      <c r="G192" s="544"/>
      <c r="H192" s="544"/>
      <c r="I192" s="544"/>
      <c r="J192" s="544"/>
      <c r="K192" s="544"/>
      <c r="L192" s="544"/>
      <c r="M192" s="544"/>
      <c r="N192" s="545"/>
      <c r="O192" s="544"/>
      <c r="P192" s="544"/>
      <c r="Q192" s="544"/>
      <c r="R192" s="544"/>
    </row>
    <row r="193" spans="1:18" ht="15" x14ac:dyDescent="0.25">
      <c r="A193" s="552"/>
      <c r="B193" s="671" t="s">
        <v>3051</v>
      </c>
      <c r="C193" s="544"/>
      <c r="D193" s="544"/>
      <c r="E193" s="544"/>
      <c r="F193" s="544"/>
      <c r="G193" s="544"/>
      <c r="H193" s="544"/>
      <c r="I193" s="544"/>
      <c r="J193" s="544"/>
      <c r="K193" s="544"/>
      <c r="L193" s="544"/>
      <c r="M193" s="544"/>
      <c r="N193" s="545"/>
      <c r="O193" s="544"/>
      <c r="P193" s="544"/>
      <c r="Q193" s="544"/>
      <c r="R193" s="544"/>
    </row>
    <row r="194" spans="1:18" ht="15" x14ac:dyDescent="0.25">
      <c r="A194" s="552">
        <v>44665</v>
      </c>
      <c r="B194" s="546" t="s">
        <v>1336</v>
      </c>
      <c r="C194" s="544"/>
      <c r="D194" s="544"/>
      <c r="E194" s="544"/>
      <c r="F194" s="544">
        <v>5625000</v>
      </c>
      <c r="G194" s="544"/>
      <c r="H194" s="544"/>
      <c r="I194" s="544"/>
      <c r="J194" s="544"/>
      <c r="K194" s="544"/>
      <c r="L194" s="544"/>
      <c r="M194" s="544"/>
      <c r="N194" s="545"/>
      <c r="O194" s="544"/>
      <c r="P194" s="544"/>
      <c r="Q194" s="544"/>
      <c r="R194" s="544"/>
    </row>
    <row r="195" spans="1:18" ht="28.5" x14ac:dyDescent="0.25">
      <c r="A195" s="552">
        <v>44667</v>
      </c>
      <c r="B195" s="543" t="s">
        <v>2634</v>
      </c>
      <c r="C195" s="544"/>
      <c r="D195" s="544"/>
      <c r="E195" s="544"/>
      <c r="F195" s="544"/>
      <c r="G195" s="544"/>
      <c r="H195" s="544"/>
      <c r="I195" s="544"/>
      <c r="J195" s="544"/>
      <c r="K195" s="544"/>
      <c r="L195" s="544"/>
      <c r="M195" s="544"/>
      <c r="N195" s="545"/>
      <c r="O195" s="541">
        <f>(110000*11)+(110000*11)+(110000*11)+(110000*10)+(110000*11)</f>
        <v>5940000</v>
      </c>
      <c r="P195" s="544"/>
      <c r="Q195" s="544"/>
      <c r="R195" s="544"/>
    </row>
    <row r="196" spans="1:18" ht="28.5" x14ac:dyDescent="0.25">
      <c r="A196" s="552"/>
      <c r="B196" s="662" t="s">
        <v>2635</v>
      </c>
      <c r="C196" s="544"/>
      <c r="D196" s="544"/>
      <c r="E196" s="544"/>
      <c r="F196" s="544"/>
      <c r="G196" s="544"/>
      <c r="H196" s="544"/>
      <c r="I196" s="544"/>
      <c r="J196" s="544"/>
      <c r="K196" s="544"/>
      <c r="L196" s="544"/>
      <c r="M196" s="544"/>
      <c r="N196" s="545"/>
      <c r="O196" s="544"/>
      <c r="P196" s="544">
        <f>40000*9</f>
        <v>360000</v>
      </c>
      <c r="Q196" s="544"/>
      <c r="R196" s="544"/>
    </row>
    <row r="197" spans="1:18" ht="15" x14ac:dyDescent="0.25">
      <c r="A197" s="552">
        <v>44669</v>
      </c>
      <c r="B197" s="546" t="s">
        <v>1330</v>
      </c>
      <c r="C197" s="544">
        <v>64000</v>
      </c>
      <c r="D197" s="544"/>
      <c r="E197" s="544"/>
      <c r="F197" s="544"/>
      <c r="G197" s="544"/>
      <c r="H197" s="544"/>
      <c r="I197" s="544"/>
      <c r="J197" s="544"/>
      <c r="K197" s="544"/>
      <c r="L197" s="544"/>
      <c r="M197" s="544"/>
      <c r="N197" s="545"/>
      <c r="O197" s="544"/>
      <c r="P197" s="544"/>
      <c r="Q197" s="544"/>
      <c r="R197" s="544"/>
    </row>
    <row r="198" spans="1:18" ht="15" x14ac:dyDescent="0.25">
      <c r="A198" s="552">
        <v>44670</v>
      </c>
      <c r="B198" s="543" t="s">
        <v>1337</v>
      </c>
      <c r="C198" s="544"/>
      <c r="D198" s="544"/>
      <c r="E198" s="544"/>
      <c r="F198" s="544"/>
      <c r="G198" s="544"/>
      <c r="H198" s="544"/>
      <c r="I198" s="544"/>
      <c r="J198" s="544"/>
      <c r="K198" s="544"/>
      <c r="L198" s="544"/>
      <c r="M198" s="544"/>
      <c r="N198" s="545"/>
      <c r="O198" s="544"/>
      <c r="P198" s="544"/>
      <c r="Q198" s="544"/>
      <c r="R198" s="544"/>
    </row>
    <row r="199" spans="1:18" ht="15" x14ac:dyDescent="0.25">
      <c r="A199" s="552"/>
      <c r="B199" s="543" t="s">
        <v>1342</v>
      </c>
      <c r="C199" s="544"/>
      <c r="D199" s="544"/>
      <c r="E199" s="544"/>
      <c r="F199" s="544">
        <f>73000+191000</f>
        <v>264000</v>
      </c>
      <c r="G199" s="544"/>
      <c r="H199" s="544"/>
      <c r="I199" s="544"/>
      <c r="J199" s="544"/>
      <c r="K199" s="544"/>
      <c r="L199" s="544"/>
      <c r="M199" s="544"/>
      <c r="N199" s="545"/>
      <c r="O199" s="544"/>
      <c r="P199" s="544"/>
      <c r="Q199" s="544"/>
      <c r="R199" s="544"/>
    </row>
    <row r="200" spans="1:18" ht="15" x14ac:dyDescent="0.25">
      <c r="A200" s="552">
        <v>44672</v>
      </c>
      <c r="B200" s="546" t="s">
        <v>1346</v>
      </c>
      <c r="C200" s="544"/>
      <c r="D200" s="544"/>
      <c r="E200" s="544">
        <v>200000</v>
      </c>
      <c r="F200" s="544"/>
      <c r="G200" s="544"/>
      <c r="H200" s="544"/>
      <c r="I200" s="544"/>
      <c r="J200" s="544"/>
      <c r="K200" s="544"/>
      <c r="L200" s="544"/>
      <c r="M200" s="544"/>
      <c r="N200" s="545"/>
      <c r="O200" s="544"/>
      <c r="P200" s="544"/>
      <c r="Q200" s="544"/>
      <c r="R200" s="544"/>
    </row>
    <row r="201" spans="1:18" ht="28.5" x14ac:dyDescent="0.25">
      <c r="A201" s="552">
        <v>44674</v>
      </c>
      <c r="B201" s="662" t="s">
        <v>2636</v>
      </c>
      <c r="C201" s="544"/>
      <c r="D201" s="544"/>
      <c r="E201" s="544"/>
      <c r="F201" s="544"/>
      <c r="G201" s="544"/>
      <c r="H201" s="544"/>
      <c r="I201" s="544"/>
      <c r="J201" s="544"/>
      <c r="K201" s="544"/>
      <c r="L201" s="544"/>
      <c r="M201" s="544"/>
      <c r="N201" s="545"/>
      <c r="O201" s="544"/>
      <c r="P201" s="544">
        <f>40000*9</f>
        <v>360000</v>
      </c>
      <c r="Q201" s="544"/>
      <c r="R201" s="544"/>
    </row>
    <row r="202" spans="1:18" ht="15" x14ac:dyDescent="0.25">
      <c r="A202" s="552">
        <v>44676</v>
      </c>
      <c r="B202" s="543" t="s">
        <v>1330</v>
      </c>
      <c r="C202" s="541">
        <v>66700</v>
      </c>
      <c r="D202" s="541"/>
      <c r="E202" s="541"/>
      <c r="F202" s="541"/>
      <c r="G202" s="541"/>
      <c r="H202" s="541"/>
      <c r="I202" s="541"/>
      <c r="J202" s="541"/>
      <c r="K202" s="541"/>
      <c r="L202" s="541"/>
      <c r="M202" s="541"/>
      <c r="N202" s="542"/>
      <c r="O202" s="541"/>
      <c r="P202" s="541"/>
      <c r="Q202" s="541"/>
      <c r="R202" s="541"/>
    </row>
    <row r="203" spans="1:18" ht="15" x14ac:dyDescent="0.25">
      <c r="A203" s="552">
        <v>44677</v>
      </c>
      <c r="B203" s="675" t="s">
        <v>1351</v>
      </c>
      <c r="C203" s="541"/>
      <c r="D203" s="541"/>
      <c r="E203" s="541"/>
      <c r="F203" s="541"/>
      <c r="G203" s="541"/>
      <c r="H203" s="541"/>
      <c r="I203" s="541"/>
      <c r="J203" s="541">
        <v>502500</v>
      </c>
      <c r="K203" s="541"/>
      <c r="L203" s="541"/>
      <c r="M203" s="541"/>
      <c r="N203" s="542"/>
      <c r="O203" s="541"/>
      <c r="P203" s="541"/>
      <c r="Q203" s="541"/>
      <c r="R203" s="541"/>
    </row>
    <row r="204" spans="1:18" ht="15" x14ac:dyDescent="0.25">
      <c r="A204" s="552"/>
      <c r="B204" s="543" t="s">
        <v>1353</v>
      </c>
      <c r="C204" s="541"/>
      <c r="D204" s="541"/>
      <c r="E204" s="541"/>
      <c r="F204" s="541"/>
      <c r="G204" s="541"/>
      <c r="H204" s="541"/>
      <c r="I204" s="541">
        <v>745000</v>
      </c>
      <c r="J204" s="541"/>
      <c r="K204" s="541"/>
      <c r="L204" s="541"/>
      <c r="M204" s="541"/>
      <c r="N204" s="542"/>
      <c r="O204" s="541"/>
      <c r="P204" s="541"/>
      <c r="Q204" s="541"/>
      <c r="R204" s="541"/>
    </row>
    <row r="205" spans="1:18" ht="15" x14ac:dyDescent="0.25">
      <c r="A205" s="552"/>
      <c r="B205" s="671" t="s">
        <v>3052</v>
      </c>
      <c r="C205" s="541"/>
      <c r="D205" s="541"/>
      <c r="E205" s="541"/>
      <c r="F205" s="541"/>
      <c r="G205" s="541"/>
      <c r="H205" s="541"/>
      <c r="I205" s="541"/>
      <c r="J205" s="541"/>
      <c r="K205" s="541"/>
      <c r="L205" s="541"/>
      <c r="M205" s="541"/>
      <c r="N205" s="542"/>
      <c r="O205" s="541"/>
      <c r="P205" s="541"/>
      <c r="Q205" s="541"/>
      <c r="R205" s="541"/>
    </row>
    <row r="206" spans="1:18" ht="15" x14ac:dyDescent="0.25">
      <c r="A206" s="552"/>
      <c r="B206" s="671" t="s">
        <v>3053</v>
      </c>
      <c r="C206" s="541"/>
      <c r="D206" s="541"/>
      <c r="E206" s="541"/>
      <c r="F206" s="541"/>
      <c r="G206" s="541"/>
      <c r="H206" s="541"/>
      <c r="I206" s="541"/>
      <c r="J206" s="541"/>
      <c r="K206" s="541"/>
      <c r="L206" s="541"/>
      <c r="M206" s="541"/>
      <c r="N206" s="542"/>
      <c r="O206" s="541"/>
      <c r="P206" s="541"/>
      <c r="Q206" s="541"/>
      <c r="R206" s="541"/>
    </row>
    <row r="207" spans="1:18" ht="28.5" x14ac:dyDescent="0.25">
      <c r="A207" s="552">
        <v>44681</v>
      </c>
      <c r="B207" s="543" t="s">
        <v>2637</v>
      </c>
      <c r="C207" s="544"/>
      <c r="D207" s="544"/>
      <c r="E207" s="544"/>
      <c r="F207" s="544"/>
      <c r="G207" s="544"/>
      <c r="H207" s="544"/>
      <c r="I207" s="544"/>
      <c r="J207" s="544"/>
      <c r="K207" s="544"/>
      <c r="L207" s="544"/>
      <c r="M207" s="544"/>
      <c r="N207" s="545"/>
      <c r="O207" s="541">
        <f>(110000*12)+(110000*12)+(110000*12)+(110000*12)+(110000*12)</f>
        <v>6600000</v>
      </c>
      <c r="P207" s="544"/>
      <c r="Q207" s="544"/>
      <c r="R207" s="544"/>
    </row>
    <row r="208" spans="1:18" ht="28.5" x14ac:dyDescent="0.25">
      <c r="A208" s="552"/>
      <c r="B208" s="662" t="s">
        <v>2638</v>
      </c>
      <c r="C208" s="544"/>
      <c r="D208" s="544"/>
      <c r="E208" s="544"/>
      <c r="F208" s="544"/>
      <c r="G208" s="544"/>
      <c r="H208" s="544"/>
      <c r="I208" s="544"/>
      <c r="J208" s="544"/>
      <c r="K208" s="544"/>
      <c r="L208" s="544"/>
      <c r="M208" s="544"/>
      <c r="N208" s="545"/>
      <c r="O208" s="544"/>
      <c r="P208" s="544">
        <f>40000*9</f>
        <v>360000</v>
      </c>
      <c r="Q208" s="544"/>
      <c r="R208" s="544"/>
    </row>
    <row r="209" spans="1:18" ht="15" x14ac:dyDescent="0.25">
      <c r="A209" s="552"/>
      <c r="B209" s="543" t="s">
        <v>733</v>
      </c>
      <c r="C209" s="544"/>
      <c r="D209" s="544"/>
      <c r="E209" s="544"/>
      <c r="F209" s="544"/>
      <c r="G209" s="544"/>
      <c r="H209" s="544"/>
      <c r="I209" s="544"/>
      <c r="J209" s="544"/>
      <c r="K209" s="544"/>
      <c r="L209" s="544"/>
      <c r="M209" s="544"/>
      <c r="N209" s="545"/>
      <c r="O209" s="544">
        <v>24500000</v>
      </c>
      <c r="P209" s="544"/>
      <c r="Q209" s="544"/>
      <c r="R209" s="544"/>
    </row>
    <row r="210" spans="1:18" ht="15" x14ac:dyDescent="0.25">
      <c r="A210" s="552"/>
      <c r="B210" s="543" t="s">
        <v>735</v>
      </c>
      <c r="C210" s="544"/>
      <c r="D210" s="544"/>
      <c r="E210" s="544"/>
      <c r="F210" s="544"/>
      <c r="G210" s="544"/>
      <c r="H210" s="544"/>
      <c r="I210" s="544"/>
      <c r="J210" s="544"/>
      <c r="K210" s="544"/>
      <c r="L210" s="544"/>
      <c r="M210" s="544">
        <v>6457000</v>
      </c>
      <c r="N210" s="545"/>
      <c r="O210" s="544"/>
      <c r="P210" s="544"/>
      <c r="Q210" s="544"/>
      <c r="R210" s="544"/>
    </row>
    <row r="211" spans="1:18" ht="15" x14ac:dyDescent="0.25">
      <c r="A211" s="552"/>
      <c r="B211" s="543" t="s">
        <v>734</v>
      </c>
      <c r="C211" s="544"/>
      <c r="D211" s="544"/>
      <c r="E211" s="544"/>
      <c r="F211" s="544"/>
      <c r="G211" s="544"/>
      <c r="H211" s="544"/>
      <c r="I211" s="544"/>
      <c r="J211" s="544"/>
      <c r="K211" s="544"/>
      <c r="L211" s="544"/>
      <c r="M211" s="544"/>
      <c r="N211" s="545"/>
      <c r="O211" s="544"/>
      <c r="P211" s="544">
        <v>1000000</v>
      </c>
      <c r="Q211" s="544"/>
      <c r="R211" s="544"/>
    </row>
    <row r="212" spans="1:18" ht="15" x14ac:dyDescent="0.25">
      <c r="A212" s="552"/>
      <c r="B212" s="543" t="s">
        <v>2641</v>
      </c>
      <c r="C212" s="544"/>
      <c r="D212" s="544"/>
      <c r="E212" s="544"/>
      <c r="F212" s="544"/>
      <c r="G212" s="544"/>
      <c r="H212" s="544"/>
      <c r="I212" s="544"/>
      <c r="J212" s="544"/>
      <c r="K212" s="544"/>
      <c r="L212" s="544"/>
      <c r="M212" s="544"/>
      <c r="N212" s="545"/>
      <c r="O212" s="544"/>
      <c r="P212" s="544"/>
      <c r="Q212" s="544">
        <v>32000000</v>
      </c>
      <c r="R212" s="544"/>
    </row>
    <row r="213" spans="1:18" ht="16.5" x14ac:dyDescent="0.25">
      <c r="A213" s="566"/>
      <c r="B213" s="567" t="s">
        <v>38</v>
      </c>
      <c r="C213" s="568">
        <f t="shared" ref="C213:R213" si="6">SUM(C179:C212)</f>
        <v>260200</v>
      </c>
      <c r="D213" s="568">
        <f t="shared" si="6"/>
        <v>0</v>
      </c>
      <c r="E213" s="568">
        <f t="shared" si="6"/>
        <v>427000</v>
      </c>
      <c r="F213" s="568">
        <f t="shared" si="6"/>
        <v>5889000</v>
      </c>
      <c r="G213" s="568">
        <f t="shared" si="6"/>
        <v>200000</v>
      </c>
      <c r="H213" s="568">
        <f t="shared" si="6"/>
        <v>0</v>
      </c>
      <c r="I213" s="568">
        <f t="shared" si="6"/>
        <v>1921000</v>
      </c>
      <c r="J213" s="568">
        <f t="shared" si="6"/>
        <v>502500</v>
      </c>
      <c r="K213" s="568">
        <f t="shared" si="6"/>
        <v>383966</v>
      </c>
      <c r="L213" s="568">
        <f t="shared" si="6"/>
        <v>0</v>
      </c>
      <c r="M213" s="568">
        <f t="shared" si="6"/>
        <v>6457000</v>
      </c>
      <c r="N213" s="568">
        <f t="shared" si="6"/>
        <v>1692307</v>
      </c>
      <c r="O213" s="568">
        <f t="shared" si="6"/>
        <v>43530000</v>
      </c>
      <c r="P213" s="568">
        <f t="shared" si="6"/>
        <v>2880000</v>
      </c>
      <c r="Q213" s="568">
        <f t="shared" si="6"/>
        <v>32000000</v>
      </c>
      <c r="R213" s="568">
        <f t="shared" si="6"/>
        <v>0</v>
      </c>
    </row>
    <row r="214" spans="1:18" ht="16.5" x14ac:dyDescent="0.25">
      <c r="A214" s="561" t="s">
        <v>414</v>
      </c>
      <c r="B214" s="562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4"/>
      <c r="O214" s="563"/>
      <c r="P214" s="563"/>
      <c r="Q214" s="565"/>
      <c r="R214" s="565"/>
    </row>
    <row r="215" spans="1:18" ht="15" x14ac:dyDescent="0.25">
      <c r="A215" s="551">
        <v>44690</v>
      </c>
      <c r="B215" s="543" t="s">
        <v>1334</v>
      </c>
      <c r="C215" s="541"/>
      <c r="D215" s="541"/>
      <c r="E215" s="541"/>
      <c r="F215" s="541"/>
      <c r="G215" s="541"/>
      <c r="H215" s="541"/>
      <c r="I215" s="541"/>
      <c r="J215" s="541"/>
      <c r="K215" s="541"/>
      <c r="L215" s="541"/>
      <c r="M215" s="541"/>
      <c r="N215" s="542">
        <v>1975811</v>
      </c>
      <c r="O215" s="541"/>
      <c r="P215" s="541"/>
      <c r="Q215" s="541"/>
      <c r="R215" s="541"/>
    </row>
    <row r="216" spans="1:18" ht="15" x14ac:dyDescent="0.25">
      <c r="A216" s="552"/>
      <c r="B216" s="543" t="s">
        <v>1908</v>
      </c>
      <c r="C216" s="541"/>
      <c r="D216" s="541"/>
      <c r="E216" s="541"/>
      <c r="F216" s="541"/>
      <c r="G216" s="541"/>
      <c r="H216" s="541"/>
      <c r="I216" s="541"/>
      <c r="J216" s="541"/>
      <c r="K216" s="541">
        <v>109858</v>
      </c>
      <c r="L216" s="541"/>
      <c r="M216" s="541"/>
      <c r="N216" s="542"/>
      <c r="O216" s="541"/>
      <c r="P216" s="541"/>
      <c r="Q216" s="541"/>
      <c r="R216" s="541"/>
    </row>
    <row r="217" spans="1:18" ht="15" x14ac:dyDescent="0.25">
      <c r="A217" s="552"/>
      <c r="B217" s="712" t="s">
        <v>1909</v>
      </c>
      <c r="C217" s="541"/>
      <c r="D217" s="541"/>
      <c r="E217" s="541"/>
      <c r="F217" s="541"/>
      <c r="G217" s="541"/>
      <c r="H217" s="541"/>
      <c r="I217" s="541"/>
      <c r="J217" s="541"/>
      <c r="K217" s="541">
        <v>288600</v>
      </c>
      <c r="L217" s="541"/>
      <c r="M217" s="541"/>
      <c r="N217" s="542"/>
      <c r="O217" s="541"/>
      <c r="P217" s="541"/>
      <c r="Q217" s="541"/>
      <c r="R217" s="541"/>
    </row>
    <row r="218" spans="1:18" ht="15" x14ac:dyDescent="0.25">
      <c r="A218" s="552"/>
      <c r="B218" s="546" t="s">
        <v>1330</v>
      </c>
      <c r="C218" s="541">
        <v>63300</v>
      </c>
      <c r="D218" s="541"/>
      <c r="E218" s="541"/>
      <c r="F218" s="541"/>
      <c r="G218" s="541"/>
      <c r="H218" s="541"/>
      <c r="I218" s="541"/>
      <c r="J218" s="541"/>
      <c r="K218" s="541"/>
      <c r="L218" s="541"/>
      <c r="M218" s="541"/>
      <c r="N218" s="542"/>
      <c r="O218" s="541"/>
      <c r="P218" s="541"/>
      <c r="Q218" s="541"/>
      <c r="R218" s="541"/>
    </row>
    <row r="219" spans="1:18" ht="15" x14ac:dyDescent="0.25">
      <c r="A219" s="552"/>
      <c r="B219" s="540" t="s">
        <v>1347</v>
      </c>
      <c r="C219" s="541"/>
      <c r="D219" s="541"/>
      <c r="E219" s="541"/>
      <c r="F219" s="541"/>
      <c r="G219" s="541"/>
      <c r="H219" s="541">
        <v>150000</v>
      </c>
      <c r="I219" s="541"/>
      <c r="J219" s="541"/>
      <c r="K219" s="541"/>
      <c r="L219" s="541"/>
      <c r="M219" s="541"/>
      <c r="N219" s="542"/>
      <c r="O219" s="541"/>
      <c r="P219" s="541"/>
      <c r="Q219" s="541"/>
      <c r="R219" s="541"/>
    </row>
    <row r="220" spans="1:18" ht="15" x14ac:dyDescent="0.25">
      <c r="A220" s="552"/>
      <c r="B220" s="540" t="s">
        <v>1335</v>
      </c>
      <c r="C220" s="541"/>
      <c r="D220" s="541"/>
      <c r="E220" s="541"/>
      <c r="F220" s="541"/>
      <c r="G220" s="541"/>
      <c r="H220" s="541">
        <v>150000</v>
      </c>
      <c r="I220" s="541"/>
      <c r="J220" s="541"/>
      <c r="K220" s="541"/>
      <c r="L220" s="541"/>
      <c r="M220" s="541"/>
      <c r="N220" s="542"/>
      <c r="O220" s="541"/>
      <c r="P220" s="541"/>
      <c r="Q220" s="541"/>
      <c r="R220" s="541"/>
    </row>
    <row r="221" spans="1:18" ht="15" x14ac:dyDescent="0.25">
      <c r="A221" s="552"/>
      <c r="B221" s="540" t="s">
        <v>1333</v>
      </c>
      <c r="C221" s="541"/>
      <c r="D221" s="541"/>
      <c r="E221" s="541"/>
      <c r="F221" s="541"/>
      <c r="G221" s="541"/>
      <c r="H221" s="541">
        <v>150000</v>
      </c>
      <c r="I221" s="541"/>
      <c r="J221" s="541"/>
      <c r="K221" s="541"/>
      <c r="L221" s="541"/>
      <c r="M221" s="541"/>
      <c r="N221" s="542"/>
      <c r="O221" s="541"/>
      <c r="P221" s="541"/>
      <c r="Q221" s="541"/>
      <c r="R221" s="541"/>
    </row>
    <row r="222" spans="1:18" ht="15" x14ac:dyDescent="0.25">
      <c r="A222" s="552"/>
      <c r="B222" s="540" t="s">
        <v>3544</v>
      </c>
      <c r="C222" s="541"/>
      <c r="D222" s="541"/>
      <c r="E222" s="541"/>
      <c r="F222" s="541"/>
      <c r="G222" s="541"/>
      <c r="H222" s="541"/>
      <c r="I222" s="541"/>
      <c r="J222" s="541"/>
      <c r="K222" s="541"/>
      <c r="L222" s="541"/>
      <c r="M222" s="541"/>
      <c r="N222" s="542"/>
      <c r="O222" s="541"/>
      <c r="P222" s="541"/>
      <c r="Q222" s="541"/>
      <c r="R222" s="541">
        <v>40000</v>
      </c>
    </row>
    <row r="223" spans="1:18" ht="15" x14ac:dyDescent="0.25">
      <c r="A223" s="552">
        <v>44692</v>
      </c>
      <c r="B223" s="540" t="s">
        <v>3545</v>
      </c>
      <c r="C223" s="541"/>
      <c r="D223" s="541"/>
      <c r="E223" s="541">
        <v>330000</v>
      </c>
      <c r="F223" s="541"/>
      <c r="G223" s="541"/>
      <c r="H223" s="541"/>
      <c r="I223" s="541"/>
      <c r="J223" s="541"/>
      <c r="K223" s="541"/>
      <c r="L223" s="541"/>
      <c r="M223" s="541"/>
      <c r="N223" s="542"/>
      <c r="O223" s="541"/>
      <c r="P223" s="541"/>
      <c r="Q223" s="541"/>
      <c r="R223" s="541"/>
    </row>
    <row r="224" spans="1:18" ht="15" x14ac:dyDescent="0.25">
      <c r="A224" s="552"/>
      <c r="B224" s="540" t="s">
        <v>3546</v>
      </c>
      <c r="C224" s="541"/>
      <c r="D224" s="541"/>
      <c r="E224" s="541"/>
      <c r="F224" s="541">
        <v>150000</v>
      </c>
      <c r="G224" s="541"/>
      <c r="H224" s="541"/>
      <c r="I224" s="541"/>
      <c r="J224" s="541"/>
      <c r="K224" s="541"/>
      <c r="L224" s="541"/>
      <c r="M224" s="541"/>
      <c r="N224" s="542"/>
      <c r="O224" s="541"/>
      <c r="P224" s="541"/>
      <c r="Q224" s="541"/>
      <c r="R224" s="541"/>
    </row>
    <row r="225" spans="1:18" ht="15" x14ac:dyDescent="0.25">
      <c r="A225" s="552"/>
      <c r="B225" s="675" t="s">
        <v>1922</v>
      </c>
      <c r="C225" s="541"/>
      <c r="D225" s="541"/>
      <c r="E225" s="541">
        <v>34000</v>
      </c>
      <c r="F225" s="541"/>
      <c r="G225" s="541"/>
      <c r="H225" s="541"/>
      <c r="I225" s="541"/>
      <c r="J225" s="541"/>
      <c r="K225" s="541"/>
      <c r="L225" s="541"/>
      <c r="M225" s="541"/>
      <c r="N225" s="542"/>
      <c r="O225" s="541"/>
      <c r="P225" s="541"/>
      <c r="Q225" s="541"/>
      <c r="R225" s="541"/>
    </row>
    <row r="226" spans="1:18" ht="15" x14ac:dyDescent="0.25">
      <c r="A226" s="552">
        <v>44693</v>
      </c>
      <c r="B226" s="543" t="s">
        <v>1337</v>
      </c>
      <c r="C226" s="541"/>
      <c r="D226" s="541"/>
      <c r="E226" s="541">
        <v>31500</v>
      </c>
      <c r="F226" s="541"/>
      <c r="G226" s="541"/>
      <c r="H226" s="541"/>
      <c r="I226" s="541"/>
      <c r="J226" s="541"/>
      <c r="K226" s="541"/>
      <c r="L226" s="541"/>
      <c r="M226" s="541"/>
      <c r="N226" s="542"/>
      <c r="O226" s="541"/>
      <c r="P226" s="541"/>
      <c r="Q226" s="541"/>
      <c r="R226" s="541"/>
    </row>
    <row r="227" spans="1:18" ht="15" x14ac:dyDescent="0.25">
      <c r="A227" s="552"/>
      <c r="B227" s="540" t="s">
        <v>1342</v>
      </c>
      <c r="C227" s="541"/>
      <c r="D227" s="541"/>
      <c r="E227" s="541"/>
      <c r="F227" s="541">
        <v>102000</v>
      </c>
      <c r="G227" s="541"/>
      <c r="H227" s="541"/>
      <c r="I227" s="541"/>
      <c r="J227" s="541"/>
      <c r="K227" s="541"/>
      <c r="L227" s="541"/>
      <c r="M227" s="541"/>
      <c r="N227" s="542"/>
      <c r="O227" s="541"/>
      <c r="P227" s="541"/>
      <c r="Q227" s="541"/>
      <c r="R227" s="541"/>
    </row>
    <row r="228" spans="1:18" ht="28.5" x14ac:dyDescent="0.25">
      <c r="A228" s="552">
        <v>44695</v>
      </c>
      <c r="B228" s="662" t="s">
        <v>3111</v>
      </c>
      <c r="C228" s="541"/>
      <c r="D228" s="541"/>
      <c r="E228" s="541"/>
      <c r="F228" s="541"/>
      <c r="G228" s="541"/>
      <c r="H228" s="541"/>
      <c r="I228" s="541"/>
      <c r="J228" s="541"/>
      <c r="K228" s="541"/>
      <c r="L228" s="541"/>
      <c r="M228" s="541"/>
      <c r="N228" s="542"/>
      <c r="O228" s="541"/>
      <c r="P228" s="541">
        <f>40000*10</f>
        <v>400000</v>
      </c>
      <c r="Q228" s="541"/>
      <c r="R228" s="541"/>
    </row>
    <row r="229" spans="1:18" ht="15" x14ac:dyDescent="0.25">
      <c r="A229" s="552"/>
      <c r="B229" s="540" t="s">
        <v>1358</v>
      </c>
      <c r="C229" s="541"/>
      <c r="D229" s="541"/>
      <c r="E229" s="541"/>
      <c r="F229" s="541"/>
      <c r="G229" s="541"/>
      <c r="H229" s="541">
        <v>150000</v>
      </c>
      <c r="I229" s="541"/>
      <c r="J229" s="541"/>
      <c r="K229" s="541"/>
      <c r="L229" s="541"/>
      <c r="M229" s="541"/>
      <c r="N229" s="542"/>
      <c r="O229" s="541"/>
      <c r="P229" s="541"/>
      <c r="Q229" s="541"/>
      <c r="R229" s="541"/>
    </row>
    <row r="230" spans="1:18" ht="15" x14ac:dyDescent="0.25">
      <c r="A230" s="552"/>
      <c r="B230" s="540" t="s">
        <v>3547</v>
      </c>
      <c r="C230" s="541"/>
      <c r="D230" s="541"/>
      <c r="E230" s="541"/>
      <c r="F230" s="541"/>
      <c r="G230" s="541"/>
      <c r="H230" s="541">
        <v>35000</v>
      </c>
      <c r="I230" s="541"/>
      <c r="J230" s="541"/>
      <c r="K230" s="541"/>
      <c r="L230" s="541"/>
      <c r="M230" s="541"/>
      <c r="N230" s="542"/>
      <c r="O230" s="541"/>
      <c r="P230" s="541"/>
      <c r="Q230" s="541"/>
      <c r="R230" s="541"/>
    </row>
    <row r="231" spans="1:18" ht="15" x14ac:dyDescent="0.25">
      <c r="A231" s="552"/>
      <c r="B231" s="675" t="s">
        <v>1344</v>
      </c>
      <c r="C231" s="541"/>
      <c r="D231" s="541"/>
      <c r="E231" s="541"/>
      <c r="F231" s="541"/>
      <c r="G231" s="541"/>
      <c r="H231" s="541"/>
      <c r="I231" s="541"/>
      <c r="J231" s="541"/>
      <c r="K231" s="541"/>
      <c r="L231" s="541"/>
      <c r="M231" s="541"/>
      <c r="N231" s="542">
        <v>100000</v>
      </c>
      <c r="O231" s="541"/>
      <c r="P231" s="541"/>
      <c r="Q231" s="541"/>
      <c r="R231" s="541"/>
    </row>
    <row r="232" spans="1:18" ht="15" x14ac:dyDescent="0.25">
      <c r="A232" s="552"/>
      <c r="B232" s="540" t="s">
        <v>3549</v>
      </c>
      <c r="C232" s="541"/>
      <c r="D232" s="541"/>
      <c r="E232" s="541"/>
      <c r="F232" s="541">
        <v>420000</v>
      </c>
      <c r="G232" s="541"/>
      <c r="H232" s="541"/>
      <c r="I232" s="541"/>
      <c r="J232" s="541"/>
      <c r="K232" s="541"/>
      <c r="L232" s="541"/>
      <c r="M232" s="541"/>
      <c r="N232" s="542"/>
      <c r="O232" s="541"/>
      <c r="P232" s="541"/>
      <c r="Q232" s="541"/>
      <c r="R232" s="541"/>
    </row>
    <row r="233" spans="1:18" ht="15" x14ac:dyDescent="0.25">
      <c r="A233" s="552"/>
      <c r="B233" s="540" t="s">
        <v>3548</v>
      </c>
      <c r="C233" s="541"/>
      <c r="D233" s="541"/>
      <c r="E233" s="541"/>
      <c r="F233" s="541">
        <v>392500</v>
      </c>
      <c r="G233" s="541"/>
      <c r="H233" s="541"/>
      <c r="I233" s="541"/>
      <c r="J233" s="541"/>
      <c r="K233" s="541"/>
      <c r="L233" s="541"/>
      <c r="M233" s="541"/>
      <c r="N233" s="542"/>
      <c r="O233" s="541"/>
      <c r="P233" s="541"/>
      <c r="Q233" s="541"/>
      <c r="R233" s="541"/>
    </row>
    <row r="234" spans="1:18" ht="15" x14ac:dyDescent="0.25">
      <c r="A234" s="552"/>
      <c r="B234" s="546" t="s">
        <v>1336</v>
      </c>
      <c r="C234" s="541"/>
      <c r="D234" s="541"/>
      <c r="E234" s="541"/>
      <c r="F234" s="541">
        <v>1163500</v>
      </c>
      <c r="G234" s="541"/>
      <c r="H234" s="541"/>
      <c r="I234" s="541"/>
      <c r="J234" s="541"/>
      <c r="K234" s="541"/>
      <c r="L234" s="541"/>
      <c r="M234" s="541"/>
      <c r="N234" s="542"/>
      <c r="O234" s="541"/>
      <c r="P234" s="541"/>
      <c r="Q234" s="541"/>
      <c r="R234" s="541"/>
    </row>
    <row r="235" spans="1:18" ht="15" x14ac:dyDescent="0.25">
      <c r="A235" s="552"/>
      <c r="B235" s="540" t="s">
        <v>1332</v>
      </c>
      <c r="C235" s="541"/>
      <c r="D235" s="541"/>
      <c r="E235" s="541"/>
      <c r="F235" s="541"/>
      <c r="G235" s="541"/>
      <c r="H235" s="541"/>
      <c r="I235" s="541">
        <v>20000</v>
      </c>
      <c r="J235" s="541"/>
      <c r="K235" s="541"/>
      <c r="L235" s="541"/>
      <c r="M235" s="541"/>
      <c r="N235" s="542"/>
      <c r="O235" s="541"/>
      <c r="P235" s="541"/>
      <c r="Q235" s="541"/>
      <c r="R235" s="541"/>
    </row>
    <row r="236" spans="1:18" ht="15" x14ac:dyDescent="0.25">
      <c r="A236" s="552"/>
      <c r="B236" s="540" t="s">
        <v>3550</v>
      </c>
      <c r="C236" s="541"/>
      <c r="D236" s="541"/>
      <c r="E236" s="541"/>
      <c r="F236" s="541"/>
      <c r="G236" s="541"/>
      <c r="H236" s="541"/>
      <c r="I236" s="541">
        <v>350000</v>
      </c>
      <c r="J236" s="541"/>
      <c r="K236" s="541"/>
      <c r="L236" s="541"/>
      <c r="M236" s="541"/>
      <c r="N236" s="542"/>
      <c r="O236" s="541"/>
      <c r="P236" s="541"/>
      <c r="Q236" s="541"/>
      <c r="R236" s="541"/>
    </row>
    <row r="237" spans="1:18" ht="15" x14ac:dyDescent="0.25">
      <c r="A237" s="552">
        <v>44700</v>
      </c>
      <c r="B237" s="546" t="s">
        <v>1346</v>
      </c>
      <c r="C237" s="541"/>
      <c r="D237" s="541"/>
      <c r="E237" s="541">
        <v>200000</v>
      </c>
      <c r="F237" s="541"/>
      <c r="G237" s="541"/>
      <c r="H237" s="541"/>
      <c r="I237" s="541"/>
      <c r="J237" s="541"/>
      <c r="K237" s="541"/>
      <c r="L237" s="541"/>
      <c r="M237" s="541"/>
      <c r="N237" s="542"/>
      <c r="O237" s="541"/>
      <c r="P237" s="541"/>
      <c r="Q237" s="541"/>
      <c r="R237" s="541"/>
    </row>
    <row r="238" spans="1:18" ht="15" x14ac:dyDescent="0.25">
      <c r="A238" s="552"/>
      <c r="B238" s="543" t="s">
        <v>1335</v>
      </c>
      <c r="C238" s="541"/>
      <c r="D238" s="541"/>
      <c r="E238" s="541"/>
      <c r="F238" s="541"/>
      <c r="G238" s="541"/>
      <c r="H238" s="541">
        <v>100000</v>
      </c>
      <c r="I238" s="541"/>
      <c r="J238" s="541"/>
      <c r="K238" s="541"/>
      <c r="L238" s="541"/>
      <c r="M238" s="541"/>
      <c r="N238" s="542"/>
      <c r="O238" s="541"/>
      <c r="P238" s="541"/>
      <c r="Q238" s="541"/>
      <c r="R238" s="541"/>
    </row>
    <row r="239" spans="1:18" ht="28.5" x14ac:dyDescent="0.25">
      <c r="A239" s="552">
        <v>44702</v>
      </c>
      <c r="B239" s="543" t="s">
        <v>3112</v>
      </c>
      <c r="C239" s="541"/>
      <c r="D239" s="541"/>
      <c r="E239" s="541"/>
      <c r="F239" s="541"/>
      <c r="G239" s="541"/>
      <c r="H239" s="541"/>
      <c r="I239" s="541"/>
      <c r="J239" s="541"/>
      <c r="K239" s="541"/>
      <c r="L239" s="541"/>
      <c r="M239" s="541"/>
      <c r="N239" s="542"/>
      <c r="O239" s="541">
        <v>6050000</v>
      </c>
      <c r="P239" s="541"/>
      <c r="Q239" s="541"/>
      <c r="R239" s="541"/>
    </row>
    <row r="240" spans="1:18" ht="28.5" x14ac:dyDescent="0.25">
      <c r="A240" s="552"/>
      <c r="B240" s="662" t="s">
        <v>3113</v>
      </c>
      <c r="C240" s="541"/>
      <c r="D240" s="541"/>
      <c r="E240" s="541"/>
      <c r="F240" s="541"/>
      <c r="G240" s="541"/>
      <c r="H240" s="541"/>
      <c r="I240" s="541"/>
      <c r="J240" s="541"/>
      <c r="K240" s="541"/>
      <c r="L240" s="541"/>
      <c r="M240" s="541"/>
      <c r="N240" s="542"/>
      <c r="O240" s="541"/>
      <c r="P240" s="541">
        <f>40000*10</f>
        <v>400000</v>
      </c>
      <c r="Q240" s="541"/>
      <c r="R240" s="541"/>
    </row>
    <row r="241" spans="1:18" ht="15" x14ac:dyDescent="0.25">
      <c r="A241" s="552"/>
      <c r="B241" s="540" t="s">
        <v>1358</v>
      </c>
      <c r="C241" s="541"/>
      <c r="D241" s="541"/>
      <c r="E241" s="541"/>
      <c r="F241" s="541"/>
      <c r="G241" s="541"/>
      <c r="H241" s="541">
        <v>150000</v>
      </c>
      <c r="I241" s="541"/>
      <c r="J241" s="541"/>
      <c r="K241" s="541"/>
      <c r="L241" s="541"/>
      <c r="M241" s="541"/>
      <c r="N241" s="542"/>
      <c r="O241" s="541"/>
      <c r="P241" s="541"/>
      <c r="Q241" s="541"/>
      <c r="R241" s="541"/>
    </row>
    <row r="242" spans="1:18" ht="15" x14ac:dyDescent="0.25">
      <c r="A242" s="552"/>
      <c r="B242" s="540" t="s">
        <v>3551</v>
      </c>
      <c r="C242" s="541"/>
      <c r="D242" s="541"/>
      <c r="E242" s="541"/>
      <c r="F242" s="541"/>
      <c r="G242" s="541"/>
      <c r="H242" s="541">
        <v>100000</v>
      </c>
      <c r="I242" s="541"/>
      <c r="J242" s="541"/>
      <c r="K242" s="541"/>
      <c r="L242" s="541"/>
      <c r="M242" s="541"/>
      <c r="N242" s="542"/>
      <c r="O242" s="541"/>
      <c r="P242" s="541"/>
      <c r="Q242" s="541"/>
      <c r="R242" s="541"/>
    </row>
    <row r="243" spans="1:18" ht="15" x14ac:dyDescent="0.25">
      <c r="A243" s="552">
        <v>44704</v>
      </c>
      <c r="B243" s="540" t="s">
        <v>1330</v>
      </c>
      <c r="C243" s="541">
        <v>55800</v>
      </c>
      <c r="D243" s="541"/>
      <c r="E243" s="541"/>
      <c r="F243" s="541"/>
      <c r="G243" s="541"/>
      <c r="H243" s="541"/>
      <c r="I243" s="541"/>
      <c r="J243" s="541"/>
      <c r="K243" s="541"/>
      <c r="L243" s="541"/>
      <c r="M243" s="541"/>
      <c r="N243" s="542"/>
      <c r="O243" s="541"/>
      <c r="P243" s="541"/>
      <c r="Q243" s="541"/>
      <c r="R243" s="541"/>
    </row>
    <row r="244" spans="1:18" ht="15" x14ac:dyDescent="0.25">
      <c r="A244" s="552"/>
      <c r="B244" s="540" t="s">
        <v>1336</v>
      </c>
      <c r="C244" s="541"/>
      <c r="D244" s="541"/>
      <c r="E244" s="541"/>
      <c r="F244" s="541">
        <v>3750000</v>
      </c>
      <c r="G244" s="541"/>
      <c r="H244" s="541"/>
      <c r="I244" s="541"/>
      <c r="J244" s="541"/>
      <c r="K244" s="541"/>
      <c r="L244" s="541"/>
      <c r="M244" s="541"/>
      <c r="N244" s="542"/>
      <c r="O244" s="541"/>
      <c r="P244" s="541"/>
      <c r="Q244" s="541"/>
      <c r="R244" s="541"/>
    </row>
    <row r="245" spans="1:18" ht="15" x14ac:dyDescent="0.25">
      <c r="A245" s="552"/>
      <c r="B245" s="540" t="s">
        <v>1337</v>
      </c>
      <c r="C245" s="541"/>
      <c r="D245" s="541"/>
      <c r="E245" s="541">
        <v>31500</v>
      </c>
      <c r="F245" s="541"/>
      <c r="G245" s="541"/>
      <c r="H245" s="541"/>
      <c r="I245" s="541"/>
      <c r="J245" s="541"/>
      <c r="K245" s="541"/>
      <c r="L245" s="541"/>
      <c r="M245" s="541"/>
      <c r="N245" s="542"/>
      <c r="O245" s="541"/>
      <c r="P245" s="541"/>
      <c r="Q245" s="541"/>
      <c r="R245" s="541"/>
    </row>
    <row r="246" spans="1:18" ht="15" x14ac:dyDescent="0.25">
      <c r="A246" s="552"/>
      <c r="B246" s="540" t="s">
        <v>1914</v>
      </c>
      <c r="C246" s="544"/>
      <c r="D246" s="544"/>
      <c r="E246" s="544"/>
      <c r="F246" s="544"/>
      <c r="G246" s="544">
        <v>200000</v>
      </c>
      <c r="H246" s="544"/>
      <c r="I246" s="544"/>
      <c r="J246" s="544"/>
      <c r="K246" s="544"/>
      <c r="L246" s="544"/>
      <c r="M246" s="544"/>
      <c r="N246" s="545"/>
      <c r="O246" s="544"/>
      <c r="P246" s="544"/>
      <c r="Q246" s="544"/>
      <c r="R246" s="544"/>
    </row>
    <row r="247" spans="1:18" ht="15" x14ac:dyDescent="0.25">
      <c r="A247" s="552">
        <v>44705</v>
      </c>
      <c r="B247" s="540" t="s">
        <v>3552</v>
      </c>
      <c r="C247" s="541"/>
      <c r="D247" s="541"/>
      <c r="E247" s="541"/>
      <c r="F247" s="541"/>
      <c r="G247" s="541">
        <v>225000</v>
      </c>
      <c r="H247" s="541"/>
      <c r="I247" s="541"/>
      <c r="J247" s="541"/>
      <c r="K247" s="541"/>
      <c r="L247" s="541"/>
      <c r="M247" s="541"/>
      <c r="N247" s="542"/>
      <c r="O247" s="541"/>
      <c r="P247" s="541"/>
      <c r="Q247" s="541"/>
      <c r="R247" s="541"/>
    </row>
    <row r="248" spans="1:18" ht="15" x14ac:dyDescent="0.25">
      <c r="A248" s="552"/>
      <c r="B248" s="540" t="s">
        <v>1338</v>
      </c>
      <c r="C248" s="541"/>
      <c r="D248" s="541"/>
      <c r="E248" s="541"/>
      <c r="F248" s="541"/>
      <c r="G248" s="541"/>
      <c r="H248" s="541">
        <v>200000</v>
      </c>
      <c r="I248" s="541"/>
      <c r="J248" s="541"/>
      <c r="K248" s="541"/>
      <c r="L248" s="541"/>
      <c r="M248" s="541"/>
      <c r="N248" s="542"/>
      <c r="O248" s="541"/>
      <c r="P248" s="541"/>
      <c r="Q248" s="541"/>
      <c r="R248" s="541"/>
    </row>
    <row r="249" spans="1:18" ht="28.5" x14ac:dyDescent="0.25">
      <c r="A249" s="552">
        <v>44709</v>
      </c>
      <c r="B249" s="662" t="s">
        <v>3114</v>
      </c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1"/>
      <c r="N249" s="542"/>
      <c r="O249" s="541"/>
      <c r="P249" s="541">
        <f>40000*10</f>
        <v>400000</v>
      </c>
      <c r="Q249" s="541"/>
      <c r="R249" s="541"/>
    </row>
    <row r="250" spans="1:18" ht="15" x14ac:dyDescent="0.25">
      <c r="A250" s="552"/>
      <c r="B250" s="675" t="s">
        <v>3553</v>
      </c>
      <c r="C250" s="541"/>
      <c r="D250" s="541"/>
      <c r="E250" s="541"/>
      <c r="F250" s="541"/>
      <c r="G250" s="541"/>
      <c r="H250" s="541"/>
      <c r="I250" s="541"/>
      <c r="J250" s="541"/>
      <c r="K250" s="541"/>
      <c r="L250" s="541">
        <f>2809000/2</f>
        <v>1404500</v>
      </c>
      <c r="M250" s="541"/>
      <c r="N250" s="542"/>
      <c r="O250" s="541"/>
      <c r="P250" s="541"/>
      <c r="Q250" s="541"/>
      <c r="R250" s="541"/>
    </row>
    <row r="251" spans="1:18" ht="15" x14ac:dyDescent="0.25">
      <c r="A251" s="552"/>
      <c r="B251" s="675" t="s">
        <v>3554</v>
      </c>
      <c r="C251" s="541"/>
      <c r="D251" s="541"/>
      <c r="E251" s="541"/>
      <c r="F251" s="541"/>
      <c r="G251" s="541"/>
      <c r="H251" s="541"/>
      <c r="I251" s="541"/>
      <c r="J251" s="541"/>
      <c r="K251" s="541"/>
      <c r="L251" s="541">
        <f>2675000/2</f>
        <v>1337500</v>
      </c>
      <c r="M251" s="541"/>
      <c r="N251" s="542"/>
      <c r="O251" s="541"/>
      <c r="P251" s="541"/>
      <c r="Q251" s="541"/>
      <c r="R251" s="541"/>
    </row>
    <row r="252" spans="1:18" ht="15" x14ac:dyDescent="0.25">
      <c r="A252" s="552"/>
      <c r="B252" s="675" t="s">
        <v>3555</v>
      </c>
      <c r="C252" s="541"/>
      <c r="D252" s="541"/>
      <c r="E252" s="541"/>
      <c r="F252" s="541"/>
      <c r="G252" s="541"/>
      <c r="H252" s="541"/>
      <c r="I252" s="541"/>
      <c r="J252" s="541"/>
      <c r="K252" s="541"/>
      <c r="L252" s="541">
        <f>2750000/2</f>
        <v>1375000</v>
      </c>
      <c r="M252" s="541"/>
      <c r="N252" s="542"/>
      <c r="O252" s="541"/>
      <c r="P252" s="541"/>
      <c r="Q252" s="541"/>
      <c r="R252" s="541"/>
    </row>
    <row r="253" spans="1:18" ht="15" x14ac:dyDescent="0.25">
      <c r="A253" s="552"/>
      <c r="B253" s="540" t="s">
        <v>1921</v>
      </c>
      <c r="C253" s="541"/>
      <c r="D253" s="541"/>
      <c r="E253" s="541"/>
      <c r="F253" s="541">
        <v>100000</v>
      </c>
      <c r="G253" s="541"/>
      <c r="H253" s="541"/>
      <c r="I253" s="541"/>
      <c r="J253" s="541"/>
      <c r="K253" s="541"/>
      <c r="L253" s="541"/>
      <c r="M253" s="541"/>
      <c r="N253" s="542"/>
      <c r="O253" s="541"/>
      <c r="P253" s="541"/>
      <c r="Q253" s="541"/>
      <c r="R253" s="541"/>
    </row>
    <row r="254" spans="1:18" ht="15" x14ac:dyDescent="0.25">
      <c r="A254" s="552"/>
      <c r="B254" s="540" t="s">
        <v>3549</v>
      </c>
      <c r="C254" s="541"/>
      <c r="D254" s="541"/>
      <c r="E254" s="541"/>
      <c r="F254" s="541">
        <v>90000</v>
      </c>
      <c r="G254" s="541"/>
      <c r="H254" s="541"/>
      <c r="I254" s="541"/>
      <c r="J254" s="541"/>
      <c r="K254" s="541"/>
      <c r="L254" s="541"/>
      <c r="M254" s="541"/>
      <c r="N254" s="542"/>
      <c r="O254" s="541"/>
      <c r="P254" s="541"/>
      <c r="Q254" s="541"/>
      <c r="R254" s="541"/>
    </row>
    <row r="255" spans="1:18" ht="15" x14ac:dyDescent="0.25">
      <c r="A255" s="552">
        <v>44711</v>
      </c>
      <c r="B255" s="540" t="s">
        <v>1330</v>
      </c>
      <c r="C255" s="541">
        <v>63300</v>
      </c>
      <c r="D255" s="541"/>
      <c r="E255" s="541"/>
      <c r="F255" s="541"/>
      <c r="G255" s="541"/>
      <c r="H255" s="541"/>
      <c r="I255" s="541"/>
      <c r="J255" s="541"/>
      <c r="K255" s="541"/>
      <c r="L255" s="541"/>
      <c r="M255" s="541"/>
      <c r="N255" s="542"/>
      <c r="O255" s="541"/>
      <c r="P255" s="541"/>
      <c r="Q255" s="541"/>
      <c r="R255" s="541"/>
    </row>
    <row r="256" spans="1:18" ht="15" x14ac:dyDescent="0.25">
      <c r="A256" s="552">
        <v>44712</v>
      </c>
      <c r="B256" s="543" t="s">
        <v>733</v>
      </c>
      <c r="C256" s="541"/>
      <c r="D256" s="541"/>
      <c r="E256" s="541"/>
      <c r="F256" s="541"/>
      <c r="G256" s="541"/>
      <c r="H256" s="541"/>
      <c r="I256" s="541"/>
      <c r="J256" s="541"/>
      <c r="K256" s="541"/>
      <c r="L256" s="541"/>
      <c r="M256" s="541"/>
      <c r="N256" s="542"/>
      <c r="O256" s="544">
        <v>24500000</v>
      </c>
      <c r="P256" s="541"/>
      <c r="Q256" s="541"/>
      <c r="R256" s="541"/>
    </row>
    <row r="257" spans="1:18" ht="15" x14ac:dyDescent="0.25">
      <c r="A257" s="552"/>
      <c r="B257" s="543" t="s">
        <v>735</v>
      </c>
      <c r="C257" s="541"/>
      <c r="D257" s="541"/>
      <c r="E257" s="541"/>
      <c r="F257" s="541"/>
      <c r="G257" s="541"/>
      <c r="H257" s="541"/>
      <c r="I257" s="541"/>
      <c r="J257" s="541"/>
      <c r="K257" s="541"/>
      <c r="L257" s="541"/>
      <c r="M257" s="541">
        <v>5450000</v>
      </c>
      <c r="N257" s="542"/>
      <c r="O257" s="541"/>
      <c r="P257" s="541"/>
      <c r="Q257" s="541"/>
      <c r="R257" s="541"/>
    </row>
    <row r="258" spans="1:18" ht="15" x14ac:dyDescent="0.25">
      <c r="A258" s="552"/>
      <c r="B258" s="543" t="s">
        <v>734</v>
      </c>
      <c r="C258" s="541"/>
      <c r="D258" s="541"/>
      <c r="E258" s="541"/>
      <c r="F258" s="541"/>
      <c r="G258" s="541"/>
      <c r="H258" s="541"/>
      <c r="I258" s="541"/>
      <c r="J258" s="541"/>
      <c r="K258" s="541"/>
      <c r="L258" s="541"/>
      <c r="M258" s="541"/>
      <c r="N258" s="542"/>
      <c r="O258" s="541"/>
      <c r="P258" s="541">
        <v>1800000</v>
      </c>
      <c r="Q258" s="541"/>
      <c r="R258" s="541"/>
    </row>
    <row r="259" spans="1:18" ht="15" x14ac:dyDescent="0.25">
      <c r="A259" s="552"/>
      <c r="B259" s="540" t="s">
        <v>3548</v>
      </c>
      <c r="C259" s="541"/>
      <c r="D259" s="541"/>
      <c r="E259" s="541"/>
      <c r="F259" s="541">
        <v>352500</v>
      </c>
      <c r="G259" s="541"/>
      <c r="H259" s="541"/>
      <c r="I259" s="541"/>
      <c r="J259" s="541"/>
      <c r="K259" s="541"/>
      <c r="L259" s="541"/>
      <c r="M259" s="541"/>
      <c r="N259" s="542"/>
      <c r="O259" s="541"/>
      <c r="P259" s="541"/>
      <c r="Q259" s="541"/>
      <c r="R259" s="541"/>
    </row>
    <row r="260" spans="1:18" ht="15" x14ac:dyDescent="0.25">
      <c r="A260" s="552"/>
      <c r="B260" s="540" t="s">
        <v>1337</v>
      </c>
      <c r="C260" s="541"/>
      <c r="D260" s="541"/>
      <c r="E260" s="541">
        <v>22500</v>
      </c>
      <c r="F260" s="541"/>
      <c r="G260" s="541"/>
      <c r="H260" s="541"/>
      <c r="I260" s="541"/>
      <c r="J260" s="541"/>
      <c r="K260" s="541"/>
      <c r="L260" s="541"/>
      <c r="M260" s="541"/>
      <c r="N260" s="542"/>
      <c r="O260" s="541"/>
      <c r="P260" s="541"/>
      <c r="Q260" s="541"/>
      <c r="R260" s="541"/>
    </row>
    <row r="261" spans="1:18" ht="16.5" x14ac:dyDescent="0.25">
      <c r="A261" s="566"/>
      <c r="B261" s="567" t="s">
        <v>38</v>
      </c>
      <c r="C261" s="568">
        <f t="shared" ref="C261:R261" si="7">SUM(C215:C260)</f>
        <v>182400</v>
      </c>
      <c r="D261" s="568">
        <f t="shared" si="7"/>
        <v>0</v>
      </c>
      <c r="E261" s="568">
        <f t="shared" si="7"/>
        <v>649500</v>
      </c>
      <c r="F261" s="568">
        <f t="shared" si="7"/>
        <v>6520500</v>
      </c>
      <c r="G261" s="568">
        <f t="shared" si="7"/>
        <v>425000</v>
      </c>
      <c r="H261" s="568">
        <f t="shared" si="7"/>
        <v>1185000</v>
      </c>
      <c r="I261" s="568">
        <f t="shared" si="7"/>
        <v>370000</v>
      </c>
      <c r="J261" s="568">
        <f t="shared" si="7"/>
        <v>0</v>
      </c>
      <c r="K261" s="568">
        <f t="shared" si="7"/>
        <v>398458</v>
      </c>
      <c r="L261" s="568">
        <f t="shared" si="7"/>
        <v>4117000</v>
      </c>
      <c r="M261" s="568">
        <f t="shared" si="7"/>
        <v>5450000</v>
      </c>
      <c r="N261" s="568">
        <f t="shared" si="7"/>
        <v>2075811</v>
      </c>
      <c r="O261" s="568">
        <f t="shared" si="7"/>
        <v>30550000</v>
      </c>
      <c r="P261" s="568">
        <f t="shared" si="7"/>
        <v>3000000</v>
      </c>
      <c r="Q261" s="568">
        <f t="shared" si="7"/>
        <v>0</v>
      </c>
      <c r="R261" s="568">
        <f t="shared" si="7"/>
        <v>40000</v>
      </c>
    </row>
    <row r="262" spans="1:18" ht="16.5" x14ac:dyDescent="0.25">
      <c r="A262" s="561" t="s">
        <v>415</v>
      </c>
      <c r="B262" s="562"/>
      <c r="C262" s="563"/>
      <c r="D262" s="563"/>
      <c r="E262" s="563"/>
      <c r="F262" s="563"/>
      <c r="G262" s="563"/>
      <c r="H262" s="563"/>
      <c r="I262" s="563"/>
      <c r="J262" s="563"/>
      <c r="K262" s="563"/>
      <c r="L262" s="563"/>
      <c r="M262" s="563"/>
      <c r="N262" s="564"/>
      <c r="O262" s="563"/>
      <c r="P262" s="563"/>
      <c r="Q262" s="565"/>
      <c r="R262" s="565"/>
    </row>
    <row r="263" spans="1:18" ht="15" x14ac:dyDescent="0.25">
      <c r="A263" s="551">
        <v>44714</v>
      </c>
      <c r="B263" s="543" t="s">
        <v>1334</v>
      </c>
      <c r="C263" s="541"/>
      <c r="D263" s="541"/>
      <c r="E263" s="541"/>
      <c r="F263" s="541"/>
      <c r="G263" s="541"/>
      <c r="H263" s="541"/>
      <c r="I263" s="541"/>
      <c r="J263" s="541"/>
      <c r="K263" s="541"/>
      <c r="L263" s="541"/>
      <c r="M263" s="541"/>
      <c r="N263" s="542">
        <v>1975811</v>
      </c>
      <c r="O263" s="541"/>
      <c r="P263" s="541"/>
      <c r="Q263" s="541"/>
      <c r="R263" s="541"/>
    </row>
    <row r="264" spans="1:18" ht="15" x14ac:dyDescent="0.25">
      <c r="A264" s="552">
        <v>44715</v>
      </c>
      <c r="B264" s="546" t="s">
        <v>1346</v>
      </c>
      <c r="C264" s="541"/>
      <c r="D264" s="541"/>
      <c r="E264" s="541">
        <v>200000</v>
      </c>
      <c r="F264" s="541"/>
      <c r="G264" s="541"/>
      <c r="H264" s="541"/>
      <c r="I264" s="541"/>
      <c r="J264" s="541"/>
      <c r="K264" s="541"/>
      <c r="L264" s="541"/>
      <c r="M264" s="541"/>
      <c r="N264" s="542"/>
      <c r="O264" s="541"/>
      <c r="P264" s="541"/>
      <c r="Q264" s="541"/>
      <c r="R264" s="541"/>
    </row>
    <row r="265" spans="1:18" ht="15" x14ac:dyDescent="0.25">
      <c r="A265" s="552"/>
      <c r="B265" s="540" t="s">
        <v>1358</v>
      </c>
      <c r="C265" s="541"/>
      <c r="D265" s="541"/>
      <c r="E265" s="541"/>
      <c r="F265" s="541"/>
      <c r="G265" s="541"/>
      <c r="H265" s="541">
        <v>150000</v>
      </c>
      <c r="I265" s="541"/>
      <c r="J265" s="541"/>
      <c r="K265" s="541"/>
      <c r="L265" s="541"/>
      <c r="M265" s="541"/>
      <c r="N265" s="542"/>
      <c r="O265" s="541"/>
      <c r="P265" s="541"/>
      <c r="Q265" s="541"/>
      <c r="R265" s="541"/>
    </row>
    <row r="266" spans="1:18" ht="15" x14ac:dyDescent="0.25">
      <c r="A266" s="552"/>
      <c r="B266" s="540" t="s">
        <v>1333</v>
      </c>
      <c r="C266" s="541"/>
      <c r="D266" s="541"/>
      <c r="E266" s="541"/>
      <c r="F266" s="541"/>
      <c r="G266" s="541"/>
      <c r="H266" s="541">
        <v>150000</v>
      </c>
      <c r="I266" s="541"/>
      <c r="J266" s="541"/>
      <c r="K266" s="541"/>
      <c r="L266" s="541"/>
      <c r="M266" s="541"/>
      <c r="N266" s="542"/>
      <c r="O266" s="541"/>
      <c r="P266" s="541"/>
      <c r="Q266" s="541"/>
      <c r="R266" s="541"/>
    </row>
    <row r="267" spans="1:18" ht="28.5" x14ac:dyDescent="0.25">
      <c r="A267" s="552">
        <v>44716</v>
      </c>
      <c r="B267" s="543" t="s">
        <v>3671</v>
      </c>
      <c r="C267" s="544"/>
      <c r="D267" s="544"/>
      <c r="E267" s="544"/>
      <c r="F267" s="544"/>
      <c r="G267" s="544"/>
      <c r="H267" s="544"/>
      <c r="I267" s="544"/>
      <c r="J267" s="544"/>
      <c r="K267" s="544"/>
      <c r="L267" s="544"/>
      <c r="M267" s="544"/>
      <c r="N267" s="545"/>
      <c r="O267" s="544">
        <v>5390000</v>
      </c>
      <c r="P267" s="544"/>
      <c r="Q267" s="544"/>
      <c r="R267" s="544"/>
    </row>
    <row r="268" spans="1:18" ht="28.5" x14ac:dyDescent="0.25">
      <c r="A268" s="552"/>
      <c r="B268" s="662" t="s">
        <v>3665</v>
      </c>
      <c r="C268" s="544"/>
      <c r="D268" s="544"/>
      <c r="E268" s="544"/>
      <c r="F268" s="544"/>
      <c r="G268" s="544"/>
      <c r="H268" s="544"/>
      <c r="I268" s="544"/>
      <c r="J268" s="544"/>
      <c r="K268" s="544"/>
      <c r="L268" s="544"/>
      <c r="M268" s="544"/>
      <c r="N268" s="545"/>
      <c r="O268" s="544"/>
      <c r="P268" s="544">
        <f>40000*9</f>
        <v>360000</v>
      </c>
      <c r="Q268" s="544"/>
      <c r="R268" s="544"/>
    </row>
    <row r="269" spans="1:18" ht="15" x14ac:dyDescent="0.25">
      <c r="A269" s="552"/>
      <c r="B269" s="546" t="s">
        <v>1342</v>
      </c>
      <c r="C269" s="544"/>
      <c r="D269" s="544"/>
      <c r="E269" s="544"/>
      <c r="F269" s="544">
        <v>1084000</v>
      </c>
      <c r="G269" s="544"/>
      <c r="H269" s="544"/>
      <c r="I269" s="544"/>
      <c r="J269" s="544"/>
      <c r="K269" s="544"/>
      <c r="L269" s="544"/>
      <c r="M269" s="544"/>
      <c r="N269" s="545"/>
      <c r="O269" s="544"/>
      <c r="P269" s="544"/>
      <c r="Q269" s="544"/>
      <c r="R269" s="544"/>
    </row>
    <row r="270" spans="1:18" ht="15" x14ac:dyDescent="0.25">
      <c r="A270" s="552"/>
      <c r="B270" s="546" t="s">
        <v>4119</v>
      </c>
      <c r="C270" s="544"/>
      <c r="D270" s="544"/>
      <c r="E270" s="544"/>
      <c r="F270" s="544">
        <v>150000</v>
      </c>
      <c r="G270" s="544"/>
      <c r="H270" s="544"/>
      <c r="I270" s="544"/>
      <c r="J270" s="544"/>
      <c r="K270" s="544"/>
      <c r="L270" s="544"/>
      <c r="M270" s="544"/>
      <c r="N270" s="545"/>
      <c r="O270" s="544"/>
      <c r="P270" s="544"/>
      <c r="Q270" s="544"/>
      <c r="R270" s="544"/>
    </row>
    <row r="271" spans="1:18" ht="15" x14ac:dyDescent="0.25">
      <c r="A271" s="552"/>
      <c r="B271" s="675" t="s">
        <v>1351</v>
      </c>
      <c r="C271" s="544"/>
      <c r="D271" s="544"/>
      <c r="E271" s="544"/>
      <c r="F271" s="544"/>
      <c r="G271" s="544"/>
      <c r="H271" s="544"/>
      <c r="I271" s="544"/>
      <c r="J271" s="544">
        <v>502500</v>
      </c>
      <c r="K271" s="544"/>
      <c r="L271" s="544"/>
      <c r="M271" s="544"/>
      <c r="N271" s="545"/>
      <c r="O271" s="544"/>
      <c r="P271" s="544"/>
      <c r="Q271" s="544"/>
      <c r="R271" s="544"/>
    </row>
    <row r="272" spans="1:18" ht="15" x14ac:dyDescent="0.25">
      <c r="A272" s="552"/>
      <c r="B272" s="546" t="s">
        <v>1347</v>
      </c>
      <c r="C272" s="544"/>
      <c r="D272" s="544"/>
      <c r="E272" s="544"/>
      <c r="F272" s="544"/>
      <c r="G272" s="544"/>
      <c r="H272" s="544">
        <v>150000</v>
      </c>
      <c r="I272" s="544"/>
      <c r="J272" s="544"/>
      <c r="K272" s="544"/>
      <c r="L272" s="544"/>
      <c r="M272" s="544"/>
      <c r="N272" s="545"/>
      <c r="O272" s="544"/>
      <c r="P272" s="544"/>
      <c r="Q272" s="544"/>
      <c r="R272" s="544"/>
    </row>
    <row r="273" spans="1:18" ht="15" x14ac:dyDescent="0.25">
      <c r="A273" s="552"/>
      <c r="B273" s="546" t="s">
        <v>4120</v>
      </c>
      <c r="C273" s="544"/>
      <c r="D273" s="544"/>
      <c r="E273" s="544"/>
      <c r="F273" s="544"/>
      <c r="G273" s="544"/>
      <c r="H273" s="544"/>
      <c r="I273" s="544">
        <v>650000</v>
      </c>
      <c r="J273" s="544"/>
      <c r="K273" s="544"/>
      <c r="L273" s="544"/>
      <c r="M273" s="544"/>
      <c r="N273" s="545"/>
      <c r="O273" s="544"/>
      <c r="P273" s="544"/>
      <c r="Q273" s="544"/>
      <c r="R273" s="544"/>
    </row>
    <row r="274" spans="1:18" ht="15" x14ac:dyDescent="0.25">
      <c r="A274" s="552">
        <v>44718</v>
      </c>
      <c r="B274" s="540" t="s">
        <v>1330</v>
      </c>
      <c r="C274" s="544">
        <v>64400</v>
      </c>
      <c r="D274" s="544"/>
      <c r="E274" s="544"/>
      <c r="F274" s="544"/>
      <c r="G274" s="544"/>
      <c r="H274" s="544"/>
      <c r="I274" s="544"/>
      <c r="J274" s="544"/>
      <c r="K274" s="544"/>
      <c r="L274" s="544"/>
      <c r="M274" s="544"/>
      <c r="N274" s="545"/>
      <c r="O274" s="544"/>
      <c r="P274" s="544"/>
      <c r="Q274" s="544"/>
      <c r="R274" s="544"/>
    </row>
    <row r="275" spans="1:18" ht="15" x14ac:dyDescent="0.25">
      <c r="A275" s="552"/>
      <c r="B275" s="546" t="s">
        <v>1338</v>
      </c>
      <c r="C275" s="544"/>
      <c r="D275" s="544"/>
      <c r="E275" s="544"/>
      <c r="F275" s="544"/>
      <c r="G275" s="544"/>
      <c r="H275" s="544">
        <v>150000</v>
      </c>
      <c r="I275" s="544"/>
      <c r="J275" s="544"/>
      <c r="K275" s="544"/>
      <c r="L275" s="544"/>
      <c r="M275" s="544"/>
      <c r="N275" s="545"/>
      <c r="O275" s="544"/>
      <c r="P275" s="544"/>
      <c r="Q275" s="544"/>
      <c r="R275" s="544"/>
    </row>
    <row r="276" spans="1:18" ht="15" x14ac:dyDescent="0.25">
      <c r="A276" s="552">
        <v>44719</v>
      </c>
      <c r="B276" s="546" t="s">
        <v>1336</v>
      </c>
      <c r="C276" s="544"/>
      <c r="D276" s="544"/>
      <c r="E276" s="544"/>
      <c r="F276" s="544">
        <v>1845000</v>
      </c>
      <c r="G276" s="544"/>
      <c r="H276" s="544"/>
      <c r="I276" s="544"/>
      <c r="J276" s="544"/>
      <c r="K276" s="544"/>
      <c r="L276" s="544"/>
      <c r="M276" s="544"/>
      <c r="N276" s="545"/>
      <c r="O276" s="544"/>
      <c r="P276" s="544"/>
      <c r="Q276" s="544"/>
      <c r="R276" s="544"/>
    </row>
    <row r="277" spans="1:18" ht="15" x14ac:dyDescent="0.25">
      <c r="A277" s="552">
        <v>44720</v>
      </c>
      <c r="B277" s="543" t="s">
        <v>1908</v>
      </c>
      <c r="C277" s="541"/>
      <c r="D277" s="541"/>
      <c r="E277" s="541"/>
      <c r="F277" s="541"/>
      <c r="G277" s="541"/>
      <c r="H277" s="541"/>
      <c r="I277" s="541"/>
      <c r="J277" s="541"/>
      <c r="K277" s="541">
        <v>84414</v>
      </c>
      <c r="L277" s="541"/>
      <c r="M277" s="541"/>
      <c r="N277" s="542"/>
      <c r="O277" s="541"/>
      <c r="P277" s="541"/>
      <c r="Q277" s="541"/>
      <c r="R277" s="541"/>
    </row>
    <row r="278" spans="1:18" ht="15" x14ac:dyDescent="0.25">
      <c r="A278" s="552"/>
      <c r="B278" s="712" t="s">
        <v>1909</v>
      </c>
      <c r="C278" s="541"/>
      <c r="D278" s="541"/>
      <c r="E278" s="541"/>
      <c r="F278" s="541"/>
      <c r="G278" s="541"/>
      <c r="H278" s="541"/>
      <c r="I278" s="541"/>
      <c r="J278" s="541"/>
      <c r="K278" s="541">
        <v>303639</v>
      </c>
      <c r="L278" s="541"/>
      <c r="M278" s="541"/>
      <c r="N278" s="542"/>
      <c r="O278" s="541"/>
      <c r="P278" s="541"/>
      <c r="Q278" s="541"/>
      <c r="R278" s="541"/>
    </row>
    <row r="279" spans="1:18" ht="15" x14ac:dyDescent="0.25">
      <c r="A279" s="552">
        <v>44722</v>
      </c>
      <c r="B279" s="540" t="s">
        <v>1337</v>
      </c>
      <c r="C279" s="541"/>
      <c r="D279" s="541"/>
      <c r="E279" s="541">
        <v>27000</v>
      </c>
      <c r="F279" s="541"/>
      <c r="G279" s="541"/>
      <c r="H279" s="541"/>
      <c r="I279" s="541"/>
      <c r="J279" s="541"/>
      <c r="K279" s="541"/>
      <c r="L279" s="541"/>
      <c r="M279" s="541"/>
      <c r="N279" s="542"/>
      <c r="O279" s="541"/>
      <c r="P279" s="541"/>
      <c r="Q279" s="541"/>
      <c r="R279" s="541"/>
    </row>
    <row r="280" spans="1:18" ht="15" x14ac:dyDescent="0.25">
      <c r="A280" s="552"/>
      <c r="B280" s="675" t="s">
        <v>4121</v>
      </c>
      <c r="C280" s="541"/>
      <c r="D280" s="541"/>
      <c r="E280" s="541"/>
      <c r="F280" s="541"/>
      <c r="G280" s="541"/>
      <c r="H280" s="541"/>
      <c r="I280" s="541">
        <v>1100000</v>
      </c>
      <c r="J280" s="541"/>
      <c r="K280" s="541"/>
      <c r="L280" s="541"/>
      <c r="M280" s="541"/>
      <c r="N280" s="542"/>
      <c r="O280" s="541"/>
      <c r="P280" s="541"/>
      <c r="Q280" s="541"/>
      <c r="R280" s="541"/>
    </row>
    <row r="281" spans="1:18" ht="15" x14ac:dyDescent="0.25">
      <c r="A281" s="552"/>
      <c r="B281" s="675" t="s">
        <v>4122</v>
      </c>
      <c r="C281" s="541"/>
      <c r="D281" s="541"/>
      <c r="E281" s="541"/>
      <c r="F281" s="541"/>
      <c r="G281" s="541"/>
      <c r="H281" s="541">
        <v>150000</v>
      </c>
      <c r="I281" s="541"/>
      <c r="J281" s="541"/>
      <c r="K281" s="541"/>
      <c r="L281" s="541"/>
      <c r="M281" s="541"/>
      <c r="N281" s="542"/>
      <c r="O281" s="541"/>
      <c r="P281" s="541"/>
      <c r="Q281" s="541"/>
      <c r="R281" s="541"/>
    </row>
    <row r="282" spans="1:18" ht="28.5" x14ac:dyDescent="0.25">
      <c r="A282" s="552">
        <v>44723</v>
      </c>
      <c r="B282" s="662" t="s">
        <v>3666</v>
      </c>
      <c r="C282" s="541"/>
      <c r="D282" s="541"/>
      <c r="E282" s="541"/>
      <c r="F282" s="541"/>
      <c r="G282" s="541"/>
      <c r="H282" s="541"/>
      <c r="I282" s="541"/>
      <c r="J282" s="541"/>
      <c r="K282" s="541"/>
      <c r="L282" s="541"/>
      <c r="M282" s="541"/>
      <c r="N282" s="542"/>
      <c r="O282" s="541"/>
      <c r="P282" s="544">
        <f>40000*8</f>
        <v>320000</v>
      </c>
      <c r="Q282" s="541"/>
      <c r="R282" s="541"/>
    </row>
    <row r="283" spans="1:18" ht="15" x14ac:dyDescent="0.25">
      <c r="A283" s="552">
        <v>44725</v>
      </c>
      <c r="B283" s="543" t="s">
        <v>1330</v>
      </c>
      <c r="C283" s="544">
        <v>63300</v>
      </c>
      <c r="D283" s="544"/>
      <c r="E283" s="544"/>
      <c r="F283" s="544"/>
      <c r="G283" s="544"/>
      <c r="H283" s="544"/>
      <c r="I283" s="544"/>
      <c r="J283" s="544"/>
      <c r="K283" s="544"/>
      <c r="L283" s="544"/>
      <c r="M283" s="544"/>
      <c r="N283" s="545"/>
      <c r="O283" s="544"/>
      <c r="P283" s="544"/>
      <c r="Q283" s="544"/>
      <c r="R283" s="544"/>
    </row>
    <row r="284" spans="1:18" ht="15" x14ac:dyDescent="0.25">
      <c r="A284" s="552">
        <v>44730</v>
      </c>
      <c r="B284" s="543" t="s">
        <v>4123</v>
      </c>
      <c r="C284" s="541"/>
      <c r="D284" s="541"/>
      <c r="E284" s="541"/>
      <c r="F284" s="541"/>
      <c r="G284" s="541"/>
      <c r="H284" s="541"/>
      <c r="I284" s="541"/>
      <c r="J284" s="541"/>
      <c r="K284" s="541"/>
      <c r="L284" s="541"/>
      <c r="M284" s="541"/>
      <c r="N284" s="542">
        <v>72000</v>
      </c>
      <c r="O284" s="541"/>
      <c r="P284" s="541"/>
      <c r="Q284" s="541"/>
      <c r="R284" s="541"/>
    </row>
    <row r="285" spans="1:18" ht="15" x14ac:dyDescent="0.25">
      <c r="A285" s="552"/>
      <c r="B285" s="543" t="s">
        <v>4124</v>
      </c>
      <c r="C285" s="541"/>
      <c r="D285" s="541"/>
      <c r="E285" s="541"/>
      <c r="F285" s="541"/>
      <c r="G285" s="541"/>
      <c r="H285" s="541"/>
      <c r="I285" s="541"/>
      <c r="J285" s="541"/>
      <c r="K285" s="541"/>
      <c r="L285" s="541"/>
      <c r="M285" s="541"/>
      <c r="N285" s="542">
        <v>63200</v>
      </c>
      <c r="O285" s="541"/>
      <c r="P285" s="541"/>
      <c r="Q285" s="541"/>
      <c r="R285" s="541"/>
    </row>
    <row r="286" spans="1:18" ht="15" x14ac:dyDescent="0.25">
      <c r="A286" s="552"/>
      <c r="B286" s="546" t="s">
        <v>1346</v>
      </c>
      <c r="C286" s="544"/>
      <c r="D286" s="544"/>
      <c r="E286" s="544">
        <v>200000</v>
      </c>
      <c r="F286" s="544"/>
      <c r="G286" s="544"/>
      <c r="H286" s="544"/>
      <c r="I286" s="544"/>
      <c r="J286" s="544"/>
      <c r="K286" s="544"/>
      <c r="L286" s="544"/>
      <c r="M286" s="544"/>
      <c r="N286" s="545"/>
      <c r="O286" s="544"/>
      <c r="P286" s="544"/>
      <c r="Q286" s="544"/>
      <c r="R286" s="544"/>
    </row>
    <row r="287" spans="1:18" ht="28.5" x14ac:dyDescent="0.25">
      <c r="A287" s="552"/>
      <c r="B287" s="543" t="s">
        <v>3664</v>
      </c>
      <c r="C287" s="544"/>
      <c r="D287" s="544"/>
      <c r="E287" s="544"/>
      <c r="F287" s="544"/>
      <c r="G287" s="544"/>
      <c r="H287" s="544"/>
      <c r="I287" s="544"/>
      <c r="J287" s="544"/>
      <c r="K287" s="544"/>
      <c r="L287" s="544"/>
      <c r="M287" s="544"/>
      <c r="N287" s="545"/>
      <c r="O287" s="544">
        <v>6490000</v>
      </c>
      <c r="P287" s="544"/>
      <c r="Q287" s="544"/>
      <c r="R287" s="544"/>
    </row>
    <row r="288" spans="1:18" ht="28.5" x14ac:dyDescent="0.25">
      <c r="A288" s="552"/>
      <c r="B288" s="662" t="s">
        <v>3667</v>
      </c>
      <c r="C288" s="544"/>
      <c r="D288" s="544"/>
      <c r="E288" s="544"/>
      <c r="F288" s="544"/>
      <c r="G288" s="544"/>
      <c r="H288" s="544"/>
      <c r="I288" s="544"/>
      <c r="J288" s="544"/>
      <c r="K288" s="544"/>
      <c r="L288" s="544"/>
      <c r="M288" s="544"/>
      <c r="N288" s="545"/>
      <c r="O288" s="544"/>
      <c r="P288" s="544">
        <f>40000*8</f>
        <v>320000</v>
      </c>
      <c r="Q288" s="544"/>
      <c r="R288" s="544"/>
    </row>
    <row r="289" spans="1:18" ht="15" x14ac:dyDescent="0.25">
      <c r="A289" s="552">
        <v>44732</v>
      </c>
      <c r="B289" s="543" t="s">
        <v>1330</v>
      </c>
      <c r="C289" s="544">
        <v>67500</v>
      </c>
      <c r="D289" s="544"/>
      <c r="E289" s="544"/>
      <c r="F289" s="544"/>
      <c r="G289" s="544"/>
      <c r="H289" s="544"/>
      <c r="I289" s="544"/>
      <c r="J289" s="544"/>
      <c r="K289" s="544"/>
      <c r="L289" s="544"/>
      <c r="M289" s="544"/>
      <c r="N289" s="545"/>
      <c r="O289" s="544"/>
      <c r="P289" s="544"/>
      <c r="Q289" s="544"/>
      <c r="R289" s="544"/>
    </row>
    <row r="290" spans="1:18" ht="15" x14ac:dyDescent="0.25">
      <c r="A290" s="552"/>
      <c r="B290" s="543" t="s">
        <v>1337</v>
      </c>
      <c r="C290" s="541"/>
      <c r="D290" s="541"/>
      <c r="E290" s="541">
        <v>27000</v>
      </c>
      <c r="F290" s="541"/>
      <c r="G290" s="541"/>
      <c r="H290" s="541"/>
      <c r="I290" s="541"/>
      <c r="J290" s="541"/>
      <c r="K290" s="541"/>
      <c r="L290" s="541"/>
      <c r="M290" s="541"/>
      <c r="N290" s="542"/>
      <c r="O290" s="541"/>
      <c r="P290" s="541"/>
      <c r="Q290" s="541"/>
      <c r="R290" s="541"/>
    </row>
    <row r="291" spans="1:18" ht="15" x14ac:dyDescent="0.25">
      <c r="A291" s="552">
        <v>44733</v>
      </c>
      <c r="B291" s="543" t="s">
        <v>4125</v>
      </c>
      <c r="C291" s="544"/>
      <c r="D291" s="544"/>
      <c r="E291" s="544"/>
      <c r="F291" s="544"/>
      <c r="G291" s="544">
        <v>275000</v>
      </c>
      <c r="H291" s="544"/>
      <c r="I291" s="544"/>
      <c r="J291" s="544"/>
      <c r="K291" s="544"/>
      <c r="L291" s="544"/>
      <c r="M291" s="544"/>
      <c r="N291" s="545"/>
      <c r="O291" s="544"/>
      <c r="P291" s="544"/>
      <c r="Q291" s="544"/>
      <c r="R291" s="544"/>
    </row>
    <row r="292" spans="1:18" ht="15" x14ac:dyDescent="0.25">
      <c r="A292" s="552"/>
      <c r="B292" s="672" t="s">
        <v>4126</v>
      </c>
      <c r="C292" s="541">
        <v>285000</v>
      </c>
      <c r="D292" s="541"/>
      <c r="E292" s="541"/>
      <c r="F292" s="541"/>
      <c r="G292" s="541"/>
      <c r="H292" s="541"/>
      <c r="I292" s="541"/>
      <c r="J292" s="541"/>
      <c r="K292" s="541"/>
      <c r="L292" s="541"/>
      <c r="M292" s="541"/>
      <c r="N292" s="542"/>
      <c r="O292" s="541"/>
      <c r="P292" s="541"/>
      <c r="Q292" s="541"/>
      <c r="R292" s="541"/>
    </row>
    <row r="293" spans="1:18" ht="15" x14ac:dyDescent="0.25">
      <c r="A293" s="552">
        <v>44735</v>
      </c>
      <c r="B293" s="543" t="s">
        <v>1351</v>
      </c>
      <c r="C293" s="541"/>
      <c r="D293" s="541"/>
      <c r="E293" s="541"/>
      <c r="F293" s="541"/>
      <c r="G293" s="541"/>
      <c r="H293" s="541"/>
      <c r="I293" s="541"/>
      <c r="J293" s="541">
        <v>502500</v>
      </c>
      <c r="K293" s="541"/>
      <c r="L293" s="541"/>
      <c r="M293" s="541"/>
      <c r="N293" s="542"/>
      <c r="O293" s="541"/>
      <c r="P293" s="541"/>
      <c r="Q293" s="541"/>
      <c r="R293" s="541"/>
    </row>
    <row r="294" spans="1:18" ht="15" x14ac:dyDescent="0.25">
      <c r="A294" s="552"/>
      <c r="B294" s="672" t="s">
        <v>1336</v>
      </c>
      <c r="C294" s="541"/>
      <c r="D294" s="541"/>
      <c r="E294" s="541"/>
      <c r="F294" s="541">
        <v>2699000</v>
      </c>
      <c r="G294" s="541"/>
      <c r="H294" s="541"/>
      <c r="I294" s="541"/>
      <c r="J294" s="541"/>
      <c r="K294" s="541"/>
      <c r="L294" s="541"/>
      <c r="M294" s="541"/>
      <c r="N294" s="542"/>
      <c r="O294" s="541"/>
      <c r="P294" s="541"/>
      <c r="Q294" s="541"/>
      <c r="R294" s="541"/>
    </row>
    <row r="295" spans="1:18" ht="15" x14ac:dyDescent="0.25">
      <c r="A295" s="552"/>
      <c r="B295" s="540" t="s">
        <v>4127</v>
      </c>
      <c r="C295" s="541"/>
      <c r="D295" s="541"/>
      <c r="E295" s="541">
        <v>91000</v>
      </c>
      <c r="F295" s="541"/>
      <c r="G295" s="541"/>
      <c r="H295" s="541"/>
      <c r="I295" s="541"/>
      <c r="J295" s="541"/>
      <c r="K295" s="541"/>
      <c r="L295" s="541"/>
      <c r="M295" s="541"/>
      <c r="N295" s="542"/>
      <c r="O295" s="541"/>
      <c r="P295" s="541"/>
      <c r="Q295" s="541"/>
      <c r="R295" s="541"/>
    </row>
    <row r="296" spans="1:18" ht="28.5" x14ac:dyDescent="0.25">
      <c r="A296" s="552">
        <v>44737</v>
      </c>
      <c r="B296" s="662" t="s">
        <v>3668</v>
      </c>
      <c r="C296" s="541"/>
      <c r="D296" s="541"/>
      <c r="E296" s="541"/>
      <c r="F296" s="541"/>
      <c r="G296" s="541"/>
      <c r="H296" s="541"/>
      <c r="I296" s="541"/>
      <c r="J296" s="541"/>
      <c r="K296" s="541"/>
      <c r="L296" s="541"/>
      <c r="M296" s="541"/>
      <c r="N296" s="542"/>
      <c r="O296" s="541"/>
      <c r="P296" s="544">
        <f>40000*9</f>
        <v>360000</v>
      </c>
      <c r="Q296" s="541"/>
      <c r="R296" s="541"/>
    </row>
    <row r="297" spans="1:18" ht="15" x14ac:dyDescent="0.25">
      <c r="A297" s="552"/>
      <c r="B297" s="540" t="s">
        <v>4129</v>
      </c>
      <c r="C297" s="541"/>
      <c r="D297" s="541"/>
      <c r="E297" s="541"/>
      <c r="F297" s="541"/>
      <c r="G297" s="541"/>
      <c r="H297" s="541">
        <v>35000</v>
      </c>
      <c r="I297" s="541"/>
      <c r="J297" s="541"/>
      <c r="K297" s="541"/>
      <c r="L297" s="541"/>
      <c r="M297" s="541"/>
      <c r="N297" s="542"/>
      <c r="O297" s="541"/>
      <c r="P297" s="541"/>
      <c r="Q297" s="541"/>
      <c r="R297" s="541"/>
    </row>
    <row r="298" spans="1:18" ht="15" x14ac:dyDescent="0.25">
      <c r="A298" s="552"/>
      <c r="B298" s="540" t="s">
        <v>1914</v>
      </c>
      <c r="C298" s="541"/>
      <c r="D298" s="541"/>
      <c r="E298" s="541"/>
      <c r="F298" s="541"/>
      <c r="G298" s="541">
        <v>200000</v>
      </c>
      <c r="H298" s="541"/>
      <c r="I298" s="541"/>
      <c r="J298" s="541"/>
      <c r="K298" s="541"/>
      <c r="L298" s="541"/>
      <c r="M298" s="541"/>
      <c r="N298" s="542"/>
      <c r="O298" s="541"/>
      <c r="P298" s="541"/>
      <c r="Q298" s="541"/>
      <c r="R298" s="541"/>
    </row>
    <row r="299" spans="1:18" ht="15" x14ac:dyDescent="0.25">
      <c r="A299" s="552"/>
      <c r="B299" s="675" t="s">
        <v>4130</v>
      </c>
      <c r="C299" s="541"/>
      <c r="D299" s="541"/>
      <c r="E299" s="541"/>
      <c r="F299" s="541"/>
      <c r="G299" s="541"/>
      <c r="H299" s="541"/>
      <c r="I299" s="541"/>
      <c r="J299" s="541"/>
      <c r="K299" s="541"/>
      <c r="L299" s="541">
        <f>3636000/2</f>
        <v>1818000</v>
      </c>
      <c r="M299" s="541"/>
      <c r="N299" s="542"/>
      <c r="O299" s="541"/>
      <c r="P299" s="541"/>
      <c r="Q299" s="541"/>
      <c r="R299" s="541"/>
    </row>
    <row r="300" spans="1:18" ht="15" x14ac:dyDescent="0.25">
      <c r="A300" s="552"/>
      <c r="B300" s="675" t="s">
        <v>4131</v>
      </c>
      <c r="C300" s="541"/>
      <c r="D300" s="541"/>
      <c r="E300" s="541"/>
      <c r="F300" s="541"/>
      <c r="G300" s="541"/>
      <c r="H300" s="541"/>
      <c r="I300" s="541"/>
      <c r="J300" s="541"/>
      <c r="K300" s="541"/>
      <c r="L300" s="541">
        <f>3611000/2</f>
        <v>1805500</v>
      </c>
      <c r="M300" s="541"/>
      <c r="N300" s="542"/>
      <c r="O300" s="541"/>
      <c r="P300" s="541"/>
      <c r="Q300" s="541"/>
      <c r="R300" s="541"/>
    </row>
    <row r="301" spans="1:18" ht="15" x14ac:dyDescent="0.25">
      <c r="A301" s="552"/>
      <c r="B301" s="675" t="s">
        <v>4132</v>
      </c>
      <c r="C301" s="541"/>
      <c r="D301" s="541"/>
      <c r="E301" s="541"/>
      <c r="F301" s="541"/>
      <c r="G301" s="541"/>
      <c r="H301" s="541"/>
      <c r="I301" s="541"/>
      <c r="J301" s="541"/>
      <c r="K301" s="541"/>
      <c r="L301" s="541">
        <f>2812500/2</f>
        <v>1406250</v>
      </c>
      <c r="M301" s="541"/>
      <c r="N301" s="542"/>
      <c r="O301" s="541"/>
      <c r="P301" s="541"/>
      <c r="Q301" s="541"/>
      <c r="R301" s="541"/>
    </row>
    <row r="302" spans="1:18" ht="15" x14ac:dyDescent="0.25">
      <c r="A302" s="552"/>
      <c r="B302" s="675" t="s">
        <v>4133</v>
      </c>
      <c r="C302" s="541"/>
      <c r="D302" s="541"/>
      <c r="E302" s="541"/>
      <c r="F302" s="541"/>
      <c r="G302" s="541"/>
      <c r="H302" s="541"/>
      <c r="I302" s="541"/>
      <c r="J302" s="541"/>
      <c r="K302" s="541"/>
      <c r="L302" s="541">
        <f>2935000/2</f>
        <v>1467500</v>
      </c>
      <c r="M302" s="541"/>
      <c r="N302" s="542"/>
      <c r="O302" s="541"/>
      <c r="P302" s="541"/>
      <c r="Q302" s="541"/>
      <c r="R302" s="541"/>
    </row>
    <row r="303" spans="1:18" ht="15" x14ac:dyDescent="0.25">
      <c r="A303" s="552">
        <v>44739</v>
      </c>
      <c r="B303" s="540" t="s">
        <v>1330</v>
      </c>
      <c r="C303" s="541">
        <v>63500</v>
      </c>
      <c r="D303" s="541"/>
      <c r="E303" s="541"/>
      <c r="F303" s="541"/>
      <c r="G303" s="541"/>
      <c r="H303" s="541"/>
      <c r="I303" s="541"/>
      <c r="J303" s="541"/>
      <c r="K303" s="541"/>
      <c r="L303" s="541"/>
      <c r="M303" s="541"/>
      <c r="N303" s="542"/>
      <c r="O303" s="541"/>
      <c r="P303" s="541"/>
      <c r="Q303" s="541"/>
      <c r="R303" s="541"/>
    </row>
    <row r="304" spans="1:18" ht="15" x14ac:dyDescent="0.25">
      <c r="A304" s="552"/>
      <c r="B304" s="540" t="s">
        <v>1346</v>
      </c>
      <c r="C304" s="541"/>
      <c r="D304" s="541"/>
      <c r="E304" s="541">
        <v>200000</v>
      </c>
      <c r="F304" s="541"/>
      <c r="G304" s="541"/>
      <c r="H304" s="541"/>
      <c r="I304" s="541"/>
      <c r="J304" s="541"/>
      <c r="K304" s="541"/>
      <c r="L304" s="541"/>
      <c r="M304" s="541"/>
      <c r="N304" s="542"/>
      <c r="O304" s="541"/>
      <c r="P304" s="541"/>
      <c r="Q304" s="541"/>
      <c r="R304" s="541"/>
    </row>
    <row r="305" spans="1:18" ht="15" x14ac:dyDescent="0.25">
      <c r="A305" s="552">
        <v>44741</v>
      </c>
      <c r="B305" s="540" t="s">
        <v>1349</v>
      </c>
      <c r="C305" s="541"/>
      <c r="D305" s="541"/>
      <c r="E305" s="541"/>
      <c r="F305" s="541"/>
      <c r="G305" s="541"/>
      <c r="H305" s="541"/>
      <c r="I305" s="541"/>
      <c r="J305" s="541"/>
      <c r="K305" s="541">
        <v>51000</v>
      </c>
      <c r="L305" s="541"/>
      <c r="M305" s="541"/>
      <c r="N305" s="542"/>
      <c r="O305" s="541"/>
      <c r="P305" s="541"/>
      <c r="Q305" s="541"/>
      <c r="R305" s="541"/>
    </row>
    <row r="306" spans="1:18" ht="15" x14ac:dyDescent="0.25">
      <c r="A306" s="552"/>
      <c r="B306" s="543" t="s">
        <v>4128</v>
      </c>
      <c r="C306" s="541"/>
      <c r="D306" s="541"/>
      <c r="E306" s="541"/>
      <c r="F306" s="541"/>
      <c r="G306" s="541">
        <v>101500</v>
      </c>
      <c r="H306" s="541"/>
      <c r="I306" s="541"/>
      <c r="J306" s="541"/>
      <c r="K306" s="541"/>
      <c r="L306" s="541"/>
      <c r="M306" s="541"/>
      <c r="N306" s="542"/>
      <c r="O306" s="541"/>
      <c r="P306" s="541"/>
      <c r="Q306" s="541"/>
      <c r="R306" s="541"/>
    </row>
    <row r="307" spans="1:18" ht="15" x14ac:dyDescent="0.25">
      <c r="A307" s="552">
        <v>44742</v>
      </c>
      <c r="B307" s="543" t="s">
        <v>733</v>
      </c>
      <c r="C307" s="541"/>
      <c r="D307" s="541"/>
      <c r="E307" s="541"/>
      <c r="F307" s="541"/>
      <c r="G307" s="541"/>
      <c r="H307" s="541"/>
      <c r="I307" s="541"/>
      <c r="J307" s="541"/>
      <c r="K307" s="541"/>
      <c r="L307" s="541"/>
      <c r="M307" s="541"/>
      <c r="N307" s="542"/>
      <c r="O307" s="544">
        <v>24500000</v>
      </c>
      <c r="P307" s="541"/>
      <c r="Q307" s="541"/>
      <c r="R307" s="541"/>
    </row>
    <row r="308" spans="1:18" ht="15" x14ac:dyDescent="0.25">
      <c r="A308" s="552"/>
      <c r="B308" s="543" t="s">
        <v>735</v>
      </c>
      <c r="C308" s="541"/>
      <c r="D308" s="541"/>
      <c r="E308" s="541"/>
      <c r="F308" s="541"/>
      <c r="G308" s="541"/>
      <c r="H308" s="541"/>
      <c r="I308" s="541"/>
      <c r="J308" s="541"/>
      <c r="K308" s="541"/>
      <c r="L308" s="541"/>
      <c r="M308" s="541">
        <v>5177500</v>
      </c>
      <c r="N308" s="542"/>
      <c r="O308" s="541"/>
      <c r="P308" s="541"/>
      <c r="Q308" s="541"/>
      <c r="R308" s="541"/>
    </row>
    <row r="309" spans="1:18" ht="15" x14ac:dyDescent="0.25">
      <c r="A309" s="552"/>
      <c r="B309" s="543" t="s">
        <v>734</v>
      </c>
      <c r="C309" s="541"/>
      <c r="D309" s="541"/>
      <c r="E309" s="541"/>
      <c r="F309" s="541"/>
      <c r="G309" s="541"/>
      <c r="H309" s="541"/>
      <c r="I309" s="541"/>
      <c r="J309" s="541"/>
      <c r="K309" s="541"/>
      <c r="L309" s="541"/>
      <c r="M309" s="541"/>
      <c r="N309" s="542"/>
      <c r="O309" s="541"/>
      <c r="P309" s="541">
        <v>1000000</v>
      </c>
      <c r="Q309" s="541"/>
      <c r="R309" s="541"/>
    </row>
    <row r="310" spans="1:18" ht="16.5" x14ac:dyDescent="0.25">
      <c r="A310" s="566"/>
      <c r="B310" s="567" t="s">
        <v>38</v>
      </c>
      <c r="C310" s="568">
        <f t="shared" ref="C310:R310" si="8">SUM(C263:C309)</f>
        <v>543700</v>
      </c>
      <c r="D310" s="568">
        <f t="shared" si="8"/>
        <v>0</v>
      </c>
      <c r="E310" s="568">
        <f t="shared" si="8"/>
        <v>745000</v>
      </c>
      <c r="F310" s="568">
        <f t="shared" si="8"/>
        <v>5778000</v>
      </c>
      <c r="G310" s="568">
        <f t="shared" si="8"/>
        <v>576500</v>
      </c>
      <c r="H310" s="568">
        <f t="shared" si="8"/>
        <v>785000</v>
      </c>
      <c r="I310" s="568">
        <f t="shared" si="8"/>
        <v>1750000</v>
      </c>
      <c r="J310" s="568">
        <f t="shared" si="8"/>
        <v>1005000</v>
      </c>
      <c r="K310" s="568">
        <f t="shared" si="8"/>
        <v>439053</v>
      </c>
      <c r="L310" s="568">
        <f t="shared" si="8"/>
        <v>6497250</v>
      </c>
      <c r="M310" s="568">
        <f t="shared" si="8"/>
        <v>5177500</v>
      </c>
      <c r="N310" s="568">
        <f t="shared" si="8"/>
        <v>2111011</v>
      </c>
      <c r="O310" s="568">
        <f t="shared" si="8"/>
        <v>36380000</v>
      </c>
      <c r="P310" s="568">
        <f t="shared" si="8"/>
        <v>2360000</v>
      </c>
      <c r="Q310" s="568">
        <f t="shared" si="8"/>
        <v>0</v>
      </c>
      <c r="R310" s="568">
        <f t="shared" si="8"/>
        <v>0</v>
      </c>
    </row>
    <row r="311" spans="1:18" ht="16.5" x14ac:dyDescent="0.25">
      <c r="A311" s="561" t="s">
        <v>416</v>
      </c>
      <c r="B311" s="562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4"/>
      <c r="O311" s="563"/>
      <c r="P311" s="563"/>
      <c r="Q311" s="565"/>
      <c r="R311" s="565"/>
    </row>
    <row r="312" spans="1:18" ht="15" x14ac:dyDescent="0.25">
      <c r="A312" s="551">
        <v>44743</v>
      </c>
      <c r="B312" s="543" t="s">
        <v>1334</v>
      </c>
      <c r="C312" s="541"/>
      <c r="D312" s="541"/>
      <c r="E312" s="541"/>
      <c r="F312" s="541"/>
      <c r="G312" s="541"/>
      <c r="H312" s="541"/>
      <c r="I312" s="541"/>
      <c r="J312" s="541"/>
      <c r="K312" s="541"/>
      <c r="L312" s="541"/>
      <c r="M312" s="541"/>
      <c r="N312" s="542">
        <v>1995821</v>
      </c>
      <c r="O312" s="541"/>
      <c r="P312" s="541"/>
      <c r="Q312" s="541"/>
      <c r="R312" s="541"/>
    </row>
    <row r="313" spans="1:18" ht="15" x14ac:dyDescent="0.25">
      <c r="A313" s="552"/>
      <c r="B313" s="672" t="s">
        <v>1335</v>
      </c>
      <c r="C313" s="541"/>
      <c r="D313" s="541"/>
      <c r="E313" s="541"/>
      <c r="F313" s="541"/>
      <c r="G313" s="541"/>
      <c r="H313" s="541">
        <v>100000</v>
      </c>
      <c r="I313" s="541"/>
      <c r="J313" s="541"/>
      <c r="K313" s="541"/>
      <c r="L313" s="541"/>
      <c r="M313" s="541"/>
      <c r="N313" s="542"/>
      <c r="O313" s="541"/>
      <c r="P313" s="541"/>
      <c r="Q313" s="541"/>
      <c r="R313" s="541"/>
    </row>
    <row r="314" spans="1:18" ht="28.5" x14ac:dyDescent="0.25">
      <c r="A314" s="552">
        <v>44744</v>
      </c>
      <c r="B314" s="543" t="s">
        <v>3669</v>
      </c>
      <c r="C314" s="544"/>
      <c r="D314" s="544"/>
      <c r="E314" s="544"/>
      <c r="F314" s="544"/>
      <c r="G314" s="544"/>
      <c r="H314" s="544"/>
      <c r="I314" s="544"/>
      <c r="J314" s="544"/>
      <c r="K314" s="544"/>
      <c r="L314" s="544"/>
      <c r="M314" s="544"/>
      <c r="N314" s="545"/>
      <c r="O314" s="544">
        <v>6600000</v>
      </c>
      <c r="P314" s="544"/>
      <c r="Q314" s="544"/>
      <c r="R314" s="544"/>
    </row>
    <row r="315" spans="1:18" ht="28.5" x14ac:dyDescent="0.25">
      <c r="A315" s="552"/>
      <c r="B315" s="662" t="s">
        <v>3670</v>
      </c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5"/>
      <c r="O315" s="544"/>
      <c r="P315" s="544">
        <f>40000*9</f>
        <v>360000</v>
      </c>
      <c r="Q315" s="544"/>
      <c r="R315" s="544"/>
    </row>
    <row r="316" spans="1:18" ht="15" x14ac:dyDescent="0.25">
      <c r="A316" s="552">
        <v>44746</v>
      </c>
      <c r="B316" s="543" t="s">
        <v>1330</v>
      </c>
      <c r="C316" s="541">
        <v>63300</v>
      </c>
      <c r="D316" s="541"/>
      <c r="E316" s="541"/>
      <c r="F316" s="541"/>
      <c r="G316" s="541"/>
      <c r="H316" s="541"/>
      <c r="I316" s="541"/>
      <c r="J316" s="541"/>
      <c r="K316" s="541"/>
      <c r="L316" s="541"/>
      <c r="M316" s="541"/>
      <c r="N316" s="542"/>
      <c r="O316" s="541"/>
      <c r="P316" s="541"/>
      <c r="Q316" s="541"/>
      <c r="R316" s="541"/>
    </row>
    <row r="317" spans="1:18" ht="15" x14ac:dyDescent="0.25">
      <c r="A317" s="552"/>
      <c r="B317" s="543" t="s">
        <v>4873</v>
      </c>
      <c r="C317" s="541"/>
      <c r="D317" s="541"/>
      <c r="E317" s="541"/>
      <c r="F317" s="541"/>
      <c r="G317" s="541">
        <v>1534000</v>
      </c>
      <c r="H317" s="541"/>
      <c r="I317" s="541"/>
      <c r="J317" s="541"/>
      <c r="K317" s="541"/>
      <c r="L317" s="541"/>
      <c r="M317" s="541"/>
      <c r="N317" s="542"/>
      <c r="O317" s="541"/>
      <c r="P317" s="541"/>
      <c r="Q317" s="541"/>
      <c r="R317" s="541"/>
    </row>
    <row r="318" spans="1:18" ht="15" x14ac:dyDescent="0.25">
      <c r="A318" s="552">
        <v>44747</v>
      </c>
      <c r="B318" s="543" t="s">
        <v>1922</v>
      </c>
      <c r="C318" s="541"/>
      <c r="D318" s="541"/>
      <c r="E318" s="541">
        <v>25000</v>
      </c>
      <c r="F318" s="541"/>
      <c r="G318" s="541"/>
      <c r="H318" s="541"/>
      <c r="I318" s="541"/>
      <c r="J318" s="541"/>
      <c r="K318" s="541"/>
      <c r="L318" s="541"/>
      <c r="M318" s="541"/>
      <c r="N318" s="542"/>
      <c r="O318" s="541"/>
      <c r="P318" s="541"/>
      <c r="Q318" s="541"/>
      <c r="R318" s="541"/>
    </row>
    <row r="319" spans="1:18" ht="15" x14ac:dyDescent="0.25">
      <c r="A319" s="552"/>
      <c r="B319" s="540" t="s">
        <v>1358</v>
      </c>
      <c r="C319" s="541"/>
      <c r="D319" s="541"/>
      <c r="E319" s="541"/>
      <c r="F319" s="541"/>
      <c r="G319" s="541"/>
      <c r="H319" s="541">
        <v>100000</v>
      </c>
      <c r="I319" s="541"/>
      <c r="J319" s="541"/>
      <c r="K319" s="541"/>
      <c r="L319" s="541"/>
      <c r="M319" s="541"/>
      <c r="N319" s="542"/>
      <c r="O319" s="541"/>
      <c r="P319" s="541"/>
      <c r="Q319" s="541"/>
      <c r="R319" s="541"/>
    </row>
    <row r="320" spans="1:18" ht="15" x14ac:dyDescent="0.25">
      <c r="A320" s="552">
        <v>44749</v>
      </c>
      <c r="B320" s="543" t="s">
        <v>1353</v>
      </c>
      <c r="C320" s="541"/>
      <c r="D320" s="541"/>
      <c r="E320" s="541"/>
      <c r="F320" s="541"/>
      <c r="G320" s="541"/>
      <c r="H320" s="541"/>
      <c r="I320" s="541">
        <v>2066000</v>
      </c>
      <c r="J320" s="541"/>
      <c r="K320" s="541"/>
      <c r="L320" s="541"/>
      <c r="M320" s="541"/>
      <c r="N320" s="542"/>
      <c r="O320" s="541"/>
      <c r="P320" s="541"/>
      <c r="Q320" s="541"/>
      <c r="R320" s="541"/>
    </row>
    <row r="321" spans="1:18" ht="15" x14ac:dyDescent="0.25">
      <c r="A321" s="552"/>
      <c r="B321" s="671" t="s">
        <v>4874</v>
      </c>
      <c r="C321" s="541"/>
      <c r="D321" s="541"/>
      <c r="E321" s="541"/>
      <c r="F321" s="541"/>
      <c r="G321" s="541"/>
      <c r="H321" s="541"/>
      <c r="I321" s="541"/>
      <c r="J321" s="541"/>
      <c r="K321" s="541"/>
      <c r="L321" s="541"/>
      <c r="M321" s="541"/>
      <c r="N321" s="542"/>
      <c r="O321" s="541"/>
      <c r="P321" s="541"/>
      <c r="Q321" s="541"/>
      <c r="R321" s="541"/>
    </row>
    <row r="322" spans="1:18" ht="15" x14ac:dyDescent="0.25">
      <c r="A322" s="552"/>
      <c r="B322" s="671" t="s">
        <v>4875</v>
      </c>
      <c r="C322" s="541"/>
      <c r="D322" s="541"/>
      <c r="E322" s="541"/>
      <c r="F322" s="541"/>
      <c r="G322" s="541"/>
      <c r="H322" s="541"/>
      <c r="I322" s="541"/>
      <c r="J322" s="541"/>
      <c r="K322" s="541"/>
      <c r="L322" s="541"/>
      <c r="M322" s="541"/>
      <c r="N322" s="542"/>
      <c r="O322" s="541"/>
      <c r="P322" s="541"/>
      <c r="Q322" s="541"/>
      <c r="R322" s="541"/>
    </row>
    <row r="323" spans="1:18" ht="15" x14ac:dyDescent="0.25">
      <c r="A323" s="552"/>
      <c r="B323" s="671" t="s">
        <v>4876</v>
      </c>
      <c r="C323" s="541"/>
      <c r="D323" s="541"/>
      <c r="E323" s="541"/>
      <c r="F323" s="541"/>
      <c r="G323" s="541"/>
      <c r="H323" s="541"/>
      <c r="I323" s="541"/>
      <c r="J323" s="541"/>
      <c r="K323" s="541"/>
      <c r="L323" s="541"/>
      <c r="M323" s="541"/>
      <c r="N323" s="542"/>
      <c r="O323" s="541"/>
      <c r="P323" s="541"/>
      <c r="Q323" s="541"/>
      <c r="R323" s="541"/>
    </row>
    <row r="324" spans="1:18" ht="15" x14ac:dyDescent="0.25">
      <c r="A324" s="552"/>
      <c r="B324" s="671" t="s">
        <v>4877</v>
      </c>
      <c r="C324" s="541"/>
      <c r="D324" s="541"/>
      <c r="E324" s="541"/>
      <c r="F324" s="541"/>
      <c r="G324" s="541"/>
      <c r="H324" s="541"/>
      <c r="I324" s="541"/>
      <c r="J324" s="541"/>
      <c r="K324" s="541"/>
      <c r="L324" s="541"/>
      <c r="M324" s="541"/>
      <c r="N324" s="542"/>
      <c r="O324" s="541"/>
      <c r="P324" s="541"/>
      <c r="Q324" s="541"/>
      <c r="R324" s="541"/>
    </row>
    <row r="325" spans="1:18" ht="15" x14ac:dyDescent="0.25">
      <c r="A325" s="552"/>
      <c r="B325" s="671" t="s">
        <v>4878</v>
      </c>
      <c r="C325" s="541"/>
      <c r="D325" s="541"/>
      <c r="E325" s="541"/>
      <c r="F325" s="541"/>
      <c r="G325" s="541"/>
      <c r="H325" s="541"/>
      <c r="I325" s="541"/>
      <c r="J325" s="541"/>
      <c r="K325" s="541"/>
      <c r="L325" s="541"/>
      <c r="M325" s="541"/>
      <c r="N325" s="542"/>
      <c r="O325" s="541"/>
      <c r="P325" s="541"/>
      <c r="Q325" s="541"/>
      <c r="R325" s="541"/>
    </row>
    <row r="326" spans="1:18" ht="15" x14ac:dyDescent="0.25">
      <c r="A326" s="552"/>
      <c r="B326" s="671" t="s">
        <v>4879</v>
      </c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2"/>
      <c r="O326" s="541"/>
      <c r="P326" s="541"/>
      <c r="Q326" s="541"/>
      <c r="R326" s="541"/>
    </row>
    <row r="327" spans="1:18" ht="28.5" x14ac:dyDescent="0.25">
      <c r="A327" s="552">
        <v>44750</v>
      </c>
      <c r="B327" s="662" t="s">
        <v>4384</v>
      </c>
      <c r="C327" s="541"/>
      <c r="D327" s="541"/>
      <c r="E327" s="541"/>
      <c r="F327" s="541"/>
      <c r="G327" s="541"/>
      <c r="H327" s="541"/>
      <c r="I327" s="541"/>
      <c r="J327" s="541"/>
      <c r="K327" s="541"/>
      <c r="L327" s="541"/>
      <c r="M327" s="541"/>
      <c r="N327" s="542"/>
      <c r="O327" s="541"/>
      <c r="P327" s="544">
        <f>40000*9</f>
        <v>360000</v>
      </c>
      <c r="Q327" s="541"/>
      <c r="R327" s="541"/>
    </row>
    <row r="328" spans="1:18" ht="15" x14ac:dyDescent="0.25">
      <c r="A328" s="552"/>
      <c r="B328" s="543" t="s">
        <v>1908</v>
      </c>
      <c r="C328" s="541"/>
      <c r="D328" s="541"/>
      <c r="E328" s="541"/>
      <c r="F328" s="541"/>
      <c r="G328" s="541"/>
      <c r="H328" s="541"/>
      <c r="I328" s="541"/>
      <c r="J328" s="541"/>
      <c r="K328" s="541">
        <v>355200</v>
      </c>
      <c r="L328" s="541"/>
      <c r="M328" s="541"/>
      <c r="N328" s="542"/>
      <c r="O328" s="541"/>
      <c r="P328" s="541"/>
      <c r="Q328" s="541"/>
      <c r="R328" s="541"/>
    </row>
    <row r="329" spans="1:18" ht="15" x14ac:dyDescent="0.25">
      <c r="A329" s="552"/>
      <c r="B329" s="712" t="s">
        <v>1909</v>
      </c>
      <c r="C329" s="541"/>
      <c r="D329" s="541"/>
      <c r="E329" s="541"/>
      <c r="F329" s="541"/>
      <c r="G329" s="541"/>
      <c r="H329" s="541"/>
      <c r="I329" s="541"/>
      <c r="J329" s="541"/>
      <c r="K329" s="541">
        <v>129894</v>
      </c>
      <c r="L329" s="541"/>
      <c r="M329" s="541"/>
      <c r="N329" s="542"/>
      <c r="O329" s="541"/>
      <c r="P329" s="541"/>
      <c r="Q329" s="541"/>
      <c r="R329" s="541"/>
    </row>
    <row r="330" spans="1:18" ht="15" x14ac:dyDescent="0.25">
      <c r="A330" s="552">
        <v>44753</v>
      </c>
      <c r="B330" s="540" t="s">
        <v>1330</v>
      </c>
      <c r="C330" s="541">
        <v>57600</v>
      </c>
      <c r="D330" s="541"/>
      <c r="E330" s="541"/>
      <c r="F330" s="541"/>
      <c r="G330" s="541"/>
      <c r="H330" s="541"/>
      <c r="I330" s="541"/>
      <c r="J330" s="541"/>
      <c r="K330" s="541"/>
      <c r="L330" s="541"/>
      <c r="M330" s="541"/>
      <c r="N330" s="542"/>
      <c r="O330" s="541"/>
      <c r="P330" s="541"/>
      <c r="Q330" s="541"/>
      <c r="R330" s="541"/>
    </row>
    <row r="331" spans="1:18" ht="15" x14ac:dyDescent="0.25">
      <c r="A331" s="552"/>
      <c r="B331" s="546" t="s">
        <v>1346</v>
      </c>
      <c r="C331" s="544"/>
      <c r="D331" s="544"/>
      <c r="E331" s="544">
        <v>215000</v>
      </c>
      <c r="F331" s="544"/>
      <c r="G331" s="544"/>
      <c r="H331" s="544"/>
      <c r="I331" s="544"/>
      <c r="J331" s="544"/>
      <c r="K331" s="544"/>
      <c r="L331" s="544"/>
      <c r="M331" s="544"/>
      <c r="N331" s="545"/>
      <c r="O331" s="544"/>
      <c r="P331" s="544"/>
      <c r="Q331" s="544"/>
      <c r="R331" s="544"/>
    </row>
    <row r="332" spans="1:18" ht="15" x14ac:dyDescent="0.25">
      <c r="A332" s="552">
        <v>44756</v>
      </c>
      <c r="B332" s="540" t="s">
        <v>1336</v>
      </c>
      <c r="C332" s="541"/>
      <c r="D332" s="541"/>
      <c r="E332" s="541"/>
      <c r="F332" s="541">
        <v>4201500</v>
      </c>
      <c r="G332" s="541"/>
      <c r="H332" s="541"/>
      <c r="I332" s="541"/>
      <c r="J332" s="541"/>
      <c r="K332" s="541"/>
      <c r="L332" s="541"/>
      <c r="M332" s="541"/>
      <c r="N332" s="542"/>
      <c r="O332" s="541"/>
      <c r="P332" s="541"/>
      <c r="Q332" s="541"/>
      <c r="R332" s="541"/>
    </row>
    <row r="333" spans="1:18" ht="15" x14ac:dyDescent="0.25">
      <c r="A333" s="552"/>
      <c r="B333" s="540" t="s">
        <v>1349</v>
      </c>
      <c r="C333" s="541"/>
      <c r="D333" s="541"/>
      <c r="E333" s="541"/>
      <c r="F333" s="541"/>
      <c r="G333" s="541"/>
      <c r="H333" s="541"/>
      <c r="I333" s="541"/>
      <c r="J333" s="541"/>
      <c r="K333" s="541">
        <v>51000</v>
      </c>
      <c r="L333" s="541"/>
      <c r="M333" s="541"/>
      <c r="N333" s="542"/>
      <c r="O333" s="541"/>
      <c r="P333" s="541"/>
      <c r="Q333" s="541"/>
      <c r="R333" s="541"/>
    </row>
    <row r="334" spans="1:18" ht="28.5" x14ac:dyDescent="0.25">
      <c r="A334" s="552">
        <v>44758</v>
      </c>
      <c r="B334" s="543" t="s">
        <v>4383</v>
      </c>
      <c r="C334" s="541"/>
      <c r="D334" s="541"/>
      <c r="E334" s="541"/>
      <c r="F334" s="541"/>
      <c r="G334" s="541"/>
      <c r="H334" s="541"/>
      <c r="I334" s="541"/>
      <c r="J334" s="541"/>
      <c r="K334" s="541"/>
      <c r="L334" s="541"/>
      <c r="M334" s="541"/>
      <c r="N334" s="542"/>
      <c r="O334" s="541">
        <v>6050000</v>
      </c>
      <c r="P334" s="541"/>
      <c r="Q334" s="541"/>
      <c r="R334" s="541"/>
    </row>
    <row r="335" spans="1:18" ht="28.5" x14ac:dyDescent="0.25">
      <c r="A335" s="552"/>
      <c r="B335" s="662" t="s">
        <v>4385</v>
      </c>
      <c r="C335" s="541"/>
      <c r="D335" s="541"/>
      <c r="E335" s="541"/>
      <c r="F335" s="541"/>
      <c r="G335" s="541"/>
      <c r="H335" s="541"/>
      <c r="I335" s="541"/>
      <c r="J335" s="541"/>
      <c r="K335" s="541"/>
      <c r="L335" s="541"/>
      <c r="M335" s="541"/>
      <c r="N335" s="542"/>
      <c r="O335" s="541"/>
      <c r="P335" s="544">
        <f>40000*10</f>
        <v>400000</v>
      </c>
      <c r="Q335" s="541"/>
      <c r="R335" s="541"/>
    </row>
    <row r="336" spans="1:18" ht="15" x14ac:dyDescent="0.25">
      <c r="A336" s="552"/>
      <c r="B336" s="540" t="s">
        <v>1914</v>
      </c>
      <c r="C336" s="541"/>
      <c r="D336" s="541"/>
      <c r="E336" s="541"/>
      <c r="F336" s="541"/>
      <c r="G336" s="541">
        <v>600000</v>
      </c>
      <c r="H336" s="541"/>
      <c r="I336" s="541"/>
      <c r="J336" s="541"/>
      <c r="K336" s="541"/>
      <c r="L336" s="541"/>
      <c r="M336" s="541"/>
      <c r="N336" s="542"/>
      <c r="O336" s="541"/>
      <c r="P336" s="541"/>
      <c r="Q336" s="541"/>
      <c r="R336" s="541"/>
    </row>
    <row r="337" spans="1:18" ht="15" x14ac:dyDescent="0.25">
      <c r="A337" s="552">
        <v>44760</v>
      </c>
      <c r="B337" s="540" t="s">
        <v>1330</v>
      </c>
      <c r="C337" s="541">
        <v>67200</v>
      </c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2"/>
      <c r="O337" s="541"/>
      <c r="P337" s="541"/>
      <c r="Q337" s="541"/>
      <c r="R337" s="541"/>
    </row>
    <row r="338" spans="1:18" ht="15" x14ac:dyDescent="0.25">
      <c r="A338" s="552">
        <v>44762</v>
      </c>
      <c r="B338" s="543" t="s">
        <v>1338</v>
      </c>
      <c r="C338" s="541"/>
      <c r="D338" s="541"/>
      <c r="E338" s="541"/>
      <c r="F338" s="541"/>
      <c r="G338" s="541"/>
      <c r="H338" s="541">
        <v>200000</v>
      </c>
      <c r="I338" s="541"/>
      <c r="J338" s="541"/>
      <c r="K338" s="541"/>
      <c r="L338" s="541"/>
      <c r="M338" s="541"/>
      <c r="N338" s="542"/>
      <c r="O338" s="541"/>
      <c r="P338" s="541"/>
      <c r="Q338" s="541"/>
      <c r="R338" s="541"/>
    </row>
    <row r="339" spans="1:18" ht="15" x14ac:dyDescent="0.25">
      <c r="A339" s="552">
        <v>44763</v>
      </c>
      <c r="B339" s="540" t="s">
        <v>1342</v>
      </c>
      <c r="C339" s="541"/>
      <c r="D339" s="541"/>
      <c r="E339" s="541"/>
      <c r="F339" s="541">
        <v>547631</v>
      </c>
      <c r="G339" s="541"/>
      <c r="H339" s="541"/>
      <c r="I339" s="541"/>
      <c r="J339" s="541"/>
      <c r="K339" s="541"/>
      <c r="L339" s="541"/>
      <c r="M339" s="541"/>
      <c r="N339" s="542"/>
      <c r="O339" s="541"/>
      <c r="P339" s="541"/>
      <c r="Q339" s="541"/>
      <c r="R339" s="541"/>
    </row>
    <row r="340" spans="1:18" ht="15" x14ac:dyDescent="0.25">
      <c r="A340" s="552">
        <v>44765</v>
      </c>
      <c r="B340" s="540" t="s">
        <v>1336</v>
      </c>
      <c r="C340" s="541"/>
      <c r="D340" s="541"/>
      <c r="E340" s="541"/>
      <c r="F340" s="541"/>
      <c r="G340" s="541">
        <v>4800000</v>
      </c>
      <c r="H340" s="541"/>
      <c r="I340" s="541"/>
      <c r="J340" s="541"/>
      <c r="K340" s="541"/>
      <c r="L340" s="541"/>
      <c r="M340" s="541"/>
      <c r="N340" s="542"/>
      <c r="O340" s="541"/>
      <c r="P340" s="541"/>
      <c r="Q340" s="541"/>
      <c r="R340" s="541"/>
    </row>
    <row r="341" spans="1:18" ht="15" x14ac:dyDescent="0.25">
      <c r="A341" s="552"/>
      <c r="B341" s="543" t="s">
        <v>1346</v>
      </c>
      <c r="C341" s="544"/>
      <c r="D341" s="544"/>
      <c r="E341" s="544">
        <v>215000</v>
      </c>
      <c r="F341" s="544"/>
      <c r="G341" s="544"/>
      <c r="H341" s="544"/>
      <c r="I341" s="544"/>
      <c r="J341" s="544"/>
      <c r="K341" s="544"/>
      <c r="L341" s="544"/>
      <c r="M341" s="544"/>
      <c r="N341" s="545"/>
      <c r="O341" s="544"/>
      <c r="P341" s="541"/>
      <c r="Q341" s="544"/>
      <c r="R341" s="544"/>
    </row>
    <row r="342" spans="1:18" ht="28.5" x14ac:dyDescent="0.25">
      <c r="A342" s="552"/>
      <c r="B342" s="662" t="s">
        <v>4386</v>
      </c>
      <c r="C342" s="541"/>
      <c r="D342" s="541"/>
      <c r="E342" s="541"/>
      <c r="F342" s="541"/>
      <c r="G342" s="541"/>
      <c r="H342" s="541"/>
      <c r="I342" s="541"/>
      <c r="J342" s="541"/>
      <c r="K342" s="541"/>
      <c r="L342" s="541"/>
      <c r="M342" s="541"/>
      <c r="N342" s="542"/>
      <c r="O342" s="541"/>
      <c r="P342" s="544">
        <f>40000*8</f>
        <v>320000</v>
      </c>
      <c r="Q342" s="541"/>
      <c r="R342" s="541"/>
    </row>
    <row r="343" spans="1:18" ht="15" x14ac:dyDescent="0.25">
      <c r="A343" s="552">
        <v>44769</v>
      </c>
      <c r="B343" s="543" t="s">
        <v>1351</v>
      </c>
      <c r="C343" s="541"/>
      <c r="D343" s="541"/>
      <c r="E343" s="541"/>
      <c r="F343" s="541"/>
      <c r="G343" s="541"/>
      <c r="H343" s="541"/>
      <c r="I343" s="541"/>
      <c r="J343" s="541">
        <v>502500</v>
      </c>
      <c r="K343" s="541"/>
      <c r="L343" s="541"/>
      <c r="M343" s="541"/>
      <c r="N343" s="542"/>
      <c r="O343" s="541"/>
      <c r="P343" s="541"/>
      <c r="Q343" s="541"/>
      <c r="R343" s="541"/>
    </row>
    <row r="344" spans="1:18" ht="28.5" x14ac:dyDescent="0.25">
      <c r="A344" s="552">
        <v>44771</v>
      </c>
      <c r="B344" s="543" t="s">
        <v>4387</v>
      </c>
      <c r="C344" s="541"/>
      <c r="D344" s="541"/>
      <c r="E344" s="541"/>
      <c r="F344" s="541"/>
      <c r="G344" s="541"/>
      <c r="H344" s="541"/>
      <c r="I344" s="541"/>
      <c r="J344" s="541"/>
      <c r="K344" s="541"/>
      <c r="L344" s="541"/>
      <c r="M344" s="541"/>
      <c r="N344" s="542"/>
      <c r="O344" s="541">
        <v>5940000</v>
      </c>
      <c r="P344" s="541"/>
      <c r="Q344" s="541"/>
      <c r="R344" s="541"/>
    </row>
    <row r="345" spans="1:18" ht="28.5" x14ac:dyDescent="0.25">
      <c r="A345" s="552"/>
      <c r="B345" s="662" t="s">
        <v>4388</v>
      </c>
      <c r="C345" s="541"/>
      <c r="D345" s="541"/>
      <c r="E345" s="541"/>
      <c r="F345" s="541"/>
      <c r="G345" s="541"/>
      <c r="H345" s="541"/>
      <c r="I345" s="541"/>
      <c r="J345" s="541"/>
      <c r="K345" s="541"/>
      <c r="L345" s="541"/>
      <c r="M345" s="541"/>
      <c r="N345" s="542"/>
      <c r="O345" s="541"/>
      <c r="P345" s="544">
        <f>40000*10</f>
        <v>400000</v>
      </c>
      <c r="Q345" s="541"/>
      <c r="R345" s="541"/>
    </row>
    <row r="346" spans="1:18" ht="15" x14ac:dyDescent="0.25">
      <c r="A346" s="552"/>
      <c r="B346" s="543" t="s">
        <v>733</v>
      </c>
      <c r="C346" s="541"/>
      <c r="D346" s="541"/>
      <c r="E346" s="541"/>
      <c r="F346" s="541"/>
      <c r="G346" s="541"/>
      <c r="H346" s="541"/>
      <c r="I346" s="541"/>
      <c r="J346" s="541"/>
      <c r="K346" s="541"/>
      <c r="L346" s="541"/>
      <c r="M346" s="541"/>
      <c r="N346" s="542"/>
      <c r="O346" s="544">
        <v>24500000</v>
      </c>
      <c r="P346" s="541"/>
      <c r="Q346" s="541"/>
      <c r="R346" s="541"/>
    </row>
    <row r="347" spans="1:18" ht="15" x14ac:dyDescent="0.25">
      <c r="A347" s="552"/>
      <c r="B347" s="543" t="s">
        <v>735</v>
      </c>
      <c r="C347" s="541"/>
      <c r="D347" s="541"/>
      <c r="E347" s="541"/>
      <c r="F347" s="541"/>
      <c r="G347" s="541"/>
      <c r="H347" s="541"/>
      <c r="I347" s="541"/>
      <c r="J347" s="541"/>
      <c r="K347" s="541"/>
      <c r="L347" s="541"/>
      <c r="M347" s="541">
        <v>5357000</v>
      </c>
      <c r="N347" s="542"/>
      <c r="O347" s="541"/>
      <c r="P347" s="541"/>
      <c r="Q347" s="541"/>
      <c r="R347" s="541"/>
    </row>
    <row r="348" spans="1:18" ht="15" x14ac:dyDescent="0.25">
      <c r="A348" s="552"/>
      <c r="B348" s="543" t="s">
        <v>734</v>
      </c>
      <c r="C348" s="541"/>
      <c r="D348" s="541"/>
      <c r="E348" s="541"/>
      <c r="F348" s="541"/>
      <c r="G348" s="541"/>
      <c r="H348" s="541"/>
      <c r="I348" s="541"/>
      <c r="J348" s="541"/>
      <c r="K348" s="541"/>
      <c r="L348" s="541"/>
      <c r="M348" s="541"/>
      <c r="N348" s="542"/>
      <c r="O348" s="541"/>
      <c r="P348" s="541">
        <v>1200000</v>
      </c>
      <c r="Q348" s="541"/>
      <c r="R348" s="541"/>
    </row>
    <row r="349" spans="1:18" ht="15" x14ac:dyDescent="0.25">
      <c r="A349" s="552">
        <v>44774</v>
      </c>
      <c r="B349" s="675" t="s">
        <v>4887</v>
      </c>
      <c r="C349" s="541"/>
      <c r="D349" s="541"/>
      <c r="E349" s="541"/>
      <c r="F349" s="541"/>
      <c r="G349" s="541"/>
      <c r="H349" s="541"/>
      <c r="I349" s="541"/>
      <c r="J349" s="541"/>
      <c r="K349" s="541"/>
      <c r="L349" s="541">
        <f>2301000/2</f>
        <v>1150500</v>
      </c>
      <c r="M349" s="541"/>
      <c r="N349" s="542"/>
      <c r="O349" s="541"/>
      <c r="P349" s="541"/>
      <c r="Q349" s="541"/>
      <c r="R349" s="541"/>
    </row>
    <row r="350" spans="1:18" ht="15" x14ac:dyDescent="0.25">
      <c r="A350" s="552"/>
      <c r="B350" s="675" t="s">
        <v>4889</v>
      </c>
      <c r="C350" s="541"/>
      <c r="D350" s="541"/>
      <c r="E350" s="541"/>
      <c r="F350" s="541"/>
      <c r="G350" s="541"/>
      <c r="H350" s="541"/>
      <c r="I350" s="541"/>
      <c r="J350" s="541"/>
      <c r="K350" s="541"/>
      <c r="L350" s="541">
        <f>3546200/2</f>
        <v>1773100</v>
      </c>
      <c r="M350" s="541"/>
      <c r="N350" s="542"/>
      <c r="O350" s="541"/>
      <c r="P350" s="541"/>
      <c r="Q350" s="541"/>
      <c r="R350" s="541"/>
    </row>
    <row r="351" spans="1:18" ht="15" x14ac:dyDescent="0.25">
      <c r="A351" s="552"/>
      <c r="B351" s="675" t="s">
        <v>4888</v>
      </c>
      <c r="C351" s="541"/>
      <c r="D351" s="541"/>
      <c r="E351" s="541"/>
      <c r="F351" s="541"/>
      <c r="G351" s="541"/>
      <c r="H351" s="541"/>
      <c r="I351" s="541"/>
      <c r="J351" s="541"/>
      <c r="K351" s="541"/>
      <c r="L351" s="541">
        <f>2894500/2</f>
        <v>1447250</v>
      </c>
      <c r="M351" s="541"/>
      <c r="N351" s="542"/>
      <c r="O351" s="541"/>
      <c r="P351" s="541"/>
      <c r="Q351" s="541"/>
      <c r="R351" s="541"/>
    </row>
    <row r="352" spans="1:18" ht="15" x14ac:dyDescent="0.25">
      <c r="A352" s="552"/>
      <c r="B352" s="675" t="s">
        <v>4890</v>
      </c>
      <c r="C352" s="541"/>
      <c r="D352" s="541"/>
      <c r="E352" s="541"/>
      <c r="F352" s="541"/>
      <c r="G352" s="541"/>
      <c r="H352" s="541"/>
      <c r="I352" s="541"/>
      <c r="J352" s="541"/>
      <c r="K352" s="541"/>
      <c r="L352" s="541">
        <f>4744000/2</f>
        <v>2372000</v>
      </c>
      <c r="M352" s="541"/>
      <c r="N352" s="542"/>
      <c r="O352" s="541"/>
      <c r="P352" s="541"/>
      <c r="Q352" s="541"/>
      <c r="R352" s="541"/>
    </row>
    <row r="353" spans="1:18" ht="15" x14ac:dyDescent="0.25">
      <c r="A353" s="552"/>
      <c r="B353" s="675" t="s">
        <v>4891</v>
      </c>
      <c r="C353" s="541"/>
      <c r="D353" s="541"/>
      <c r="E353" s="541"/>
      <c r="F353" s="541"/>
      <c r="G353" s="541"/>
      <c r="H353" s="541"/>
      <c r="I353" s="541"/>
      <c r="J353" s="541"/>
      <c r="K353" s="541"/>
      <c r="L353" s="541">
        <f>2847000/2</f>
        <v>1423500</v>
      </c>
      <c r="M353" s="541"/>
      <c r="N353" s="542"/>
      <c r="O353" s="541"/>
      <c r="P353" s="541"/>
      <c r="Q353" s="541"/>
      <c r="R353" s="541"/>
    </row>
    <row r="354" spans="1:18" ht="16.5" x14ac:dyDescent="0.25">
      <c r="A354" s="566"/>
      <c r="B354" s="567" t="s">
        <v>38</v>
      </c>
      <c r="C354" s="568">
        <f t="shared" ref="C354:R354" si="9">SUM(C312:C353)</f>
        <v>188100</v>
      </c>
      <c r="D354" s="568">
        <f t="shared" si="9"/>
        <v>0</v>
      </c>
      <c r="E354" s="568">
        <f t="shared" si="9"/>
        <v>455000</v>
      </c>
      <c r="F354" s="568">
        <f t="shared" si="9"/>
        <v>4749131</v>
      </c>
      <c r="G354" s="568">
        <f t="shared" si="9"/>
        <v>6934000</v>
      </c>
      <c r="H354" s="568">
        <f t="shared" si="9"/>
        <v>400000</v>
      </c>
      <c r="I354" s="568">
        <f t="shared" si="9"/>
        <v>2066000</v>
      </c>
      <c r="J354" s="568">
        <f t="shared" si="9"/>
        <v>502500</v>
      </c>
      <c r="K354" s="568">
        <f t="shared" si="9"/>
        <v>536094</v>
      </c>
      <c r="L354" s="568">
        <f t="shared" si="9"/>
        <v>8166350</v>
      </c>
      <c r="M354" s="568">
        <f t="shared" si="9"/>
        <v>5357000</v>
      </c>
      <c r="N354" s="568">
        <f t="shared" si="9"/>
        <v>1995821</v>
      </c>
      <c r="O354" s="568">
        <f t="shared" si="9"/>
        <v>43090000</v>
      </c>
      <c r="P354" s="568">
        <f t="shared" si="9"/>
        <v>3040000</v>
      </c>
      <c r="Q354" s="568">
        <f t="shared" si="9"/>
        <v>0</v>
      </c>
      <c r="R354" s="568">
        <f t="shared" si="9"/>
        <v>0</v>
      </c>
    </row>
    <row r="355" spans="1:18" ht="16.5" x14ac:dyDescent="0.25">
      <c r="A355" s="561" t="s">
        <v>417</v>
      </c>
      <c r="B355" s="562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4"/>
      <c r="O355" s="563"/>
      <c r="P355" s="563"/>
      <c r="Q355" s="565"/>
      <c r="R355" s="565"/>
    </row>
    <row r="356" spans="1:18" ht="15" x14ac:dyDescent="0.25">
      <c r="A356" s="551">
        <v>44774</v>
      </c>
      <c r="B356" s="543" t="s">
        <v>1334</v>
      </c>
      <c r="C356" s="541"/>
      <c r="D356" s="541"/>
      <c r="E356" s="541"/>
      <c r="F356" s="541"/>
      <c r="G356" s="541"/>
      <c r="H356" s="541"/>
      <c r="I356" s="541"/>
      <c r="J356" s="541"/>
      <c r="K356" s="541"/>
      <c r="L356" s="541"/>
      <c r="M356" s="541"/>
      <c r="N356" s="542">
        <v>1995821</v>
      </c>
      <c r="O356" s="541"/>
      <c r="P356" s="541"/>
      <c r="Q356" s="541"/>
      <c r="R356" s="541"/>
    </row>
    <row r="357" spans="1:18" ht="15" x14ac:dyDescent="0.25">
      <c r="A357" s="552">
        <v>44776</v>
      </c>
      <c r="B357" s="540" t="s">
        <v>1347</v>
      </c>
      <c r="C357" s="541"/>
      <c r="D357" s="541"/>
      <c r="E357" s="541"/>
      <c r="F357" s="541"/>
      <c r="G357" s="541"/>
      <c r="H357" s="541">
        <v>100000</v>
      </c>
      <c r="I357" s="541"/>
      <c r="J357" s="541"/>
      <c r="K357" s="541"/>
      <c r="L357" s="541"/>
      <c r="M357" s="541"/>
      <c r="N357" s="542"/>
      <c r="O357" s="541"/>
      <c r="P357" s="541"/>
      <c r="Q357" s="541"/>
      <c r="R357" s="541"/>
    </row>
    <row r="358" spans="1:18" ht="15" x14ac:dyDescent="0.25">
      <c r="A358" s="552">
        <v>44777</v>
      </c>
      <c r="B358" s="540" t="s">
        <v>1330</v>
      </c>
      <c r="C358" s="541">
        <v>64400</v>
      </c>
      <c r="D358" s="541"/>
      <c r="E358" s="541"/>
      <c r="F358" s="541"/>
      <c r="G358" s="541"/>
      <c r="H358" s="541"/>
      <c r="I358" s="541"/>
      <c r="J358" s="541"/>
      <c r="K358" s="541"/>
      <c r="L358" s="541"/>
      <c r="M358" s="541"/>
      <c r="N358" s="542"/>
      <c r="O358" s="541"/>
      <c r="P358" s="541"/>
      <c r="Q358" s="541"/>
      <c r="R358" s="541"/>
    </row>
    <row r="359" spans="1:18" ht="15" x14ac:dyDescent="0.25">
      <c r="A359" s="552"/>
      <c r="B359" s="540" t="s">
        <v>5621</v>
      </c>
      <c r="C359" s="541"/>
      <c r="D359" s="541"/>
      <c r="E359" s="541">
        <v>280000</v>
      </c>
      <c r="F359" s="541"/>
      <c r="G359" s="541"/>
      <c r="H359" s="541"/>
      <c r="I359" s="541"/>
      <c r="J359" s="541"/>
      <c r="K359" s="541"/>
      <c r="L359" s="541"/>
      <c r="M359" s="541"/>
      <c r="N359" s="542"/>
      <c r="O359" s="541"/>
      <c r="P359" s="541"/>
      <c r="Q359" s="541"/>
      <c r="R359" s="541"/>
    </row>
    <row r="360" spans="1:18" ht="15" x14ac:dyDescent="0.25">
      <c r="A360" s="552">
        <v>44778</v>
      </c>
      <c r="B360" s="540" t="s">
        <v>5610</v>
      </c>
      <c r="C360" s="541"/>
      <c r="D360" s="541">
        <v>500000</v>
      </c>
      <c r="E360" s="541"/>
      <c r="F360" s="541"/>
      <c r="G360" s="541"/>
      <c r="H360" s="541"/>
      <c r="I360" s="541"/>
      <c r="J360" s="541"/>
      <c r="K360" s="541"/>
      <c r="L360" s="541"/>
      <c r="M360" s="541"/>
      <c r="N360" s="542"/>
      <c r="O360" s="541"/>
      <c r="P360" s="541"/>
      <c r="Q360" s="541"/>
      <c r="R360" s="541"/>
    </row>
    <row r="361" spans="1:18" ht="15" x14ac:dyDescent="0.25">
      <c r="A361" s="552"/>
      <c r="B361" s="672" t="s">
        <v>1335</v>
      </c>
      <c r="C361" s="544"/>
      <c r="D361" s="544"/>
      <c r="E361" s="544"/>
      <c r="F361" s="544"/>
      <c r="G361" s="544"/>
      <c r="H361" s="544">
        <v>100000</v>
      </c>
      <c r="I361" s="544"/>
      <c r="J361" s="544"/>
      <c r="K361" s="544"/>
      <c r="L361" s="544"/>
      <c r="M361" s="544"/>
      <c r="N361" s="545"/>
      <c r="O361" s="544"/>
      <c r="P361" s="544"/>
      <c r="Q361" s="544"/>
      <c r="R361" s="544"/>
    </row>
    <row r="362" spans="1:18" ht="15" x14ac:dyDescent="0.25">
      <c r="A362" s="552"/>
      <c r="B362" s="540" t="s">
        <v>3551</v>
      </c>
      <c r="C362" s="541"/>
      <c r="D362" s="541"/>
      <c r="E362" s="541"/>
      <c r="F362" s="541"/>
      <c r="G362" s="541"/>
      <c r="H362" s="541">
        <v>100000</v>
      </c>
      <c r="I362" s="541"/>
      <c r="J362" s="541"/>
      <c r="K362" s="541"/>
      <c r="L362" s="541"/>
      <c r="M362" s="541"/>
      <c r="N362" s="542"/>
      <c r="O362" s="541"/>
      <c r="P362" s="541"/>
      <c r="Q362" s="541"/>
      <c r="R362" s="541"/>
    </row>
    <row r="363" spans="1:18" ht="15" x14ac:dyDescent="0.25">
      <c r="A363" s="552"/>
      <c r="B363" s="543" t="s">
        <v>1353</v>
      </c>
      <c r="C363" s="541"/>
      <c r="D363" s="541"/>
      <c r="E363" s="541"/>
      <c r="F363" s="541"/>
      <c r="G363" s="541"/>
      <c r="H363" s="541"/>
      <c r="I363" s="541">
        <v>1108000</v>
      </c>
      <c r="J363" s="541"/>
      <c r="K363" s="541"/>
      <c r="L363" s="541"/>
      <c r="M363" s="541"/>
      <c r="N363" s="542"/>
      <c r="O363" s="541"/>
      <c r="P363" s="541"/>
      <c r="Q363" s="541"/>
      <c r="R363" s="541"/>
    </row>
    <row r="364" spans="1:18" ht="15" x14ac:dyDescent="0.25">
      <c r="A364" s="552"/>
      <c r="B364" s="671" t="s">
        <v>5616</v>
      </c>
      <c r="C364" s="541"/>
      <c r="D364" s="541"/>
      <c r="E364" s="541"/>
      <c r="F364" s="541"/>
      <c r="G364" s="541"/>
      <c r="H364" s="541"/>
      <c r="I364" s="541"/>
      <c r="J364" s="541"/>
      <c r="K364" s="541"/>
      <c r="L364" s="541"/>
      <c r="M364" s="541"/>
      <c r="N364" s="542"/>
      <c r="O364" s="541"/>
      <c r="P364" s="541"/>
      <c r="Q364" s="541"/>
      <c r="R364" s="541"/>
    </row>
    <row r="365" spans="1:18" ht="15" x14ac:dyDescent="0.25">
      <c r="A365" s="552"/>
      <c r="B365" s="671" t="s">
        <v>5617</v>
      </c>
      <c r="C365" s="541"/>
      <c r="D365" s="541"/>
      <c r="E365" s="541"/>
      <c r="F365" s="541"/>
      <c r="G365" s="541"/>
      <c r="H365" s="541"/>
      <c r="I365" s="541"/>
      <c r="J365" s="541"/>
      <c r="K365" s="541"/>
      <c r="L365" s="541"/>
      <c r="M365" s="541"/>
      <c r="N365" s="542"/>
      <c r="O365" s="541"/>
      <c r="P365" s="541"/>
      <c r="Q365" s="541"/>
      <c r="R365" s="541"/>
    </row>
    <row r="366" spans="1:18" ht="28.5" x14ac:dyDescent="0.25">
      <c r="A366" s="552">
        <v>44779</v>
      </c>
      <c r="B366" s="662" t="s">
        <v>4920</v>
      </c>
      <c r="C366" s="541"/>
      <c r="D366" s="541"/>
      <c r="E366" s="541"/>
      <c r="F366" s="541"/>
      <c r="G366" s="541"/>
      <c r="H366" s="541"/>
      <c r="I366" s="541"/>
      <c r="J366" s="541"/>
      <c r="K366" s="541"/>
      <c r="L366" s="541"/>
      <c r="M366" s="541"/>
      <c r="N366" s="542"/>
      <c r="O366" s="541"/>
      <c r="P366" s="544">
        <f>40000*9</f>
        <v>360000</v>
      </c>
      <c r="Q366" s="541"/>
      <c r="R366" s="541"/>
    </row>
    <row r="367" spans="1:18" ht="15" x14ac:dyDescent="0.25">
      <c r="A367" s="552"/>
      <c r="B367" s="675" t="s">
        <v>1336</v>
      </c>
      <c r="C367" s="541"/>
      <c r="D367" s="541"/>
      <c r="E367" s="541"/>
      <c r="F367" s="541">
        <v>2184000</v>
      </c>
      <c r="G367" s="541"/>
      <c r="H367" s="541"/>
      <c r="I367" s="541"/>
      <c r="J367" s="541"/>
      <c r="K367" s="541"/>
      <c r="L367" s="541"/>
      <c r="M367" s="541"/>
      <c r="N367" s="542"/>
      <c r="O367" s="541"/>
      <c r="P367" s="541"/>
      <c r="Q367" s="541"/>
      <c r="R367" s="541"/>
    </row>
    <row r="368" spans="1:18" ht="15" x14ac:dyDescent="0.25">
      <c r="A368" s="552"/>
      <c r="B368" s="543" t="s">
        <v>5615</v>
      </c>
      <c r="C368" s="544"/>
      <c r="D368" s="544"/>
      <c r="E368" s="544"/>
      <c r="F368" s="544"/>
      <c r="G368" s="544"/>
      <c r="H368" s="544"/>
      <c r="I368" s="544">
        <v>50000</v>
      </c>
      <c r="J368" s="544"/>
      <c r="K368" s="544"/>
      <c r="L368" s="544"/>
      <c r="M368" s="544"/>
      <c r="N368" s="545"/>
      <c r="O368" s="544"/>
      <c r="P368" s="544"/>
      <c r="Q368" s="544"/>
      <c r="R368" s="544"/>
    </row>
    <row r="369" spans="1:18" ht="15" x14ac:dyDescent="0.25">
      <c r="A369" s="552">
        <v>44781</v>
      </c>
      <c r="B369" s="543" t="s">
        <v>1908</v>
      </c>
      <c r="C369" s="541"/>
      <c r="D369" s="541"/>
      <c r="E369" s="541"/>
      <c r="F369" s="541"/>
      <c r="G369" s="541"/>
      <c r="H369" s="541"/>
      <c r="I369" s="541"/>
      <c r="J369" s="541"/>
      <c r="K369" s="541">
        <v>166636</v>
      </c>
      <c r="L369" s="541"/>
      <c r="M369" s="541"/>
      <c r="N369" s="542"/>
      <c r="O369" s="541"/>
      <c r="P369" s="541"/>
      <c r="Q369" s="541"/>
      <c r="R369" s="541"/>
    </row>
    <row r="370" spans="1:18" ht="15" x14ac:dyDescent="0.25">
      <c r="A370" s="552"/>
      <c r="B370" s="712" t="s">
        <v>1909</v>
      </c>
      <c r="C370" s="541"/>
      <c r="D370" s="541"/>
      <c r="E370" s="541"/>
      <c r="F370" s="541"/>
      <c r="G370" s="541"/>
      <c r="H370" s="541"/>
      <c r="I370" s="541"/>
      <c r="J370" s="541"/>
      <c r="K370" s="541">
        <v>355200</v>
      </c>
      <c r="L370" s="541"/>
      <c r="M370" s="541"/>
      <c r="N370" s="542"/>
      <c r="O370" s="541"/>
      <c r="P370" s="541"/>
      <c r="Q370" s="541"/>
      <c r="R370" s="541"/>
    </row>
    <row r="371" spans="1:18" ht="15" x14ac:dyDescent="0.25">
      <c r="A371" s="552"/>
      <c r="B371" s="543" t="s">
        <v>1346</v>
      </c>
      <c r="C371" s="541"/>
      <c r="D371" s="541"/>
      <c r="E371" s="541">
        <v>215000</v>
      </c>
      <c r="F371" s="541"/>
      <c r="G371" s="541"/>
      <c r="H371" s="541"/>
      <c r="I371" s="541"/>
      <c r="J371" s="541"/>
      <c r="K371" s="541"/>
      <c r="L371" s="541"/>
      <c r="M371" s="541"/>
      <c r="N371" s="542"/>
      <c r="O371" s="541"/>
      <c r="P371" s="541"/>
      <c r="Q371" s="541"/>
      <c r="R371" s="541"/>
    </row>
    <row r="372" spans="1:18" ht="15" x14ac:dyDescent="0.25">
      <c r="A372" s="552"/>
      <c r="B372" s="540" t="s">
        <v>1330</v>
      </c>
      <c r="C372" s="541">
        <v>62000</v>
      </c>
      <c r="D372" s="541"/>
      <c r="E372" s="541"/>
      <c r="F372" s="541"/>
      <c r="G372" s="541"/>
      <c r="H372" s="541"/>
      <c r="I372" s="541"/>
      <c r="J372" s="541"/>
      <c r="K372" s="541"/>
      <c r="L372" s="541"/>
      <c r="M372" s="541"/>
      <c r="N372" s="542"/>
      <c r="O372" s="541"/>
      <c r="P372" s="541"/>
      <c r="Q372" s="541"/>
      <c r="R372" s="541"/>
    </row>
    <row r="373" spans="1:18" ht="15" x14ac:dyDescent="0.25">
      <c r="A373" s="552">
        <v>44782</v>
      </c>
      <c r="B373" s="543" t="s">
        <v>5611</v>
      </c>
      <c r="C373" s="541"/>
      <c r="D373" s="541">
        <v>231000</v>
      </c>
      <c r="E373" s="541"/>
      <c r="F373" s="541"/>
      <c r="G373" s="541"/>
      <c r="H373" s="541"/>
      <c r="I373" s="541"/>
      <c r="J373" s="541"/>
      <c r="K373" s="541"/>
      <c r="L373" s="541"/>
      <c r="M373" s="541"/>
      <c r="N373" s="542"/>
      <c r="O373" s="541"/>
      <c r="P373" s="541"/>
      <c r="Q373" s="541"/>
      <c r="R373" s="541"/>
    </row>
    <row r="374" spans="1:18" ht="15" x14ac:dyDescent="0.25">
      <c r="A374" s="552">
        <v>44784</v>
      </c>
      <c r="B374" s="540" t="s">
        <v>5612</v>
      </c>
      <c r="C374" s="541">
        <v>240000</v>
      </c>
      <c r="D374" s="541"/>
      <c r="E374" s="541"/>
      <c r="F374" s="541"/>
      <c r="G374" s="541"/>
      <c r="H374" s="541"/>
      <c r="I374" s="541"/>
      <c r="J374" s="541"/>
      <c r="K374" s="541"/>
      <c r="L374" s="541"/>
      <c r="M374" s="541"/>
      <c r="N374" s="542"/>
      <c r="O374" s="541"/>
      <c r="P374" s="541"/>
      <c r="Q374" s="541"/>
      <c r="R374" s="541"/>
    </row>
    <row r="375" spans="1:18" ht="15" x14ac:dyDescent="0.25">
      <c r="A375" s="552"/>
      <c r="B375" s="540" t="s">
        <v>1913</v>
      </c>
      <c r="C375" s="541"/>
      <c r="D375" s="541"/>
      <c r="E375" s="541"/>
      <c r="F375" s="541"/>
      <c r="G375" s="541">
        <v>225000</v>
      </c>
      <c r="H375" s="541"/>
      <c r="I375" s="541"/>
      <c r="J375" s="541"/>
      <c r="K375" s="541"/>
      <c r="L375" s="541"/>
      <c r="M375" s="541"/>
      <c r="N375" s="542"/>
      <c r="O375" s="541"/>
      <c r="P375" s="541"/>
      <c r="Q375" s="541"/>
      <c r="R375" s="541"/>
    </row>
    <row r="376" spans="1:18" ht="28.5" x14ac:dyDescent="0.25">
      <c r="A376" s="552">
        <v>44786</v>
      </c>
      <c r="B376" s="543" t="s">
        <v>4918</v>
      </c>
      <c r="C376" s="541"/>
      <c r="D376" s="541"/>
      <c r="E376" s="541"/>
      <c r="F376" s="541"/>
      <c r="G376" s="541"/>
      <c r="H376" s="541"/>
      <c r="I376" s="541"/>
      <c r="J376" s="541"/>
      <c r="K376" s="541"/>
      <c r="L376" s="541"/>
      <c r="M376" s="541"/>
      <c r="N376" s="542"/>
      <c r="O376" s="541">
        <v>6600000</v>
      </c>
      <c r="P376" s="541"/>
      <c r="Q376" s="541"/>
      <c r="R376" s="541"/>
    </row>
    <row r="377" spans="1:18" ht="28.5" x14ac:dyDescent="0.25">
      <c r="A377" s="552"/>
      <c r="B377" s="662" t="s">
        <v>4919</v>
      </c>
      <c r="C377" s="541"/>
      <c r="D377" s="541"/>
      <c r="E377" s="541"/>
      <c r="F377" s="541"/>
      <c r="G377" s="541"/>
      <c r="H377" s="541"/>
      <c r="I377" s="541"/>
      <c r="J377" s="541"/>
      <c r="K377" s="541"/>
      <c r="L377" s="541"/>
      <c r="M377" s="541"/>
      <c r="N377" s="542"/>
      <c r="O377" s="541"/>
      <c r="P377" s="544">
        <f>40000*10</f>
        <v>400000</v>
      </c>
      <c r="Q377" s="541"/>
      <c r="R377" s="541"/>
    </row>
    <row r="378" spans="1:18" ht="15" x14ac:dyDescent="0.25">
      <c r="A378" s="552"/>
      <c r="B378" s="540" t="s">
        <v>1335</v>
      </c>
      <c r="C378" s="541"/>
      <c r="D378" s="541"/>
      <c r="E378" s="541"/>
      <c r="F378" s="541"/>
      <c r="G378" s="541"/>
      <c r="H378" s="541">
        <v>100000</v>
      </c>
      <c r="I378" s="541"/>
      <c r="J378" s="541"/>
      <c r="K378" s="541"/>
      <c r="L378" s="541"/>
      <c r="M378" s="541"/>
      <c r="N378" s="542"/>
      <c r="O378" s="541"/>
      <c r="P378" s="541"/>
      <c r="Q378" s="541"/>
      <c r="R378" s="541"/>
    </row>
    <row r="379" spans="1:18" ht="15" x14ac:dyDescent="0.25">
      <c r="A379" s="552">
        <v>44789</v>
      </c>
      <c r="B379" s="540" t="s">
        <v>1336</v>
      </c>
      <c r="C379" s="541"/>
      <c r="D379" s="541"/>
      <c r="E379" s="541"/>
      <c r="F379" s="541">
        <v>6000000</v>
      </c>
      <c r="G379" s="541"/>
      <c r="H379" s="541"/>
      <c r="I379" s="541"/>
      <c r="J379" s="541"/>
      <c r="K379" s="541"/>
      <c r="L379" s="541"/>
      <c r="M379" s="541"/>
      <c r="N379" s="542"/>
      <c r="O379" s="541"/>
      <c r="P379" s="541"/>
      <c r="Q379" s="541"/>
      <c r="R379" s="541"/>
    </row>
    <row r="380" spans="1:18" ht="15" x14ac:dyDescent="0.25">
      <c r="A380" s="552">
        <v>44791</v>
      </c>
      <c r="B380" s="540" t="s">
        <v>1914</v>
      </c>
      <c r="C380" s="541"/>
      <c r="D380" s="541"/>
      <c r="E380" s="541"/>
      <c r="F380" s="541"/>
      <c r="G380" s="541">
        <v>200000</v>
      </c>
      <c r="H380" s="541"/>
      <c r="I380" s="541"/>
      <c r="J380" s="541"/>
      <c r="K380" s="541"/>
      <c r="L380" s="541"/>
      <c r="M380" s="541"/>
      <c r="N380" s="542"/>
      <c r="O380" s="541"/>
      <c r="P380" s="541"/>
      <c r="Q380" s="541"/>
      <c r="R380" s="541"/>
    </row>
    <row r="381" spans="1:18" ht="15" x14ac:dyDescent="0.25">
      <c r="A381" s="552"/>
      <c r="B381" s="540" t="s">
        <v>5613</v>
      </c>
      <c r="C381" s="541"/>
      <c r="D381" s="541">
        <v>137500</v>
      </c>
      <c r="E381" s="541"/>
      <c r="F381" s="541"/>
      <c r="G381" s="541"/>
      <c r="H381" s="541"/>
      <c r="I381" s="541"/>
      <c r="J381" s="541"/>
      <c r="K381" s="541"/>
      <c r="L381" s="541"/>
      <c r="M381" s="541"/>
      <c r="N381" s="542"/>
      <c r="O381" s="541"/>
      <c r="P381" s="541"/>
      <c r="Q381" s="541"/>
      <c r="R381" s="541"/>
    </row>
    <row r="382" spans="1:18" ht="15" x14ac:dyDescent="0.25">
      <c r="A382" s="552">
        <v>44792</v>
      </c>
      <c r="B382" s="543" t="s">
        <v>5614</v>
      </c>
      <c r="C382" s="541">
        <v>485000</v>
      </c>
      <c r="D382" s="541"/>
      <c r="E382" s="541"/>
      <c r="F382" s="541"/>
      <c r="G382" s="541"/>
      <c r="H382" s="541"/>
      <c r="I382" s="541"/>
      <c r="J382" s="541"/>
      <c r="K382" s="541"/>
      <c r="L382" s="541"/>
      <c r="M382" s="541"/>
      <c r="N382" s="542"/>
      <c r="O382" s="541"/>
      <c r="P382" s="541"/>
      <c r="Q382" s="541"/>
      <c r="R382" s="541"/>
    </row>
    <row r="383" spans="1:18" ht="28.5" x14ac:dyDescent="0.25">
      <c r="A383" s="552">
        <v>44793</v>
      </c>
      <c r="B383" s="662" t="s">
        <v>4921</v>
      </c>
      <c r="C383" s="541"/>
      <c r="D383" s="541"/>
      <c r="E383" s="541"/>
      <c r="F383" s="541"/>
      <c r="G383" s="541"/>
      <c r="H383" s="541"/>
      <c r="I383" s="541"/>
      <c r="J383" s="541"/>
      <c r="K383" s="541"/>
      <c r="L383" s="541"/>
      <c r="M383" s="541"/>
      <c r="N383" s="542"/>
      <c r="O383" s="541"/>
      <c r="P383" s="544">
        <f>40000*9</f>
        <v>360000</v>
      </c>
      <c r="Q383" s="541"/>
      <c r="R383" s="541"/>
    </row>
    <row r="384" spans="1:18" ht="15" x14ac:dyDescent="0.25">
      <c r="A384" s="552">
        <v>44795</v>
      </c>
      <c r="B384" s="540" t="s">
        <v>1330</v>
      </c>
      <c r="C384" s="541">
        <v>62000</v>
      </c>
      <c r="D384" s="541"/>
      <c r="E384" s="541"/>
      <c r="F384" s="541"/>
      <c r="G384" s="541"/>
      <c r="H384" s="541"/>
      <c r="I384" s="541"/>
      <c r="J384" s="541"/>
      <c r="K384" s="541"/>
      <c r="L384" s="541"/>
      <c r="M384" s="541"/>
      <c r="N384" s="542"/>
      <c r="O384" s="541"/>
      <c r="P384" s="541"/>
      <c r="Q384" s="541"/>
      <c r="R384" s="541"/>
    </row>
    <row r="385" spans="1:18" ht="15" x14ac:dyDescent="0.25">
      <c r="A385" s="552"/>
      <c r="B385" s="543" t="s">
        <v>1346</v>
      </c>
      <c r="C385" s="541"/>
      <c r="D385" s="541"/>
      <c r="E385" s="541">
        <v>215000</v>
      </c>
      <c r="F385" s="541"/>
      <c r="G385" s="541"/>
      <c r="H385" s="541"/>
      <c r="I385" s="541"/>
      <c r="J385" s="541"/>
      <c r="K385" s="541"/>
      <c r="L385" s="541"/>
      <c r="M385" s="541"/>
      <c r="N385" s="542"/>
      <c r="O385" s="541"/>
      <c r="P385" s="541"/>
      <c r="Q385" s="541"/>
      <c r="R385" s="541"/>
    </row>
    <row r="386" spans="1:18" ht="15" x14ac:dyDescent="0.25">
      <c r="A386" s="552"/>
      <c r="B386" s="540" t="s">
        <v>4128</v>
      </c>
      <c r="C386" s="541"/>
      <c r="D386" s="541"/>
      <c r="E386" s="541"/>
      <c r="F386" s="541"/>
      <c r="G386" s="541">
        <v>101500</v>
      </c>
      <c r="H386" s="541"/>
      <c r="I386" s="541"/>
      <c r="J386" s="541"/>
      <c r="K386" s="541"/>
      <c r="L386" s="541"/>
      <c r="M386" s="541"/>
      <c r="N386" s="542"/>
      <c r="O386" s="541"/>
      <c r="P386" s="541"/>
      <c r="Q386" s="541"/>
      <c r="R386" s="541"/>
    </row>
    <row r="387" spans="1:18" ht="15" x14ac:dyDescent="0.25">
      <c r="A387" s="552">
        <v>44796</v>
      </c>
      <c r="B387" s="543" t="s">
        <v>1337</v>
      </c>
      <c r="C387" s="541"/>
      <c r="D387" s="541"/>
      <c r="E387" s="541">
        <v>18000</v>
      </c>
      <c r="F387" s="541"/>
      <c r="G387" s="541"/>
      <c r="H387" s="541"/>
      <c r="I387" s="541"/>
      <c r="J387" s="541"/>
      <c r="K387" s="541"/>
      <c r="L387" s="541"/>
      <c r="M387" s="541"/>
      <c r="N387" s="542"/>
      <c r="O387" s="541"/>
      <c r="P387" s="541"/>
      <c r="Q387" s="541"/>
      <c r="R387" s="541"/>
    </row>
    <row r="388" spans="1:18" ht="15" x14ac:dyDescent="0.25">
      <c r="A388" s="552">
        <v>44797</v>
      </c>
      <c r="B388" s="540" t="s">
        <v>3548</v>
      </c>
      <c r="C388" s="541"/>
      <c r="D388" s="541"/>
      <c r="E388" s="541"/>
      <c r="F388" s="541">
        <v>132000</v>
      </c>
      <c r="G388" s="541"/>
      <c r="H388" s="541"/>
      <c r="I388" s="541"/>
      <c r="J388" s="541"/>
      <c r="K388" s="541"/>
      <c r="L388" s="541"/>
      <c r="M388" s="541"/>
      <c r="N388" s="542"/>
      <c r="O388" s="541"/>
      <c r="P388" s="541"/>
      <c r="Q388" s="541"/>
      <c r="R388" s="541"/>
    </row>
    <row r="389" spans="1:18" ht="28.5" x14ac:dyDescent="0.25">
      <c r="A389" s="552">
        <v>44799</v>
      </c>
      <c r="B389" s="543" t="s">
        <v>5618</v>
      </c>
      <c r="C389" s="541"/>
      <c r="D389" s="541"/>
      <c r="E389" s="541"/>
      <c r="F389" s="541"/>
      <c r="G389" s="541"/>
      <c r="H389" s="541"/>
      <c r="I389" s="541">
        <v>475000</v>
      </c>
      <c r="J389" s="541"/>
      <c r="K389" s="541"/>
      <c r="L389" s="541"/>
      <c r="M389" s="541"/>
      <c r="N389" s="542"/>
      <c r="O389" s="541"/>
      <c r="P389" s="541"/>
      <c r="Q389" s="541"/>
      <c r="R389" s="541"/>
    </row>
    <row r="390" spans="1:18" ht="15" x14ac:dyDescent="0.25">
      <c r="A390" s="552"/>
      <c r="B390" s="671" t="s">
        <v>5619</v>
      </c>
      <c r="C390" s="541"/>
      <c r="D390" s="541"/>
      <c r="E390" s="541"/>
      <c r="F390" s="541"/>
      <c r="G390" s="541"/>
      <c r="H390" s="541"/>
      <c r="I390" s="541"/>
      <c r="J390" s="541"/>
      <c r="K390" s="541"/>
      <c r="L390" s="541"/>
      <c r="M390" s="541"/>
      <c r="N390" s="542"/>
      <c r="O390" s="541"/>
      <c r="P390" s="541"/>
      <c r="Q390" s="541"/>
      <c r="R390" s="541"/>
    </row>
    <row r="391" spans="1:18" ht="15" x14ac:dyDescent="0.25">
      <c r="A391" s="552"/>
      <c r="B391" s="671" t="s">
        <v>5620</v>
      </c>
      <c r="C391" s="541"/>
      <c r="D391" s="541"/>
      <c r="E391" s="541"/>
      <c r="F391" s="541"/>
      <c r="G391" s="541"/>
      <c r="H391" s="541"/>
      <c r="I391" s="541"/>
      <c r="J391" s="541"/>
      <c r="K391" s="541"/>
      <c r="L391" s="541"/>
      <c r="M391" s="541"/>
      <c r="N391" s="542"/>
      <c r="O391" s="541"/>
      <c r="P391" s="541"/>
      <c r="Q391" s="541"/>
      <c r="R391" s="541"/>
    </row>
    <row r="392" spans="1:18" ht="28.5" x14ac:dyDescent="0.25">
      <c r="A392" s="552">
        <v>44800</v>
      </c>
      <c r="B392" s="543" t="s">
        <v>4922</v>
      </c>
      <c r="C392" s="541"/>
      <c r="D392" s="541"/>
      <c r="E392" s="541"/>
      <c r="F392" s="541"/>
      <c r="G392" s="541"/>
      <c r="H392" s="541"/>
      <c r="I392" s="541"/>
      <c r="J392" s="541"/>
      <c r="K392" s="541"/>
      <c r="L392" s="541"/>
      <c r="M392" s="541"/>
      <c r="N392" s="542"/>
      <c r="O392" s="541">
        <f>110000*11*5</f>
        <v>6050000</v>
      </c>
      <c r="P392" s="541"/>
      <c r="Q392" s="541"/>
      <c r="R392" s="541"/>
    </row>
    <row r="393" spans="1:18" ht="28.5" x14ac:dyDescent="0.25">
      <c r="A393" s="552"/>
      <c r="B393" s="662" t="s">
        <v>4923</v>
      </c>
      <c r="C393" s="541"/>
      <c r="D393" s="541"/>
      <c r="E393" s="541"/>
      <c r="F393" s="541"/>
      <c r="G393" s="541"/>
      <c r="H393" s="541"/>
      <c r="I393" s="541"/>
      <c r="J393" s="541"/>
      <c r="K393" s="541"/>
      <c r="L393" s="541"/>
      <c r="M393" s="541"/>
      <c r="N393" s="542"/>
      <c r="O393" s="541"/>
      <c r="P393" s="544">
        <f>40000*10</f>
        <v>400000</v>
      </c>
      <c r="Q393" s="541"/>
      <c r="R393" s="541"/>
    </row>
    <row r="394" spans="1:18" ht="15" x14ac:dyDescent="0.25">
      <c r="A394" s="552">
        <v>44802</v>
      </c>
      <c r="B394" s="540" t="s">
        <v>1342</v>
      </c>
      <c r="C394" s="541"/>
      <c r="D394" s="541"/>
      <c r="E394" s="541"/>
      <c r="F394" s="541">
        <v>999500</v>
      </c>
      <c r="G394" s="541"/>
      <c r="H394" s="541"/>
      <c r="I394" s="541"/>
      <c r="J394" s="541"/>
      <c r="K394" s="541"/>
      <c r="L394" s="541"/>
      <c r="M394" s="541"/>
      <c r="N394" s="542"/>
      <c r="O394" s="541"/>
      <c r="P394" s="541"/>
      <c r="Q394" s="541"/>
      <c r="R394" s="541"/>
    </row>
    <row r="395" spans="1:18" ht="15" x14ac:dyDescent="0.25">
      <c r="A395" s="552"/>
      <c r="B395" s="540" t="s">
        <v>1357</v>
      </c>
      <c r="C395" s="541"/>
      <c r="D395" s="541"/>
      <c r="E395" s="541">
        <v>25000</v>
      </c>
      <c r="F395" s="541"/>
      <c r="G395" s="541"/>
      <c r="H395" s="541"/>
      <c r="I395" s="541"/>
      <c r="J395" s="541"/>
      <c r="K395" s="541"/>
      <c r="L395" s="541"/>
      <c r="M395" s="541"/>
      <c r="N395" s="542"/>
      <c r="O395" s="541"/>
      <c r="P395" s="541"/>
      <c r="Q395" s="541"/>
      <c r="R395" s="541"/>
    </row>
    <row r="396" spans="1:18" ht="15" x14ac:dyDescent="0.25">
      <c r="A396" s="552">
        <v>44803</v>
      </c>
      <c r="B396" s="540" t="s">
        <v>1330</v>
      </c>
      <c r="C396" s="541">
        <v>63300</v>
      </c>
      <c r="D396" s="541"/>
      <c r="E396" s="541"/>
      <c r="F396" s="541"/>
      <c r="G396" s="541"/>
      <c r="H396" s="541"/>
      <c r="I396" s="541"/>
      <c r="J396" s="541"/>
      <c r="K396" s="541"/>
      <c r="L396" s="541"/>
      <c r="M396" s="541"/>
      <c r="N396" s="542"/>
      <c r="O396" s="541"/>
      <c r="P396" s="541"/>
      <c r="Q396" s="541"/>
      <c r="R396" s="541"/>
    </row>
    <row r="397" spans="1:18" ht="15" x14ac:dyDescent="0.25">
      <c r="A397" s="552"/>
      <c r="B397" s="543" t="s">
        <v>1351</v>
      </c>
      <c r="C397" s="541"/>
      <c r="D397" s="541"/>
      <c r="E397" s="541"/>
      <c r="F397" s="541"/>
      <c r="G397" s="541"/>
      <c r="H397" s="541"/>
      <c r="I397" s="541"/>
      <c r="J397" s="541">
        <v>502500</v>
      </c>
      <c r="K397" s="541"/>
      <c r="L397" s="541"/>
      <c r="M397" s="541"/>
      <c r="N397" s="542"/>
      <c r="O397" s="541"/>
      <c r="P397" s="541"/>
      <c r="Q397" s="541"/>
      <c r="R397" s="541"/>
    </row>
    <row r="398" spans="1:18" ht="15" x14ac:dyDescent="0.25">
      <c r="A398" s="552">
        <v>44804</v>
      </c>
      <c r="B398" s="543" t="s">
        <v>733</v>
      </c>
      <c r="C398" s="541"/>
      <c r="D398" s="541"/>
      <c r="E398" s="541"/>
      <c r="F398" s="541"/>
      <c r="G398" s="541"/>
      <c r="H398" s="541"/>
      <c r="I398" s="541"/>
      <c r="J398" s="541"/>
      <c r="K398" s="541"/>
      <c r="L398" s="541"/>
      <c r="M398" s="541"/>
      <c r="N398" s="542"/>
      <c r="O398" s="541">
        <v>22900000</v>
      </c>
      <c r="P398" s="541"/>
      <c r="Q398" s="541"/>
      <c r="R398" s="541"/>
    </row>
    <row r="399" spans="1:18" ht="15" x14ac:dyDescent="0.25">
      <c r="A399" s="552"/>
      <c r="B399" s="543" t="s">
        <v>735</v>
      </c>
      <c r="C399" s="544"/>
      <c r="D399" s="544"/>
      <c r="E399" s="544"/>
      <c r="F399" s="544"/>
      <c r="G399" s="544"/>
      <c r="H399" s="544"/>
      <c r="I399" s="544"/>
      <c r="J399" s="544"/>
      <c r="K399" s="544"/>
      <c r="L399" s="544"/>
      <c r="M399" s="544">
        <v>5350000</v>
      </c>
      <c r="N399" s="545"/>
      <c r="O399" s="544"/>
      <c r="P399" s="544"/>
      <c r="Q399" s="544"/>
      <c r="R399" s="544"/>
    </row>
    <row r="400" spans="1:18" ht="15" x14ac:dyDescent="0.25">
      <c r="A400" s="552"/>
      <c r="B400" s="543" t="s">
        <v>734</v>
      </c>
      <c r="C400" s="544"/>
      <c r="D400" s="544"/>
      <c r="E400" s="544"/>
      <c r="F400" s="544"/>
      <c r="G400" s="544"/>
      <c r="H400" s="544"/>
      <c r="I400" s="544"/>
      <c r="J400" s="544"/>
      <c r="K400" s="544"/>
      <c r="L400" s="544"/>
      <c r="M400" s="544"/>
      <c r="N400" s="545"/>
      <c r="O400" s="544"/>
      <c r="P400" s="544">
        <v>1600000</v>
      </c>
      <c r="Q400" s="544"/>
      <c r="R400" s="544"/>
    </row>
    <row r="401" spans="1:18" ht="16.5" x14ac:dyDescent="0.25">
      <c r="A401" s="566"/>
      <c r="B401" s="567" t="s">
        <v>38</v>
      </c>
      <c r="C401" s="568">
        <f t="shared" ref="C401:R401" si="10">SUM(C356:C400)</f>
        <v>976700</v>
      </c>
      <c r="D401" s="568">
        <f t="shared" si="10"/>
        <v>868500</v>
      </c>
      <c r="E401" s="568">
        <f t="shared" si="10"/>
        <v>753000</v>
      </c>
      <c r="F401" s="568">
        <f t="shared" si="10"/>
        <v>9315500</v>
      </c>
      <c r="G401" s="568">
        <f t="shared" si="10"/>
        <v>526500</v>
      </c>
      <c r="H401" s="568">
        <f t="shared" si="10"/>
        <v>400000</v>
      </c>
      <c r="I401" s="568">
        <f t="shared" si="10"/>
        <v>1633000</v>
      </c>
      <c r="J401" s="568">
        <f t="shared" si="10"/>
        <v>502500</v>
      </c>
      <c r="K401" s="568">
        <f t="shared" si="10"/>
        <v>521836</v>
      </c>
      <c r="L401" s="568">
        <f t="shared" si="10"/>
        <v>0</v>
      </c>
      <c r="M401" s="568">
        <f t="shared" si="10"/>
        <v>5350000</v>
      </c>
      <c r="N401" s="568">
        <f t="shared" si="10"/>
        <v>1995821</v>
      </c>
      <c r="O401" s="568">
        <f t="shared" si="10"/>
        <v>35550000</v>
      </c>
      <c r="P401" s="568">
        <f t="shared" si="10"/>
        <v>3120000</v>
      </c>
      <c r="Q401" s="568">
        <f t="shared" si="10"/>
        <v>0</v>
      </c>
      <c r="R401" s="568">
        <f t="shared" si="10"/>
        <v>0</v>
      </c>
    </row>
    <row r="402" spans="1:18" ht="16.5" x14ac:dyDescent="0.25">
      <c r="A402" s="561" t="s">
        <v>418</v>
      </c>
      <c r="B402" s="562"/>
      <c r="C402" s="563"/>
      <c r="D402" s="563"/>
      <c r="E402" s="563"/>
      <c r="F402" s="563"/>
      <c r="G402" s="563"/>
      <c r="H402" s="563"/>
      <c r="I402" s="563"/>
      <c r="J402" s="563"/>
      <c r="K402" s="563"/>
      <c r="L402" s="563"/>
      <c r="M402" s="563"/>
      <c r="N402" s="564"/>
      <c r="O402" s="563"/>
      <c r="P402" s="563"/>
      <c r="Q402" s="565"/>
      <c r="R402" s="565"/>
    </row>
    <row r="403" spans="1:18" ht="15" x14ac:dyDescent="0.25">
      <c r="A403" s="551">
        <v>44805</v>
      </c>
      <c r="B403" s="540"/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2"/>
      <c r="O403" s="541"/>
      <c r="P403" s="541"/>
      <c r="Q403" s="541"/>
      <c r="R403" s="541"/>
    </row>
    <row r="404" spans="1:18" ht="15" x14ac:dyDescent="0.25">
      <c r="A404" s="552">
        <v>44806</v>
      </c>
      <c r="B404" s="540"/>
      <c r="C404" s="541"/>
      <c r="D404" s="541"/>
      <c r="E404" s="541"/>
      <c r="F404" s="541"/>
      <c r="G404" s="541"/>
      <c r="H404" s="541"/>
      <c r="I404" s="541"/>
      <c r="J404" s="541"/>
      <c r="K404" s="541"/>
      <c r="L404" s="541"/>
      <c r="M404" s="541"/>
      <c r="N404" s="542"/>
      <c r="O404" s="541"/>
      <c r="P404" s="541"/>
      <c r="Q404" s="541"/>
      <c r="R404" s="541"/>
    </row>
    <row r="405" spans="1:18" ht="28.5" x14ac:dyDescent="0.25">
      <c r="A405" s="552">
        <v>44807</v>
      </c>
      <c r="B405" s="662" t="s">
        <v>5664</v>
      </c>
      <c r="C405" s="541"/>
      <c r="D405" s="541"/>
      <c r="E405" s="541"/>
      <c r="F405" s="541"/>
      <c r="G405" s="541"/>
      <c r="H405" s="541"/>
      <c r="I405" s="541"/>
      <c r="J405" s="541"/>
      <c r="K405" s="541"/>
      <c r="L405" s="541"/>
      <c r="M405" s="541"/>
      <c r="N405" s="542"/>
      <c r="O405" s="541"/>
      <c r="P405" s="541">
        <f>40000*10</f>
        <v>400000</v>
      </c>
      <c r="Q405" s="541"/>
      <c r="R405" s="541"/>
    </row>
    <row r="406" spans="1:18" ht="15" x14ac:dyDescent="0.25">
      <c r="A406" s="552">
        <v>44809</v>
      </c>
      <c r="B406" s="675"/>
      <c r="C406" s="541"/>
      <c r="D406" s="541"/>
      <c r="E406" s="541"/>
      <c r="F406" s="541"/>
      <c r="G406" s="541"/>
      <c r="H406" s="541"/>
      <c r="I406" s="541"/>
      <c r="J406" s="541"/>
      <c r="K406" s="541"/>
      <c r="L406" s="541"/>
      <c r="M406" s="541"/>
      <c r="N406" s="542"/>
      <c r="O406" s="541"/>
      <c r="P406" s="541"/>
      <c r="Q406" s="541"/>
      <c r="R406" s="541"/>
    </row>
    <row r="407" spans="1:18" ht="15" x14ac:dyDescent="0.25">
      <c r="A407" s="552">
        <v>44810</v>
      </c>
      <c r="B407" s="543"/>
      <c r="C407" s="541"/>
      <c r="D407" s="541"/>
      <c r="E407" s="541"/>
      <c r="F407" s="541"/>
      <c r="G407" s="541"/>
      <c r="H407" s="541"/>
      <c r="I407" s="541"/>
      <c r="J407" s="541"/>
      <c r="K407" s="541"/>
      <c r="L407" s="541"/>
      <c r="M407" s="541"/>
      <c r="N407" s="542"/>
      <c r="O407" s="541"/>
      <c r="P407" s="541"/>
      <c r="Q407" s="541"/>
      <c r="R407" s="541"/>
    </row>
    <row r="408" spans="1:18" ht="15" x14ac:dyDescent="0.25">
      <c r="A408" s="552">
        <v>44811</v>
      </c>
      <c r="B408" s="540"/>
      <c r="C408" s="541"/>
      <c r="D408" s="541"/>
      <c r="E408" s="541"/>
      <c r="F408" s="541"/>
      <c r="G408" s="541"/>
      <c r="H408" s="541"/>
      <c r="I408" s="541"/>
      <c r="J408" s="541"/>
      <c r="K408" s="541"/>
      <c r="L408" s="541"/>
      <c r="M408" s="541"/>
      <c r="N408" s="542"/>
      <c r="O408" s="541"/>
      <c r="P408" s="541"/>
      <c r="Q408" s="541"/>
      <c r="R408" s="541"/>
    </row>
    <row r="409" spans="1:18" ht="15" x14ac:dyDescent="0.25">
      <c r="A409" s="552">
        <v>44812</v>
      </c>
      <c r="B409" s="543"/>
      <c r="C409" s="541"/>
      <c r="D409" s="541"/>
      <c r="E409" s="541"/>
      <c r="F409" s="541"/>
      <c r="G409" s="541"/>
      <c r="H409" s="541"/>
      <c r="I409" s="541"/>
      <c r="J409" s="541"/>
      <c r="K409" s="541"/>
      <c r="L409" s="541"/>
      <c r="M409" s="541"/>
      <c r="N409" s="542"/>
      <c r="O409" s="541"/>
      <c r="P409" s="541"/>
      <c r="Q409" s="541"/>
      <c r="R409" s="541"/>
    </row>
    <row r="410" spans="1:18" ht="15" x14ac:dyDescent="0.25">
      <c r="A410" s="552">
        <v>44813</v>
      </c>
      <c r="B410" s="540"/>
      <c r="C410" s="541"/>
      <c r="D410" s="541"/>
      <c r="E410" s="541"/>
      <c r="F410" s="541"/>
      <c r="G410" s="541"/>
      <c r="H410" s="541"/>
      <c r="I410" s="541"/>
      <c r="J410" s="541"/>
      <c r="K410" s="541"/>
      <c r="L410" s="541"/>
      <c r="M410" s="541"/>
      <c r="N410" s="542"/>
      <c r="O410" s="541"/>
      <c r="P410" s="541"/>
      <c r="Q410" s="541"/>
      <c r="R410" s="541"/>
    </row>
    <row r="411" spans="1:18" ht="28.5" x14ac:dyDescent="0.25">
      <c r="A411" s="552">
        <v>44814</v>
      </c>
      <c r="B411" s="543" t="s">
        <v>5663</v>
      </c>
      <c r="C411" s="541"/>
      <c r="D411" s="541"/>
      <c r="E411" s="541"/>
      <c r="F411" s="541"/>
      <c r="G411" s="541"/>
      <c r="H411" s="541"/>
      <c r="I411" s="541"/>
      <c r="J411" s="541"/>
      <c r="K411" s="541"/>
      <c r="L411" s="541"/>
      <c r="M411" s="541"/>
      <c r="N411" s="542"/>
      <c r="O411" s="544">
        <f>110000*12*5</f>
        <v>6600000</v>
      </c>
      <c r="P411" s="541"/>
      <c r="Q411" s="541"/>
      <c r="R411" s="541"/>
    </row>
    <row r="412" spans="1:18" ht="28.5" x14ac:dyDescent="0.25">
      <c r="A412" s="552"/>
      <c r="B412" s="662" t="s">
        <v>5665</v>
      </c>
      <c r="C412" s="541"/>
      <c r="D412" s="541"/>
      <c r="E412" s="541"/>
      <c r="F412" s="541"/>
      <c r="G412" s="541"/>
      <c r="H412" s="541"/>
      <c r="I412" s="541"/>
      <c r="J412" s="541"/>
      <c r="K412" s="541"/>
      <c r="L412" s="541"/>
      <c r="M412" s="541"/>
      <c r="N412" s="542"/>
      <c r="O412" s="541"/>
      <c r="P412" s="541">
        <f>40000*9</f>
        <v>360000</v>
      </c>
      <c r="Q412" s="541"/>
      <c r="R412" s="541"/>
    </row>
    <row r="413" spans="1:18" ht="15" x14ac:dyDescent="0.25">
      <c r="A413" s="552">
        <v>44816</v>
      </c>
      <c r="B413" s="540"/>
      <c r="C413" s="541"/>
      <c r="D413" s="541"/>
      <c r="E413" s="541"/>
      <c r="F413" s="541"/>
      <c r="G413" s="541"/>
      <c r="H413" s="541"/>
      <c r="I413" s="541"/>
      <c r="J413" s="541"/>
      <c r="K413" s="541"/>
      <c r="L413" s="541"/>
      <c r="M413" s="541"/>
      <c r="N413" s="542"/>
      <c r="O413" s="541"/>
      <c r="P413" s="541"/>
      <c r="Q413" s="541"/>
      <c r="R413" s="541"/>
    </row>
    <row r="414" spans="1:18" ht="15" x14ac:dyDescent="0.25">
      <c r="A414" s="552">
        <v>44817</v>
      </c>
      <c r="B414" s="540"/>
      <c r="C414" s="541"/>
      <c r="D414" s="541"/>
      <c r="E414" s="541"/>
      <c r="F414" s="541"/>
      <c r="G414" s="541"/>
      <c r="H414" s="541"/>
      <c r="I414" s="541"/>
      <c r="J414" s="541"/>
      <c r="K414" s="541"/>
      <c r="L414" s="541"/>
      <c r="M414" s="541"/>
      <c r="N414" s="542"/>
      <c r="O414" s="541"/>
      <c r="P414" s="541"/>
      <c r="Q414" s="541"/>
      <c r="R414" s="541"/>
    </row>
    <row r="415" spans="1:18" ht="15" x14ac:dyDescent="0.25">
      <c r="A415" s="552">
        <v>44818</v>
      </c>
      <c r="B415" s="540"/>
      <c r="C415" s="541"/>
      <c r="D415" s="541"/>
      <c r="E415" s="541"/>
      <c r="F415" s="541"/>
      <c r="G415" s="541"/>
      <c r="H415" s="541"/>
      <c r="I415" s="541"/>
      <c r="J415" s="541"/>
      <c r="K415" s="541"/>
      <c r="L415" s="541"/>
      <c r="M415" s="541"/>
      <c r="N415" s="542"/>
      <c r="O415" s="541"/>
      <c r="P415" s="541"/>
      <c r="Q415" s="541"/>
      <c r="R415" s="541"/>
    </row>
    <row r="416" spans="1:18" ht="15" x14ac:dyDescent="0.25">
      <c r="A416" s="552">
        <v>44819</v>
      </c>
      <c r="B416" s="540"/>
      <c r="C416" s="541"/>
      <c r="D416" s="541"/>
      <c r="E416" s="541"/>
      <c r="F416" s="541"/>
      <c r="G416" s="541"/>
      <c r="H416" s="541"/>
      <c r="I416" s="541"/>
      <c r="J416" s="541"/>
      <c r="K416" s="541"/>
      <c r="L416" s="541"/>
      <c r="M416" s="541"/>
      <c r="N416" s="542"/>
      <c r="O416" s="541"/>
      <c r="P416" s="541"/>
      <c r="Q416" s="541"/>
      <c r="R416" s="541"/>
    </row>
    <row r="417" spans="1:18" ht="15" x14ac:dyDescent="0.25">
      <c r="A417" s="552">
        <v>44820</v>
      </c>
      <c r="B417" s="540"/>
      <c r="C417" s="541"/>
      <c r="D417" s="541"/>
      <c r="E417" s="541"/>
      <c r="F417" s="541"/>
      <c r="G417" s="541"/>
      <c r="H417" s="541"/>
      <c r="I417" s="541"/>
      <c r="J417" s="541"/>
      <c r="K417" s="541"/>
      <c r="L417" s="541"/>
      <c r="M417" s="541"/>
      <c r="N417" s="542"/>
      <c r="O417" s="541"/>
      <c r="P417" s="541"/>
      <c r="Q417" s="541"/>
      <c r="R417" s="541"/>
    </row>
    <row r="418" spans="1:18" ht="28.5" x14ac:dyDescent="0.25">
      <c r="A418" s="552">
        <v>44821</v>
      </c>
      <c r="B418" s="662" t="s">
        <v>5666</v>
      </c>
      <c r="C418" s="541"/>
      <c r="D418" s="541"/>
      <c r="E418" s="541"/>
      <c r="F418" s="541"/>
      <c r="G418" s="541"/>
      <c r="H418" s="541"/>
      <c r="I418" s="541"/>
      <c r="J418" s="541"/>
      <c r="K418" s="541"/>
      <c r="L418" s="541"/>
      <c r="M418" s="541"/>
      <c r="N418" s="542"/>
      <c r="O418" s="541"/>
      <c r="P418" s="541">
        <f>40000*10</f>
        <v>400000</v>
      </c>
      <c r="Q418" s="541"/>
      <c r="R418" s="541"/>
    </row>
    <row r="419" spans="1:18" ht="15" x14ac:dyDescent="0.25">
      <c r="A419" s="552">
        <v>44823</v>
      </c>
      <c r="B419" s="543"/>
      <c r="C419" s="541"/>
      <c r="D419" s="541"/>
      <c r="E419" s="541"/>
      <c r="F419" s="541"/>
      <c r="G419" s="541"/>
      <c r="H419" s="541"/>
      <c r="I419" s="541"/>
      <c r="J419" s="541"/>
      <c r="K419" s="541"/>
      <c r="L419" s="541"/>
      <c r="M419" s="541"/>
      <c r="N419" s="542"/>
      <c r="O419" s="541"/>
      <c r="P419" s="541"/>
      <c r="Q419" s="541"/>
      <c r="R419" s="541"/>
    </row>
    <row r="420" spans="1:18" ht="15" x14ac:dyDescent="0.25">
      <c r="A420" s="552">
        <v>44824</v>
      </c>
      <c r="B420" s="540"/>
      <c r="C420" s="541"/>
      <c r="D420" s="541"/>
      <c r="E420" s="541"/>
      <c r="F420" s="541"/>
      <c r="G420" s="541"/>
      <c r="H420" s="541"/>
      <c r="I420" s="541"/>
      <c r="J420" s="541"/>
      <c r="K420" s="541"/>
      <c r="L420" s="541"/>
      <c r="M420" s="541"/>
      <c r="N420" s="542"/>
      <c r="O420" s="541"/>
      <c r="P420" s="541"/>
      <c r="Q420" s="541"/>
      <c r="R420" s="541"/>
    </row>
    <row r="421" spans="1:18" ht="15" x14ac:dyDescent="0.25">
      <c r="A421" s="552">
        <v>44825</v>
      </c>
      <c r="B421" s="540"/>
      <c r="C421" s="541"/>
      <c r="D421" s="541"/>
      <c r="E421" s="541"/>
      <c r="F421" s="541"/>
      <c r="G421" s="541"/>
      <c r="H421" s="541"/>
      <c r="I421" s="541"/>
      <c r="J421" s="541"/>
      <c r="K421" s="541"/>
      <c r="L421" s="541"/>
      <c r="M421" s="541"/>
      <c r="N421" s="542"/>
      <c r="O421" s="541"/>
      <c r="P421" s="541"/>
      <c r="Q421" s="541"/>
      <c r="R421" s="541"/>
    </row>
    <row r="422" spans="1:18" ht="15" x14ac:dyDescent="0.25">
      <c r="A422" s="552">
        <v>44826</v>
      </c>
      <c r="B422" s="543"/>
      <c r="C422" s="547"/>
      <c r="D422" s="547"/>
      <c r="E422" s="547"/>
      <c r="F422" s="547"/>
      <c r="G422" s="547"/>
      <c r="H422" s="547"/>
      <c r="I422" s="547"/>
      <c r="J422" s="547"/>
      <c r="K422" s="547"/>
      <c r="L422" s="547"/>
      <c r="M422" s="547"/>
      <c r="N422" s="545"/>
      <c r="O422" s="547"/>
      <c r="P422" s="547"/>
      <c r="Q422" s="547"/>
      <c r="R422" s="547"/>
    </row>
    <row r="423" spans="1:18" ht="15" x14ac:dyDescent="0.25">
      <c r="A423" s="552">
        <v>44827</v>
      </c>
      <c r="B423" s="543"/>
      <c r="C423" s="544"/>
      <c r="D423" s="544"/>
      <c r="E423" s="544"/>
      <c r="F423" s="544"/>
      <c r="G423" s="544"/>
      <c r="H423" s="544"/>
      <c r="I423" s="544"/>
      <c r="J423" s="544"/>
      <c r="K423" s="544"/>
      <c r="L423" s="544"/>
      <c r="M423" s="544"/>
      <c r="N423" s="545"/>
      <c r="O423" s="544"/>
      <c r="P423" s="544"/>
      <c r="Q423" s="544"/>
      <c r="R423" s="544"/>
    </row>
    <row r="424" spans="1:18" ht="28.5" x14ac:dyDescent="0.25">
      <c r="A424" s="552">
        <v>44828</v>
      </c>
      <c r="B424" s="543" t="s">
        <v>5667</v>
      </c>
      <c r="C424" s="544"/>
      <c r="D424" s="544"/>
      <c r="E424" s="544"/>
      <c r="F424" s="544"/>
      <c r="G424" s="544"/>
      <c r="H424" s="544"/>
      <c r="I424" s="544"/>
      <c r="J424" s="544"/>
      <c r="K424" s="544"/>
      <c r="L424" s="544"/>
      <c r="M424" s="544"/>
      <c r="N424" s="545"/>
      <c r="O424" s="184">
        <f>(110000*10)+((110000*11)-27500)+((110000*12)-55000)+((110000*12)-55000)+((110000*12)-(55000+55000))</f>
        <v>6022500</v>
      </c>
      <c r="P424" s="544"/>
      <c r="Q424" s="544"/>
      <c r="R424" s="544"/>
    </row>
    <row r="425" spans="1:18" ht="28.5" x14ac:dyDescent="0.25">
      <c r="A425" s="552"/>
      <c r="B425" s="662" t="s">
        <v>5668</v>
      </c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5"/>
      <c r="O425" s="544"/>
      <c r="P425" s="541">
        <f>40000*6</f>
        <v>240000</v>
      </c>
      <c r="Q425" s="544"/>
      <c r="R425" s="544"/>
    </row>
    <row r="426" spans="1:18" ht="15" x14ac:dyDescent="0.25">
      <c r="A426" s="552">
        <v>44830</v>
      </c>
      <c r="B426" s="543"/>
      <c r="C426" s="544"/>
      <c r="D426" s="544"/>
      <c r="E426" s="544"/>
      <c r="F426" s="544"/>
      <c r="G426" s="544"/>
      <c r="H426" s="544"/>
      <c r="I426" s="544"/>
      <c r="J426" s="544"/>
      <c r="K426" s="544"/>
      <c r="L426" s="544"/>
      <c r="M426" s="544"/>
      <c r="N426" s="545"/>
      <c r="O426" s="544"/>
      <c r="P426" s="544"/>
      <c r="Q426" s="544"/>
      <c r="R426" s="544"/>
    </row>
    <row r="427" spans="1:18" ht="15" x14ac:dyDescent="0.25">
      <c r="A427" s="552">
        <v>44831</v>
      </c>
      <c r="B427" s="543"/>
      <c r="C427" s="544"/>
      <c r="D427" s="544"/>
      <c r="E427" s="544"/>
      <c r="F427" s="544"/>
      <c r="G427" s="544"/>
      <c r="H427" s="544"/>
      <c r="I427" s="544"/>
      <c r="J427" s="544"/>
      <c r="K427" s="544"/>
      <c r="L427" s="544"/>
      <c r="M427" s="544"/>
      <c r="N427" s="545"/>
      <c r="O427" s="544"/>
      <c r="P427" s="544"/>
      <c r="Q427" s="544"/>
      <c r="R427" s="544"/>
    </row>
    <row r="428" spans="1:18" ht="15" x14ac:dyDescent="0.25">
      <c r="A428" s="552">
        <v>44832</v>
      </c>
      <c r="B428" s="540"/>
      <c r="C428" s="541"/>
      <c r="D428" s="541"/>
      <c r="E428" s="541"/>
      <c r="F428" s="541"/>
      <c r="G428" s="541"/>
      <c r="H428" s="541"/>
      <c r="I428" s="541"/>
      <c r="J428" s="541"/>
      <c r="K428" s="541"/>
      <c r="L428" s="541"/>
      <c r="M428" s="541"/>
      <c r="N428" s="542"/>
      <c r="O428" s="541"/>
      <c r="P428" s="541"/>
      <c r="Q428" s="541"/>
      <c r="R428" s="541"/>
    </row>
    <row r="429" spans="1:18" ht="15" x14ac:dyDescent="0.25">
      <c r="A429" s="552">
        <v>44833</v>
      </c>
      <c r="B429" s="540"/>
      <c r="C429" s="541"/>
      <c r="D429" s="541"/>
      <c r="E429" s="541"/>
      <c r="F429" s="541"/>
      <c r="G429" s="541"/>
      <c r="H429" s="541"/>
      <c r="I429" s="541"/>
      <c r="J429" s="541"/>
      <c r="K429" s="541"/>
      <c r="L429" s="541"/>
      <c r="M429" s="541"/>
      <c r="N429" s="542"/>
      <c r="O429" s="541"/>
      <c r="P429" s="541"/>
      <c r="Q429" s="541"/>
      <c r="R429" s="541"/>
    </row>
    <row r="430" spans="1:18" ht="15" x14ac:dyDescent="0.25">
      <c r="A430" s="552">
        <v>44834</v>
      </c>
      <c r="B430" s="543" t="s">
        <v>733</v>
      </c>
      <c r="C430" s="541"/>
      <c r="D430" s="541"/>
      <c r="E430" s="541"/>
      <c r="F430" s="541"/>
      <c r="G430" s="541"/>
      <c r="H430" s="541"/>
      <c r="I430" s="541"/>
      <c r="J430" s="541"/>
      <c r="K430" s="541"/>
      <c r="L430" s="541"/>
      <c r="M430" s="541"/>
      <c r="N430" s="542"/>
      <c r="O430" s="541">
        <v>22900000</v>
      </c>
      <c r="P430" s="541"/>
      <c r="Q430" s="541"/>
      <c r="R430" s="541"/>
    </row>
    <row r="431" spans="1:18" ht="15" x14ac:dyDescent="0.25">
      <c r="A431" s="552"/>
      <c r="B431" s="543" t="s">
        <v>735</v>
      </c>
      <c r="C431" s="541"/>
      <c r="D431" s="541"/>
      <c r="E431" s="541"/>
      <c r="F431" s="541"/>
      <c r="G431" s="541"/>
      <c r="H431" s="541"/>
      <c r="I431" s="541"/>
      <c r="J431" s="541"/>
      <c r="K431" s="541"/>
      <c r="L431" s="541"/>
      <c r="M431" s="541">
        <v>5258500</v>
      </c>
      <c r="N431" s="542"/>
      <c r="O431" s="541"/>
      <c r="P431" s="541"/>
      <c r="Q431" s="541"/>
      <c r="R431" s="541"/>
    </row>
    <row r="432" spans="1:18" ht="15" x14ac:dyDescent="0.25">
      <c r="A432" s="691"/>
      <c r="B432" s="543" t="s">
        <v>734</v>
      </c>
      <c r="C432" s="541"/>
      <c r="D432" s="541"/>
      <c r="E432" s="541"/>
      <c r="F432" s="541"/>
      <c r="G432" s="541"/>
      <c r="H432" s="541"/>
      <c r="I432" s="541"/>
      <c r="J432" s="541"/>
      <c r="K432" s="541"/>
      <c r="L432" s="541"/>
      <c r="M432" s="541"/>
      <c r="N432" s="542"/>
      <c r="O432" s="541"/>
      <c r="P432" s="541">
        <v>800000</v>
      </c>
      <c r="Q432" s="541"/>
      <c r="R432" s="541"/>
    </row>
    <row r="433" spans="1:18" ht="16.5" x14ac:dyDescent="0.25">
      <c r="A433" s="566"/>
      <c r="B433" s="567" t="s">
        <v>38</v>
      </c>
      <c r="C433" s="568">
        <f t="shared" ref="C433:R433" si="11">SUM(C403:C432)</f>
        <v>0</v>
      </c>
      <c r="D433" s="568">
        <f t="shared" si="11"/>
        <v>0</v>
      </c>
      <c r="E433" s="568">
        <f t="shared" si="11"/>
        <v>0</v>
      </c>
      <c r="F433" s="568">
        <f t="shared" si="11"/>
        <v>0</v>
      </c>
      <c r="G433" s="568">
        <f t="shared" si="11"/>
        <v>0</v>
      </c>
      <c r="H433" s="568">
        <f t="shared" si="11"/>
        <v>0</v>
      </c>
      <c r="I433" s="568">
        <f t="shared" si="11"/>
        <v>0</v>
      </c>
      <c r="J433" s="568">
        <f t="shared" si="11"/>
        <v>0</v>
      </c>
      <c r="K433" s="568">
        <f t="shared" si="11"/>
        <v>0</v>
      </c>
      <c r="L433" s="568">
        <f t="shared" si="11"/>
        <v>0</v>
      </c>
      <c r="M433" s="568">
        <f t="shared" si="11"/>
        <v>5258500</v>
      </c>
      <c r="N433" s="568">
        <f t="shared" si="11"/>
        <v>0</v>
      </c>
      <c r="O433" s="568">
        <f t="shared" si="11"/>
        <v>35522500</v>
      </c>
      <c r="P433" s="568">
        <f t="shared" si="11"/>
        <v>2200000</v>
      </c>
      <c r="Q433" s="568">
        <f t="shared" si="11"/>
        <v>0</v>
      </c>
      <c r="R433" s="568">
        <f t="shared" si="11"/>
        <v>0</v>
      </c>
    </row>
    <row r="434" spans="1:18" ht="16.5" x14ac:dyDescent="0.25">
      <c r="A434" s="561" t="s">
        <v>419</v>
      </c>
      <c r="B434" s="562"/>
      <c r="C434" s="563"/>
      <c r="D434" s="563"/>
      <c r="E434" s="563"/>
      <c r="F434" s="563"/>
      <c r="G434" s="563"/>
      <c r="H434" s="563"/>
      <c r="I434" s="563"/>
      <c r="J434" s="563"/>
      <c r="K434" s="563"/>
      <c r="L434" s="563"/>
      <c r="M434" s="563"/>
      <c r="N434" s="564"/>
      <c r="O434" s="563"/>
      <c r="P434" s="563"/>
      <c r="Q434" s="565"/>
      <c r="R434" s="565"/>
    </row>
    <row r="435" spans="1:18" ht="28.5" x14ac:dyDescent="0.25">
      <c r="A435" s="551">
        <v>44835</v>
      </c>
      <c r="B435" s="662" t="s">
        <v>5669</v>
      </c>
      <c r="C435" s="541"/>
      <c r="D435" s="541"/>
      <c r="E435" s="541"/>
      <c r="F435" s="541"/>
      <c r="G435" s="541"/>
      <c r="H435" s="541"/>
      <c r="I435" s="541"/>
      <c r="J435" s="541"/>
      <c r="K435" s="541"/>
      <c r="L435" s="541"/>
      <c r="M435" s="541"/>
      <c r="N435" s="542"/>
      <c r="O435" s="541"/>
      <c r="P435" s="541"/>
      <c r="Q435" s="541"/>
      <c r="R435" s="541"/>
    </row>
    <row r="436" spans="1:18" ht="15" x14ac:dyDescent="0.25">
      <c r="A436" s="552">
        <v>44837</v>
      </c>
      <c r="B436" s="540"/>
      <c r="C436" s="541"/>
      <c r="D436" s="541"/>
      <c r="E436" s="541"/>
      <c r="F436" s="541"/>
      <c r="G436" s="541"/>
      <c r="H436" s="541"/>
      <c r="I436" s="541"/>
      <c r="J436" s="541"/>
      <c r="K436" s="541"/>
      <c r="L436" s="541"/>
      <c r="M436" s="541"/>
      <c r="N436" s="542"/>
      <c r="O436" s="541"/>
      <c r="P436" s="541"/>
      <c r="Q436" s="541"/>
      <c r="R436" s="541"/>
    </row>
    <row r="437" spans="1:18" ht="15" x14ac:dyDescent="0.25">
      <c r="A437" s="552">
        <v>44838</v>
      </c>
      <c r="B437" s="540"/>
      <c r="C437" s="541"/>
      <c r="D437" s="541"/>
      <c r="E437" s="541"/>
      <c r="F437" s="541"/>
      <c r="G437" s="541"/>
      <c r="H437" s="541"/>
      <c r="I437" s="541"/>
      <c r="J437" s="541"/>
      <c r="K437" s="541"/>
      <c r="L437" s="541"/>
      <c r="M437" s="541"/>
      <c r="N437" s="542"/>
      <c r="O437" s="541"/>
      <c r="P437" s="541"/>
      <c r="Q437" s="541"/>
      <c r="R437" s="541"/>
    </row>
    <row r="438" spans="1:18" ht="15" x14ac:dyDescent="0.25">
      <c r="A438" s="552">
        <v>44839</v>
      </c>
      <c r="B438" s="543"/>
      <c r="C438" s="541"/>
      <c r="D438" s="541"/>
      <c r="E438" s="541"/>
      <c r="F438" s="541"/>
      <c r="G438" s="541"/>
      <c r="H438" s="541"/>
      <c r="I438" s="541"/>
      <c r="J438" s="541"/>
      <c r="K438" s="541"/>
      <c r="L438" s="541"/>
      <c r="M438" s="541"/>
      <c r="N438" s="542"/>
      <c r="O438" s="541"/>
      <c r="P438" s="541"/>
      <c r="Q438" s="541"/>
      <c r="R438" s="541"/>
    </row>
    <row r="439" spans="1:18" ht="15" x14ac:dyDescent="0.25">
      <c r="A439" s="552">
        <v>44840</v>
      </c>
      <c r="B439" s="672"/>
      <c r="C439" s="541"/>
      <c r="D439" s="541"/>
      <c r="E439" s="541"/>
      <c r="F439" s="541"/>
      <c r="G439" s="541"/>
      <c r="H439" s="541"/>
      <c r="I439" s="541"/>
      <c r="J439" s="541"/>
      <c r="K439" s="541"/>
      <c r="L439" s="541"/>
      <c r="M439" s="541"/>
      <c r="N439" s="542"/>
      <c r="O439" s="541"/>
      <c r="P439" s="541"/>
      <c r="Q439" s="541"/>
      <c r="R439" s="541"/>
    </row>
    <row r="440" spans="1:18" ht="28.5" x14ac:dyDescent="0.25">
      <c r="A440" s="552">
        <v>44841</v>
      </c>
      <c r="B440" s="543" t="s">
        <v>5670</v>
      </c>
      <c r="C440" s="541"/>
      <c r="D440" s="541"/>
      <c r="E440" s="541"/>
      <c r="F440" s="541"/>
      <c r="G440" s="541"/>
      <c r="H440" s="541"/>
      <c r="I440" s="541"/>
      <c r="J440" s="541"/>
      <c r="K440" s="541"/>
      <c r="L440" s="541"/>
      <c r="M440" s="541"/>
      <c r="N440" s="542"/>
      <c r="O440" s="541"/>
      <c r="P440" s="541"/>
      <c r="Q440" s="541"/>
      <c r="R440" s="541"/>
    </row>
    <row r="441" spans="1:18" ht="28.5" x14ac:dyDescent="0.25">
      <c r="A441" s="552"/>
      <c r="B441" s="662" t="s">
        <v>5671</v>
      </c>
      <c r="C441" s="541"/>
      <c r="D441" s="541"/>
      <c r="E441" s="541"/>
      <c r="F441" s="541"/>
      <c r="G441" s="541"/>
      <c r="H441" s="541"/>
      <c r="I441" s="541"/>
      <c r="J441" s="541"/>
      <c r="K441" s="541"/>
      <c r="L441" s="541"/>
      <c r="M441" s="541"/>
      <c r="N441" s="542"/>
      <c r="O441" s="541"/>
      <c r="P441" s="541"/>
      <c r="Q441" s="541"/>
      <c r="R441" s="541"/>
    </row>
    <row r="442" spans="1:18" ht="15" x14ac:dyDescent="0.25">
      <c r="A442" s="552">
        <v>44844</v>
      </c>
      <c r="B442" s="543"/>
      <c r="C442" s="541"/>
      <c r="D442" s="541"/>
      <c r="E442" s="541"/>
      <c r="F442" s="541"/>
      <c r="G442" s="541"/>
      <c r="H442" s="541"/>
      <c r="I442" s="541"/>
      <c r="J442" s="541"/>
      <c r="K442" s="541"/>
      <c r="L442" s="541"/>
      <c r="M442" s="541"/>
      <c r="N442" s="542"/>
      <c r="O442" s="541"/>
      <c r="P442" s="541"/>
      <c r="Q442" s="541"/>
      <c r="R442" s="541"/>
    </row>
    <row r="443" spans="1:18" ht="15" x14ac:dyDescent="0.25">
      <c r="A443" s="552">
        <v>44845</v>
      </c>
      <c r="B443" s="540"/>
      <c r="C443" s="541"/>
      <c r="D443" s="541"/>
      <c r="E443" s="541"/>
      <c r="F443" s="541"/>
      <c r="G443" s="541"/>
      <c r="H443" s="541"/>
      <c r="I443" s="541"/>
      <c r="J443" s="541"/>
      <c r="K443" s="541"/>
      <c r="L443" s="541"/>
      <c r="M443" s="541"/>
      <c r="N443" s="542"/>
      <c r="O443" s="541"/>
      <c r="P443" s="541"/>
      <c r="Q443" s="541"/>
      <c r="R443" s="541"/>
    </row>
    <row r="444" spans="1:18" ht="15" x14ac:dyDescent="0.25">
      <c r="A444" s="552">
        <v>44846</v>
      </c>
      <c r="B444" s="543"/>
      <c r="C444" s="541"/>
      <c r="D444" s="541"/>
      <c r="E444" s="541"/>
      <c r="F444" s="541"/>
      <c r="G444" s="541"/>
      <c r="H444" s="541"/>
      <c r="I444" s="541"/>
      <c r="J444" s="541"/>
      <c r="K444" s="541"/>
      <c r="L444" s="541"/>
      <c r="M444" s="541"/>
      <c r="N444" s="542"/>
      <c r="O444" s="541"/>
      <c r="P444" s="541"/>
      <c r="Q444" s="541"/>
      <c r="R444" s="541"/>
    </row>
    <row r="445" spans="1:18" ht="15" x14ac:dyDescent="0.25">
      <c r="A445" s="552">
        <v>44847</v>
      </c>
      <c r="B445" s="546"/>
      <c r="C445" s="541"/>
      <c r="D445" s="541"/>
      <c r="E445" s="541"/>
      <c r="F445" s="541"/>
      <c r="G445" s="541"/>
      <c r="H445" s="541"/>
      <c r="I445" s="541"/>
      <c r="J445" s="541"/>
      <c r="K445" s="541"/>
      <c r="L445" s="541"/>
      <c r="M445" s="541"/>
      <c r="N445" s="542"/>
      <c r="O445" s="541"/>
      <c r="P445" s="541"/>
      <c r="Q445" s="541"/>
      <c r="R445" s="541"/>
    </row>
    <row r="446" spans="1:18" ht="15" x14ac:dyDescent="0.25">
      <c r="A446" s="552">
        <v>44848</v>
      </c>
      <c r="B446" s="546"/>
      <c r="C446" s="541"/>
      <c r="D446" s="541"/>
      <c r="E446" s="541"/>
      <c r="F446" s="541"/>
      <c r="G446" s="541"/>
      <c r="H446" s="541"/>
      <c r="I446" s="541"/>
      <c r="J446" s="541"/>
      <c r="K446" s="541"/>
      <c r="L446" s="541"/>
      <c r="M446" s="541"/>
      <c r="N446" s="542"/>
      <c r="O446" s="541"/>
      <c r="P446" s="541"/>
      <c r="Q446" s="541"/>
      <c r="R446" s="541"/>
    </row>
    <row r="447" spans="1:18" ht="28.5" x14ac:dyDescent="0.25">
      <c r="A447" s="552">
        <v>44849</v>
      </c>
      <c r="B447" s="662" t="s">
        <v>5672</v>
      </c>
      <c r="C447" s="541"/>
      <c r="D447" s="541"/>
      <c r="E447" s="541"/>
      <c r="F447" s="541"/>
      <c r="G447" s="541"/>
      <c r="H447" s="541"/>
      <c r="I447" s="541"/>
      <c r="J447" s="541"/>
      <c r="K447" s="541"/>
      <c r="L447" s="541"/>
      <c r="M447" s="541"/>
      <c r="N447" s="542"/>
      <c r="O447" s="541"/>
      <c r="P447" s="541"/>
      <c r="Q447" s="541"/>
      <c r="R447" s="541"/>
    </row>
    <row r="448" spans="1:18" ht="15" x14ac:dyDescent="0.25">
      <c r="A448" s="552">
        <v>44851</v>
      </c>
      <c r="B448" s="540"/>
      <c r="C448" s="541"/>
      <c r="D448" s="541"/>
      <c r="E448" s="541"/>
      <c r="F448" s="541"/>
      <c r="G448" s="541"/>
      <c r="H448" s="541"/>
      <c r="I448" s="541"/>
      <c r="J448" s="541"/>
      <c r="K448" s="541"/>
      <c r="L448" s="541"/>
      <c r="M448" s="541"/>
      <c r="N448" s="542"/>
      <c r="O448" s="541"/>
      <c r="P448" s="541"/>
      <c r="Q448" s="541"/>
      <c r="R448" s="541"/>
    </row>
    <row r="449" spans="1:18" ht="15" x14ac:dyDescent="0.25">
      <c r="A449" s="552">
        <v>44852</v>
      </c>
      <c r="B449" s="540"/>
      <c r="C449" s="541"/>
      <c r="D449" s="541"/>
      <c r="E449" s="541"/>
      <c r="F449" s="541"/>
      <c r="G449" s="541"/>
      <c r="H449" s="541"/>
      <c r="I449" s="541"/>
      <c r="J449" s="541"/>
      <c r="K449" s="541"/>
      <c r="L449" s="541"/>
      <c r="M449" s="541"/>
      <c r="N449" s="542"/>
      <c r="O449" s="541"/>
      <c r="P449" s="541"/>
      <c r="Q449" s="541"/>
      <c r="R449" s="541"/>
    </row>
    <row r="450" spans="1:18" ht="15" x14ac:dyDescent="0.25">
      <c r="A450" s="552">
        <v>44853</v>
      </c>
      <c r="B450" s="543"/>
      <c r="C450" s="541"/>
      <c r="D450" s="541"/>
      <c r="E450" s="541"/>
      <c r="F450" s="541"/>
      <c r="G450" s="541"/>
      <c r="H450" s="541"/>
      <c r="I450" s="541"/>
      <c r="J450" s="541"/>
      <c r="K450" s="541"/>
      <c r="L450" s="541"/>
      <c r="M450" s="541"/>
      <c r="N450" s="542"/>
      <c r="O450" s="541"/>
      <c r="P450" s="541"/>
      <c r="Q450" s="541"/>
      <c r="R450" s="541"/>
    </row>
    <row r="451" spans="1:18" ht="15" x14ac:dyDescent="0.25">
      <c r="A451" s="552">
        <v>44854</v>
      </c>
      <c r="B451" s="540"/>
      <c r="C451" s="541"/>
      <c r="D451" s="541"/>
      <c r="E451" s="541"/>
      <c r="F451" s="541"/>
      <c r="G451" s="541"/>
      <c r="H451" s="541"/>
      <c r="I451" s="541"/>
      <c r="J451" s="541"/>
      <c r="K451" s="541"/>
      <c r="L451" s="541"/>
      <c r="M451" s="541"/>
      <c r="N451" s="542"/>
      <c r="O451" s="541"/>
      <c r="P451" s="541"/>
      <c r="Q451" s="541"/>
      <c r="R451" s="541"/>
    </row>
    <row r="452" spans="1:18" ht="15" x14ac:dyDescent="0.25">
      <c r="A452" s="552">
        <v>44855</v>
      </c>
      <c r="B452" s="540"/>
      <c r="C452" s="541"/>
      <c r="D452" s="541"/>
      <c r="E452" s="541"/>
      <c r="F452" s="541"/>
      <c r="G452" s="541"/>
      <c r="H452" s="541"/>
      <c r="I452" s="541"/>
      <c r="J452" s="541"/>
      <c r="K452" s="541"/>
      <c r="L452" s="541"/>
      <c r="M452" s="541"/>
      <c r="N452" s="542"/>
      <c r="O452" s="541"/>
      <c r="P452" s="541"/>
      <c r="Q452" s="541"/>
      <c r="R452" s="541"/>
    </row>
    <row r="453" spans="1:18" ht="28.5" x14ac:dyDescent="0.25">
      <c r="A453" s="552">
        <v>44856</v>
      </c>
      <c r="B453" s="543" t="s">
        <v>5673</v>
      </c>
      <c r="C453" s="541"/>
      <c r="D453" s="541"/>
      <c r="E453" s="541"/>
      <c r="F453" s="541"/>
      <c r="G453" s="541"/>
      <c r="H453" s="541"/>
      <c r="I453" s="541"/>
      <c r="J453" s="541"/>
      <c r="K453" s="541"/>
      <c r="L453" s="541"/>
      <c r="M453" s="541"/>
      <c r="N453" s="542"/>
      <c r="O453" s="541"/>
      <c r="P453" s="541"/>
      <c r="Q453" s="541"/>
      <c r="R453" s="541"/>
    </row>
    <row r="454" spans="1:18" ht="28.5" x14ac:dyDescent="0.25">
      <c r="A454" s="552"/>
      <c r="B454" s="662" t="s">
        <v>5674</v>
      </c>
      <c r="C454" s="541"/>
      <c r="D454" s="541"/>
      <c r="E454" s="541"/>
      <c r="F454" s="541"/>
      <c r="G454" s="541"/>
      <c r="H454" s="541"/>
      <c r="I454" s="541"/>
      <c r="J454" s="541"/>
      <c r="K454" s="541"/>
      <c r="L454" s="541"/>
      <c r="M454" s="541"/>
      <c r="N454" s="542"/>
      <c r="O454" s="541"/>
      <c r="P454" s="541"/>
      <c r="Q454" s="541"/>
      <c r="R454" s="541"/>
    </row>
    <row r="455" spans="1:18" ht="15" x14ac:dyDescent="0.25">
      <c r="A455" s="552">
        <v>44858</v>
      </c>
      <c r="B455" s="543"/>
      <c r="C455" s="541"/>
      <c r="D455" s="541"/>
      <c r="E455" s="541"/>
      <c r="F455" s="541"/>
      <c r="G455" s="541"/>
      <c r="H455" s="541"/>
      <c r="I455" s="541"/>
      <c r="J455" s="541"/>
      <c r="K455" s="541"/>
      <c r="L455" s="541"/>
      <c r="M455" s="541"/>
      <c r="N455" s="542"/>
      <c r="O455" s="541"/>
      <c r="P455" s="541"/>
      <c r="Q455" s="541"/>
      <c r="R455" s="541"/>
    </row>
    <row r="456" spans="1:18" ht="15" x14ac:dyDescent="0.25">
      <c r="A456" s="552">
        <v>44859</v>
      </c>
      <c r="B456" s="543"/>
      <c r="C456" s="541"/>
      <c r="D456" s="541"/>
      <c r="E456" s="541"/>
      <c r="F456" s="541"/>
      <c r="G456" s="541"/>
      <c r="H456" s="541"/>
      <c r="I456" s="541"/>
      <c r="J456" s="541"/>
      <c r="K456" s="541"/>
      <c r="L456" s="541"/>
      <c r="M456" s="541"/>
      <c r="N456" s="542"/>
      <c r="O456" s="541"/>
      <c r="P456" s="541"/>
      <c r="Q456" s="541"/>
      <c r="R456" s="541"/>
    </row>
    <row r="457" spans="1:18" ht="15" x14ac:dyDescent="0.25">
      <c r="A457" s="552">
        <v>44860</v>
      </c>
      <c r="B457" s="540"/>
      <c r="C457" s="541"/>
      <c r="D457" s="541"/>
      <c r="E457" s="541"/>
      <c r="F457" s="541"/>
      <c r="G457" s="541"/>
      <c r="H457" s="541"/>
      <c r="I457" s="541"/>
      <c r="J457" s="541"/>
      <c r="K457" s="541"/>
      <c r="L457" s="541"/>
      <c r="M457" s="541"/>
      <c r="N457" s="542"/>
      <c r="O457" s="541"/>
      <c r="P457" s="541"/>
      <c r="Q457" s="541"/>
      <c r="R457" s="541"/>
    </row>
    <row r="458" spans="1:18" ht="15" x14ac:dyDescent="0.25">
      <c r="A458" s="552">
        <v>44861</v>
      </c>
      <c r="B458" s="540"/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2"/>
      <c r="O458" s="541"/>
      <c r="P458" s="541"/>
      <c r="Q458" s="541"/>
      <c r="R458" s="541"/>
    </row>
    <row r="459" spans="1:18" ht="15" x14ac:dyDescent="0.25">
      <c r="A459" s="552">
        <v>44862</v>
      </c>
      <c r="B459" s="540"/>
      <c r="C459" s="541"/>
      <c r="D459" s="541"/>
      <c r="E459" s="541"/>
      <c r="F459" s="541"/>
      <c r="G459" s="541"/>
      <c r="H459" s="541"/>
      <c r="I459" s="541"/>
      <c r="J459" s="541"/>
      <c r="K459" s="541"/>
      <c r="L459" s="541"/>
      <c r="M459" s="541"/>
      <c r="N459" s="542"/>
      <c r="O459" s="541"/>
      <c r="P459" s="541"/>
      <c r="Q459" s="541"/>
      <c r="R459" s="541"/>
    </row>
    <row r="460" spans="1:18" ht="15" x14ac:dyDescent="0.25">
      <c r="A460" s="552">
        <v>44863</v>
      </c>
      <c r="B460" s="540"/>
      <c r="C460" s="541"/>
      <c r="D460" s="541"/>
      <c r="E460" s="541"/>
      <c r="F460" s="541"/>
      <c r="G460" s="541"/>
      <c r="H460" s="541"/>
      <c r="I460" s="541"/>
      <c r="J460" s="541"/>
      <c r="K460" s="541"/>
      <c r="L460" s="541"/>
      <c r="M460" s="541"/>
      <c r="N460" s="542"/>
      <c r="O460" s="541"/>
      <c r="P460" s="541"/>
      <c r="Q460" s="541"/>
      <c r="R460" s="541"/>
    </row>
    <row r="461" spans="1:18" ht="15" x14ac:dyDescent="0.25">
      <c r="A461" s="552">
        <v>44865</v>
      </c>
      <c r="B461" s="540"/>
      <c r="C461" s="541"/>
      <c r="D461" s="541"/>
      <c r="E461" s="541"/>
      <c r="F461" s="541"/>
      <c r="G461" s="541"/>
      <c r="H461" s="541"/>
      <c r="I461" s="541"/>
      <c r="J461" s="541"/>
      <c r="K461" s="541"/>
      <c r="L461" s="541"/>
      <c r="M461" s="541"/>
      <c r="N461" s="542"/>
      <c r="O461" s="541"/>
      <c r="P461" s="541"/>
      <c r="Q461" s="541"/>
      <c r="R461" s="541"/>
    </row>
    <row r="462" spans="1:18" ht="15" x14ac:dyDescent="0.25">
      <c r="A462" s="552"/>
      <c r="B462" s="540"/>
      <c r="C462" s="541"/>
      <c r="D462" s="541"/>
      <c r="E462" s="541"/>
      <c r="F462" s="541"/>
      <c r="G462" s="541"/>
      <c r="H462" s="541"/>
      <c r="I462" s="541"/>
      <c r="J462" s="541"/>
      <c r="K462" s="541"/>
      <c r="L462" s="541"/>
      <c r="M462" s="541"/>
      <c r="N462" s="542"/>
      <c r="O462" s="541"/>
      <c r="P462" s="541"/>
      <c r="Q462" s="541"/>
      <c r="R462" s="541"/>
    </row>
    <row r="463" spans="1:18" ht="15" x14ac:dyDescent="0.25">
      <c r="A463" s="552"/>
      <c r="B463" s="543"/>
      <c r="C463" s="541"/>
      <c r="D463" s="541"/>
      <c r="E463" s="541"/>
      <c r="F463" s="541"/>
      <c r="G463" s="541"/>
      <c r="H463" s="541"/>
      <c r="I463" s="541"/>
      <c r="J463" s="541"/>
      <c r="K463" s="541"/>
      <c r="L463" s="541"/>
      <c r="M463" s="541"/>
      <c r="N463" s="542"/>
      <c r="O463" s="541"/>
      <c r="P463" s="541"/>
      <c r="Q463" s="541"/>
      <c r="R463" s="541"/>
    </row>
    <row r="464" spans="1:18" ht="15" x14ac:dyDescent="0.25">
      <c r="A464" s="552"/>
      <c r="B464" s="540"/>
      <c r="C464" s="541"/>
      <c r="D464" s="541"/>
      <c r="E464" s="541"/>
      <c r="F464" s="541"/>
      <c r="G464" s="541"/>
      <c r="H464" s="541"/>
      <c r="I464" s="541"/>
      <c r="J464" s="541"/>
      <c r="K464" s="541"/>
      <c r="L464" s="541"/>
      <c r="M464" s="541"/>
      <c r="N464" s="542"/>
      <c r="O464" s="541"/>
      <c r="P464" s="541"/>
      <c r="Q464" s="541"/>
      <c r="R464" s="541"/>
    </row>
    <row r="465" spans="1:18" ht="15" x14ac:dyDescent="0.25">
      <c r="A465" s="691"/>
      <c r="B465" s="540"/>
      <c r="C465" s="541"/>
      <c r="D465" s="541"/>
      <c r="E465" s="541"/>
      <c r="F465" s="541"/>
      <c r="G465" s="541"/>
      <c r="H465" s="541"/>
      <c r="I465" s="541"/>
      <c r="J465" s="541"/>
      <c r="K465" s="541"/>
      <c r="L465" s="541"/>
      <c r="M465" s="541"/>
      <c r="N465" s="542"/>
      <c r="O465" s="541"/>
      <c r="P465" s="541"/>
      <c r="Q465" s="541"/>
      <c r="R465" s="541"/>
    </row>
    <row r="466" spans="1:18" ht="16.5" x14ac:dyDescent="0.25">
      <c r="A466" s="566"/>
      <c r="B466" s="567" t="s">
        <v>38</v>
      </c>
      <c r="C466" s="568">
        <f t="shared" ref="C466:R466" si="12">SUM(C435:C465)</f>
        <v>0</v>
      </c>
      <c r="D466" s="568">
        <f t="shared" si="12"/>
        <v>0</v>
      </c>
      <c r="E466" s="568">
        <f t="shared" si="12"/>
        <v>0</v>
      </c>
      <c r="F466" s="568">
        <f t="shared" si="12"/>
        <v>0</v>
      </c>
      <c r="G466" s="568">
        <f t="shared" si="12"/>
        <v>0</v>
      </c>
      <c r="H466" s="568">
        <f t="shared" si="12"/>
        <v>0</v>
      </c>
      <c r="I466" s="568">
        <f t="shared" si="12"/>
        <v>0</v>
      </c>
      <c r="J466" s="568">
        <f t="shared" si="12"/>
        <v>0</v>
      </c>
      <c r="K466" s="568">
        <f t="shared" si="12"/>
        <v>0</v>
      </c>
      <c r="L466" s="568">
        <f t="shared" si="12"/>
        <v>0</v>
      </c>
      <c r="M466" s="568">
        <f t="shared" si="12"/>
        <v>0</v>
      </c>
      <c r="N466" s="568">
        <f t="shared" si="12"/>
        <v>0</v>
      </c>
      <c r="O466" s="568">
        <f t="shared" si="12"/>
        <v>0</v>
      </c>
      <c r="P466" s="568">
        <f t="shared" si="12"/>
        <v>0</v>
      </c>
      <c r="Q466" s="568">
        <f t="shared" si="12"/>
        <v>0</v>
      </c>
      <c r="R466" s="568">
        <f t="shared" si="12"/>
        <v>0</v>
      </c>
    </row>
    <row r="467" spans="1:18" ht="16.5" x14ac:dyDescent="0.25">
      <c r="A467" s="561" t="s">
        <v>420</v>
      </c>
      <c r="B467" s="562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4"/>
      <c r="O467" s="563"/>
      <c r="P467" s="563"/>
      <c r="Q467" s="565"/>
      <c r="R467" s="565"/>
    </row>
    <row r="468" spans="1:18" ht="15" x14ac:dyDescent="0.25">
      <c r="A468" s="551">
        <v>44866</v>
      </c>
      <c r="B468" s="543"/>
      <c r="C468" s="544"/>
      <c r="D468" s="544"/>
      <c r="E468" s="544"/>
      <c r="F468" s="544"/>
      <c r="G468" s="544"/>
      <c r="H468" s="544"/>
      <c r="I468" s="544"/>
      <c r="J468" s="544"/>
      <c r="K468" s="544"/>
      <c r="L468" s="544"/>
      <c r="M468" s="544"/>
      <c r="N468" s="545"/>
      <c r="O468" s="544"/>
      <c r="P468" s="544"/>
      <c r="Q468" s="544"/>
      <c r="R468" s="544"/>
    </row>
    <row r="469" spans="1:18" ht="15" x14ac:dyDescent="0.25">
      <c r="A469" s="552">
        <v>44867</v>
      </c>
      <c r="B469" s="543"/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5"/>
      <c r="O469" s="544"/>
      <c r="P469" s="544"/>
      <c r="Q469" s="544"/>
      <c r="R469" s="544"/>
    </row>
    <row r="470" spans="1:18" ht="15" x14ac:dyDescent="0.25">
      <c r="A470" s="552">
        <v>44868</v>
      </c>
      <c r="B470" s="543"/>
      <c r="C470" s="544"/>
      <c r="D470" s="544"/>
      <c r="E470" s="544"/>
      <c r="F470" s="544"/>
      <c r="G470" s="544"/>
      <c r="H470" s="544"/>
      <c r="I470" s="544"/>
      <c r="J470" s="544"/>
      <c r="K470" s="544"/>
      <c r="L470" s="544"/>
      <c r="M470" s="544"/>
      <c r="N470" s="545"/>
      <c r="O470" s="544"/>
      <c r="P470" s="544"/>
      <c r="Q470" s="544"/>
      <c r="R470" s="544"/>
    </row>
    <row r="471" spans="1:18" ht="15" x14ac:dyDescent="0.25">
      <c r="A471" s="552">
        <v>44869</v>
      </c>
      <c r="B471" s="543"/>
      <c r="C471" s="544"/>
      <c r="D471" s="544"/>
      <c r="E471" s="544"/>
      <c r="F471" s="544"/>
      <c r="G471" s="544"/>
      <c r="H471" s="544"/>
      <c r="I471" s="544"/>
      <c r="J471" s="544"/>
      <c r="K471" s="544"/>
      <c r="L471" s="544"/>
      <c r="M471" s="544"/>
      <c r="N471" s="545"/>
      <c r="O471" s="544"/>
      <c r="P471" s="544"/>
      <c r="Q471" s="544"/>
      <c r="R471" s="544"/>
    </row>
    <row r="472" spans="1:18" ht="15" x14ac:dyDescent="0.25">
      <c r="A472" s="552">
        <v>44870</v>
      </c>
      <c r="B472" s="543"/>
      <c r="C472" s="541"/>
      <c r="D472" s="541"/>
      <c r="E472" s="541"/>
      <c r="F472" s="541"/>
      <c r="G472" s="541"/>
      <c r="H472" s="541"/>
      <c r="I472" s="541"/>
      <c r="J472" s="541"/>
      <c r="K472" s="541"/>
      <c r="L472" s="541"/>
      <c r="M472" s="541"/>
      <c r="N472" s="542"/>
      <c r="O472" s="541"/>
      <c r="P472" s="541"/>
      <c r="Q472" s="541"/>
      <c r="R472" s="541"/>
    </row>
    <row r="473" spans="1:18" ht="15" x14ac:dyDescent="0.25">
      <c r="A473" s="552">
        <v>44871</v>
      </c>
      <c r="B473" s="543"/>
      <c r="C473" s="544"/>
      <c r="D473" s="544"/>
      <c r="E473" s="544"/>
      <c r="F473" s="544"/>
      <c r="G473" s="544"/>
      <c r="H473" s="544"/>
      <c r="I473" s="544"/>
      <c r="J473" s="544"/>
      <c r="K473" s="544"/>
      <c r="L473" s="544"/>
      <c r="M473" s="544"/>
      <c r="N473" s="545"/>
      <c r="O473" s="544"/>
      <c r="P473" s="544"/>
      <c r="Q473" s="544"/>
      <c r="R473" s="544"/>
    </row>
    <row r="474" spans="1:18" ht="15" x14ac:dyDescent="0.25">
      <c r="A474" s="552">
        <v>44872</v>
      </c>
      <c r="B474" s="540"/>
      <c r="C474" s="541"/>
      <c r="D474" s="541"/>
      <c r="E474" s="541"/>
      <c r="F474" s="541"/>
      <c r="G474" s="541"/>
      <c r="H474" s="541"/>
      <c r="I474" s="541"/>
      <c r="J474" s="541"/>
      <c r="K474" s="541"/>
      <c r="L474" s="541"/>
      <c r="M474" s="541"/>
      <c r="N474" s="542"/>
      <c r="O474" s="541"/>
      <c r="P474" s="541"/>
      <c r="Q474" s="541"/>
      <c r="R474" s="541"/>
    </row>
    <row r="475" spans="1:18" ht="15" x14ac:dyDescent="0.25">
      <c r="A475" s="552">
        <v>44873</v>
      </c>
      <c r="B475" s="540"/>
      <c r="C475" s="541"/>
      <c r="D475" s="541"/>
      <c r="E475" s="541"/>
      <c r="F475" s="541"/>
      <c r="G475" s="541"/>
      <c r="H475" s="541"/>
      <c r="I475" s="541"/>
      <c r="J475" s="541"/>
      <c r="K475" s="541"/>
      <c r="L475" s="541"/>
      <c r="M475" s="541"/>
      <c r="N475" s="542"/>
      <c r="O475" s="541"/>
      <c r="P475" s="541"/>
      <c r="Q475" s="541"/>
      <c r="R475" s="541"/>
    </row>
    <row r="476" spans="1:18" ht="15" x14ac:dyDescent="0.25">
      <c r="A476" s="552">
        <v>44874</v>
      </c>
      <c r="B476" s="540"/>
      <c r="C476" s="541"/>
      <c r="D476" s="541"/>
      <c r="E476" s="541"/>
      <c r="F476" s="541"/>
      <c r="G476" s="541"/>
      <c r="H476" s="541"/>
      <c r="I476" s="541"/>
      <c r="J476" s="541"/>
      <c r="K476" s="541"/>
      <c r="L476" s="541"/>
      <c r="M476" s="541"/>
      <c r="N476" s="542"/>
      <c r="O476" s="541"/>
      <c r="P476" s="541"/>
      <c r="Q476" s="541"/>
      <c r="R476" s="541"/>
    </row>
    <row r="477" spans="1:18" ht="15" x14ac:dyDescent="0.25">
      <c r="A477" s="552">
        <v>44875</v>
      </c>
      <c r="B477" s="540"/>
      <c r="C477" s="541"/>
      <c r="D477" s="541"/>
      <c r="E477" s="541"/>
      <c r="F477" s="541"/>
      <c r="G477" s="541"/>
      <c r="H477" s="541"/>
      <c r="I477" s="541"/>
      <c r="J477" s="541"/>
      <c r="K477" s="541"/>
      <c r="L477" s="541"/>
      <c r="M477" s="541"/>
      <c r="N477" s="542"/>
      <c r="O477" s="541"/>
      <c r="P477" s="541"/>
      <c r="Q477" s="541"/>
      <c r="R477" s="541"/>
    </row>
    <row r="478" spans="1:18" ht="15" x14ac:dyDescent="0.25">
      <c r="A478" s="552">
        <v>44876</v>
      </c>
      <c r="B478" s="540"/>
      <c r="C478" s="541"/>
      <c r="D478" s="541"/>
      <c r="E478" s="541"/>
      <c r="F478" s="541"/>
      <c r="G478" s="541"/>
      <c r="H478" s="541"/>
      <c r="I478" s="541"/>
      <c r="J478" s="541"/>
      <c r="K478" s="541"/>
      <c r="L478" s="541"/>
      <c r="M478" s="541"/>
      <c r="N478" s="542"/>
      <c r="O478" s="541"/>
      <c r="P478" s="541"/>
      <c r="Q478" s="541"/>
      <c r="R478" s="541"/>
    </row>
    <row r="479" spans="1:18" ht="15" x14ac:dyDescent="0.25">
      <c r="A479" s="552">
        <v>44877</v>
      </c>
      <c r="B479" s="540"/>
      <c r="C479" s="541"/>
      <c r="D479" s="541"/>
      <c r="E479" s="541"/>
      <c r="F479" s="541"/>
      <c r="G479" s="541"/>
      <c r="H479" s="541"/>
      <c r="I479" s="541"/>
      <c r="J479" s="541"/>
      <c r="K479" s="541"/>
      <c r="L479" s="541"/>
      <c r="M479" s="541"/>
      <c r="N479" s="542"/>
      <c r="O479" s="541"/>
      <c r="P479" s="541"/>
      <c r="Q479" s="541"/>
      <c r="R479" s="541"/>
    </row>
    <row r="480" spans="1:18" ht="15" x14ac:dyDescent="0.25">
      <c r="A480" s="552">
        <v>44878</v>
      </c>
      <c r="B480" s="540"/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2"/>
      <c r="O480" s="541"/>
      <c r="P480" s="541"/>
      <c r="Q480" s="541"/>
      <c r="R480" s="541"/>
    </row>
    <row r="481" spans="1:18" ht="15" x14ac:dyDescent="0.25">
      <c r="A481" s="552">
        <v>44879</v>
      </c>
      <c r="B481" s="543"/>
      <c r="C481" s="541"/>
      <c r="D481" s="541"/>
      <c r="E481" s="541"/>
      <c r="F481" s="541"/>
      <c r="G481" s="541"/>
      <c r="H481" s="541"/>
      <c r="I481" s="541"/>
      <c r="J481" s="541"/>
      <c r="K481" s="541"/>
      <c r="L481" s="541"/>
      <c r="M481" s="541"/>
      <c r="N481" s="542"/>
      <c r="O481" s="541"/>
      <c r="P481" s="541"/>
      <c r="Q481" s="541"/>
      <c r="R481" s="541"/>
    </row>
    <row r="482" spans="1:18" ht="15" x14ac:dyDescent="0.25">
      <c r="A482" s="552">
        <v>44880</v>
      </c>
      <c r="B482" s="543"/>
      <c r="C482" s="541"/>
      <c r="D482" s="541"/>
      <c r="E482" s="541"/>
      <c r="F482" s="541"/>
      <c r="G482" s="541"/>
      <c r="H482" s="541"/>
      <c r="I482" s="541"/>
      <c r="J482" s="541"/>
      <c r="K482" s="541"/>
      <c r="L482" s="541"/>
      <c r="M482" s="541"/>
      <c r="N482" s="542"/>
      <c r="O482" s="541"/>
      <c r="P482" s="541"/>
      <c r="Q482" s="541"/>
      <c r="R482" s="541"/>
    </row>
    <row r="483" spans="1:18" ht="15" x14ac:dyDescent="0.25">
      <c r="A483" s="552">
        <v>44881</v>
      </c>
      <c r="B483" s="543"/>
      <c r="C483" s="541"/>
      <c r="D483" s="541"/>
      <c r="E483" s="541"/>
      <c r="F483" s="541"/>
      <c r="G483" s="541"/>
      <c r="H483" s="541"/>
      <c r="I483" s="541"/>
      <c r="J483" s="541"/>
      <c r="K483" s="541"/>
      <c r="L483" s="541"/>
      <c r="M483" s="541"/>
      <c r="N483" s="542"/>
      <c r="O483" s="541"/>
      <c r="P483" s="541"/>
      <c r="Q483" s="541"/>
      <c r="R483" s="541"/>
    </row>
    <row r="484" spans="1:18" ht="15" x14ac:dyDescent="0.25">
      <c r="A484" s="552">
        <v>44882</v>
      </c>
      <c r="B484" s="672"/>
      <c r="C484" s="541"/>
      <c r="D484" s="541"/>
      <c r="E484" s="541"/>
      <c r="F484" s="541"/>
      <c r="G484" s="541"/>
      <c r="H484" s="541"/>
      <c r="I484" s="541"/>
      <c r="J484" s="541"/>
      <c r="K484" s="541"/>
      <c r="L484" s="541"/>
      <c r="M484" s="541"/>
      <c r="N484" s="542"/>
      <c r="O484" s="541"/>
      <c r="P484" s="541"/>
      <c r="Q484" s="541"/>
      <c r="R484" s="541"/>
    </row>
    <row r="485" spans="1:18" ht="15" x14ac:dyDescent="0.25">
      <c r="A485" s="552">
        <v>44883</v>
      </c>
      <c r="B485" s="675"/>
      <c r="C485" s="541"/>
      <c r="D485" s="541"/>
      <c r="E485" s="541"/>
      <c r="F485" s="541"/>
      <c r="G485" s="541"/>
      <c r="H485" s="541"/>
      <c r="I485" s="541"/>
      <c r="J485" s="541"/>
      <c r="K485" s="541"/>
      <c r="L485" s="541"/>
      <c r="M485" s="541"/>
      <c r="N485" s="542"/>
      <c r="O485" s="541"/>
      <c r="P485" s="541"/>
      <c r="Q485" s="541"/>
      <c r="R485" s="541"/>
    </row>
    <row r="486" spans="1:18" ht="15" x14ac:dyDescent="0.25">
      <c r="A486" s="552">
        <v>44884</v>
      </c>
      <c r="B486" s="675"/>
      <c r="C486" s="541"/>
      <c r="D486" s="541"/>
      <c r="E486" s="541"/>
      <c r="F486" s="541"/>
      <c r="G486" s="541"/>
      <c r="H486" s="541"/>
      <c r="I486" s="541"/>
      <c r="J486" s="541"/>
      <c r="K486" s="541"/>
      <c r="L486" s="541"/>
      <c r="M486" s="541"/>
      <c r="N486" s="542"/>
      <c r="O486" s="541"/>
      <c r="P486" s="541"/>
      <c r="Q486" s="541"/>
      <c r="R486" s="541"/>
    </row>
    <row r="487" spans="1:18" ht="15" x14ac:dyDescent="0.25">
      <c r="A487" s="552">
        <v>44885</v>
      </c>
      <c r="B487" s="540"/>
      <c r="C487" s="541"/>
      <c r="D487" s="541"/>
      <c r="E487" s="541"/>
      <c r="F487" s="541"/>
      <c r="G487" s="541"/>
      <c r="H487" s="541"/>
      <c r="I487" s="541"/>
      <c r="J487" s="541"/>
      <c r="K487" s="541"/>
      <c r="L487" s="541"/>
      <c r="M487" s="541"/>
      <c r="N487" s="542"/>
      <c r="O487" s="541"/>
      <c r="P487" s="541"/>
      <c r="Q487" s="541"/>
      <c r="R487" s="541"/>
    </row>
    <row r="488" spans="1:18" ht="15" x14ac:dyDescent="0.25">
      <c r="A488" s="552">
        <v>44886</v>
      </c>
      <c r="B488" s="540"/>
      <c r="C488" s="541"/>
      <c r="D488" s="541"/>
      <c r="E488" s="541"/>
      <c r="F488" s="541"/>
      <c r="G488" s="541"/>
      <c r="H488" s="541"/>
      <c r="I488" s="541"/>
      <c r="J488" s="541"/>
      <c r="K488" s="541"/>
      <c r="L488" s="541"/>
      <c r="M488" s="541"/>
      <c r="N488" s="542"/>
      <c r="O488" s="541"/>
      <c r="P488" s="541"/>
      <c r="Q488" s="541"/>
      <c r="R488" s="541"/>
    </row>
    <row r="489" spans="1:18" ht="15" x14ac:dyDescent="0.25">
      <c r="A489" s="552">
        <v>44887</v>
      </c>
      <c r="B489" s="540"/>
      <c r="C489" s="541"/>
      <c r="D489" s="541"/>
      <c r="E489" s="541"/>
      <c r="F489" s="541"/>
      <c r="G489" s="541"/>
      <c r="H489" s="541"/>
      <c r="I489" s="541"/>
      <c r="J489" s="541"/>
      <c r="K489" s="541"/>
      <c r="L489" s="541"/>
      <c r="M489" s="541"/>
      <c r="N489" s="542"/>
      <c r="O489" s="541"/>
      <c r="P489" s="541"/>
      <c r="Q489" s="541"/>
      <c r="R489" s="541"/>
    </row>
    <row r="490" spans="1:18" ht="15" x14ac:dyDescent="0.25">
      <c r="A490" s="552">
        <v>44888</v>
      </c>
      <c r="B490" s="540"/>
      <c r="C490" s="541"/>
      <c r="D490" s="541"/>
      <c r="E490" s="541"/>
      <c r="F490" s="541"/>
      <c r="G490" s="541"/>
      <c r="H490" s="541"/>
      <c r="I490" s="541"/>
      <c r="J490" s="541"/>
      <c r="K490" s="541"/>
      <c r="L490" s="541"/>
      <c r="M490" s="541"/>
      <c r="N490" s="542"/>
      <c r="O490" s="541"/>
      <c r="P490" s="541"/>
      <c r="Q490" s="541"/>
      <c r="R490" s="541"/>
    </row>
    <row r="491" spans="1:18" ht="15" x14ac:dyDescent="0.25">
      <c r="A491" s="552">
        <v>44889</v>
      </c>
      <c r="B491" s="540"/>
      <c r="C491" s="541"/>
      <c r="D491" s="541"/>
      <c r="E491" s="541"/>
      <c r="F491" s="541"/>
      <c r="G491" s="541"/>
      <c r="H491" s="541"/>
      <c r="I491" s="541"/>
      <c r="J491" s="541"/>
      <c r="K491" s="541"/>
      <c r="L491" s="541"/>
      <c r="M491" s="541"/>
      <c r="N491" s="542"/>
      <c r="O491" s="541"/>
      <c r="P491" s="541"/>
      <c r="Q491" s="541"/>
      <c r="R491" s="541"/>
    </row>
    <row r="492" spans="1:18" ht="15" x14ac:dyDescent="0.25">
      <c r="A492" s="552">
        <v>44890</v>
      </c>
      <c r="B492" s="540"/>
      <c r="C492" s="541"/>
      <c r="D492" s="541"/>
      <c r="E492" s="541"/>
      <c r="F492" s="541"/>
      <c r="G492" s="541"/>
      <c r="H492" s="541"/>
      <c r="I492" s="541"/>
      <c r="J492" s="541"/>
      <c r="K492" s="541"/>
      <c r="L492" s="541"/>
      <c r="M492" s="541"/>
      <c r="N492" s="542"/>
      <c r="O492" s="541"/>
      <c r="P492" s="541"/>
      <c r="Q492" s="541"/>
      <c r="R492" s="541"/>
    </row>
    <row r="493" spans="1:18" ht="15" x14ac:dyDescent="0.25">
      <c r="A493" s="552">
        <v>44891</v>
      </c>
      <c r="B493" s="540"/>
      <c r="C493" s="541"/>
      <c r="D493" s="541"/>
      <c r="E493" s="541"/>
      <c r="F493" s="541"/>
      <c r="G493" s="541"/>
      <c r="H493" s="541"/>
      <c r="I493" s="541"/>
      <c r="J493" s="541"/>
      <c r="K493" s="541"/>
      <c r="L493" s="541"/>
      <c r="M493" s="541"/>
      <c r="N493" s="542"/>
      <c r="O493" s="541"/>
      <c r="P493" s="541"/>
      <c r="Q493" s="541"/>
      <c r="R493" s="541"/>
    </row>
    <row r="494" spans="1:18" ht="15" x14ac:dyDescent="0.25">
      <c r="A494" s="552">
        <v>44892</v>
      </c>
      <c r="B494" s="540"/>
      <c r="C494" s="541"/>
      <c r="D494" s="541"/>
      <c r="E494" s="541"/>
      <c r="F494" s="541"/>
      <c r="G494" s="541"/>
      <c r="H494" s="541"/>
      <c r="I494" s="541"/>
      <c r="J494" s="541"/>
      <c r="K494" s="541"/>
      <c r="L494" s="541"/>
      <c r="M494" s="541"/>
      <c r="N494" s="542"/>
      <c r="O494" s="541"/>
      <c r="P494" s="541"/>
      <c r="Q494" s="541"/>
      <c r="R494" s="541"/>
    </row>
    <row r="495" spans="1:18" ht="15" x14ac:dyDescent="0.25">
      <c r="A495" s="552">
        <v>44893</v>
      </c>
      <c r="B495" s="543"/>
      <c r="C495" s="541"/>
      <c r="D495" s="541"/>
      <c r="E495" s="541"/>
      <c r="F495" s="541"/>
      <c r="G495" s="541"/>
      <c r="H495" s="541"/>
      <c r="I495" s="541"/>
      <c r="J495" s="541"/>
      <c r="K495" s="541"/>
      <c r="L495" s="541"/>
      <c r="M495" s="541"/>
      <c r="N495" s="542"/>
      <c r="O495" s="541"/>
      <c r="P495" s="541"/>
      <c r="Q495" s="541"/>
      <c r="R495" s="541"/>
    </row>
    <row r="496" spans="1:18" ht="15" x14ac:dyDescent="0.25">
      <c r="A496" s="552">
        <v>44894</v>
      </c>
      <c r="B496" s="546"/>
      <c r="C496" s="541"/>
      <c r="D496" s="541"/>
      <c r="E496" s="541"/>
      <c r="F496" s="541"/>
      <c r="G496" s="541"/>
      <c r="H496" s="541"/>
      <c r="I496" s="541"/>
      <c r="J496" s="541"/>
      <c r="K496" s="541"/>
      <c r="L496" s="541"/>
      <c r="M496" s="541"/>
      <c r="N496" s="542"/>
      <c r="O496" s="541"/>
      <c r="P496" s="541"/>
      <c r="Q496" s="541"/>
      <c r="R496" s="541"/>
    </row>
    <row r="497" spans="1:18" ht="15" x14ac:dyDescent="0.25">
      <c r="A497" s="691">
        <v>44895</v>
      </c>
      <c r="B497" s="540"/>
      <c r="C497" s="541"/>
      <c r="D497" s="541"/>
      <c r="E497" s="541"/>
      <c r="F497" s="541"/>
      <c r="G497" s="541"/>
      <c r="H497" s="541"/>
      <c r="I497" s="541"/>
      <c r="J497" s="541"/>
      <c r="K497" s="541"/>
      <c r="L497" s="541"/>
      <c r="M497" s="541"/>
      <c r="N497" s="542"/>
      <c r="O497" s="541"/>
      <c r="P497" s="541"/>
      <c r="Q497" s="541"/>
      <c r="R497" s="541"/>
    </row>
    <row r="498" spans="1:18" ht="16.5" x14ac:dyDescent="0.25">
      <c r="A498" s="566"/>
      <c r="B498" s="567" t="s">
        <v>38</v>
      </c>
      <c r="C498" s="568">
        <f>SUM(C468:C497)</f>
        <v>0</v>
      </c>
      <c r="D498" s="568">
        <f t="shared" ref="D498:R498" si="13">SUM(D468:D497)</f>
        <v>0</v>
      </c>
      <c r="E498" s="568">
        <f t="shared" si="13"/>
        <v>0</v>
      </c>
      <c r="F498" s="568">
        <f t="shared" si="13"/>
        <v>0</v>
      </c>
      <c r="G498" s="568">
        <f t="shared" si="13"/>
        <v>0</v>
      </c>
      <c r="H498" s="568">
        <f t="shared" si="13"/>
        <v>0</v>
      </c>
      <c r="I498" s="568">
        <f t="shared" si="13"/>
        <v>0</v>
      </c>
      <c r="J498" s="568">
        <f t="shared" si="13"/>
        <v>0</v>
      </c>
      <c r="K498" s="568">
        <f t="shared" si="13"/>
        <v>0</v>
      </c>
      <c r="L498" s="568">
        <f t="shared" si="13"/>
        <v>0</v>
      </c>
      <c r="M498" s="568">
        <f t="shared" si="13"/>
        <v>0</v>
      </c>
      <c r="N498" s="568">
        <f t="shared" si="13"/>
        <v>0</v>
      </c>
      <c r="O498" s="568">
        <f t="shared" si="13"/>
        <v>0</v>
      </c>
      <c r="P498" s="568">
        <f t="shared" si="13"/>
        <v>0</v>
      </c>
      <c r="Q498" s="568">
        <f t="shared" ref="Q498" si="14">SUM(Q468:Q497)</f>
        <v>0</v>
      </c>
      <c r="R498" s="568">
        <f t="shared" si="13"/>
        <v>0</v>
      </c>
    </row>
    <row r="499" spans="1:18" ht="16.5" x14ac:dyDescent="0.25">
      <c r="A499" s="561" t="s">
        <v>421</v>
      </c>
      <c r="B499" s="562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4"/>
      <c r="O499" s="563"/>
      <c r="P499" s="563"/>
      <c r="Q499" s="565"/>
      <c r="R499" s="565"/>
    </row>
    <row r="500" spans="1:18" ht="15" x14ac:dyDescent="0.25">
      <c r="A500" s="551">
        <v>44896</v>
      </c>
      <c r="B500" s="546"/>
      <c r="C500" s="541"/>
      <c r="D500" s="541"/>
      <c r="E500" s="541"/>
      <c r="F500" s="541"/>
      <c r="G500" s="541"/>
      <c r="H500" s="541"/>
      <c r="I500" s="541"/>
      <c r="J500" s="541"/>
      <c r="K500" s="541"/>
      <c r="L500" s="541"/>
      <c r="M500" s="541"/>
      <c r="N500" s="542"/>
      <c r="O500" s="541"/>
      <c r="P500" s="541"/>
      <c r="Q500" s="541"/>
      <c r="R500" s="541"/>
    </row>
    <row r="501" spans="1:18" ht="15" x14ac:dyDescent="0.25">
      <c r="A501" s="552">
        <v>44897</v>
      </c>
      <c r="B501" s="540"/>
      <c r="C501" s="541"/>
      <c r="D501" s="541"/>
      <c r="E501" s="541"/>
      <c r="F501" s="541"/>
      <c r="G501" s="541"/>
      <c r="H501" s="541"/>
      <c r="I501" s="541"/>
      <c r="J501" s="541"/>
      <c r="K501" s="541"/>
      <c r="L501" s="541"/>
      <c r="M501" s="541"/>
      <c r="N501" s="542"/>
      <c r="O501" s="541"/>
      <c r="P501" s="541"/>
      <c r="Q501" s="541"/>
      <c r="R501" s="541"/>
    </row>
    <row r="502" spans="1:18" ht="15" x14ac:dyDescent="0.25">
      <c r="A502" s="552">
        <v>44898</v>
      </c>
      <c r="B502" s="543"/>
      <c r="C502" s="541"/>
      <c r="D502" s="541"/>
      <c r="E502" s="541"/>
      <c r="F502" s="541"/>
      <c r="G502" s="541"/>
      <c r="H502" s="541"/>
      <c r="I502" s="541"/>
      <c r="J502" s="541"/>
      <c r="K502" s="541"/>
      <c r="L502" s="541"/>
      <c r="M502" s="541"/>
      <c r="N502" s="542"/>
      <c r="O502" s="541"/>
      <c r="P502" s="541"/>
      <c r="Q502" s="541"/>
      <c r="R502" s="541"/>
    </row>
    <row r="503" spans="1:18" ht="15" x14ac:dyDescent="0.25">
      <c r="A503" s="552">
        <v>44899</v>
      </c>
      <c r="B503" s="540"/>
      <c r="C503" s="541"/>
      <c r="D503" s="541"/>
      <c r="E503" s="541"/>
      <c r="F503" s="541"/>
      <c r="G503" s="541"/>
      <c r="H503" s="541"/>
      <c r="I503" s="541"/>
      <c r="J503" s="541"/>
      <c r="K503" s="541"/>
      <c r="L503" s="541"/>
      <c r="M503" s="541"/>
      <c r="N503" s="542"/>
      <c r="O503" s="541"/>
      <c r="P503" s="541"/>
      <c r="Q503" s="541"/>
      <c r="R503" s="541"/>
    </row>
    <row r="504" spans="1:18" ht="15" x14ac:dyDescent="0.25">
      <c r="A504" s="552">
        <v>44900</v>
      </c>
      <c r="B504" s="540"/>
      <c r="C504" s="541"/>
      <c r="D504" s="541"/>
      <c r="E504" s="541"/>
      <c r="F504" s="541"/>
      <c r="G504" s="541"/>
      <c r="H504" s="541"/>
      <c r="I504" s="541"/>
      <c r="J504" s="541"/>
      <c r="K504" s="541"/>
      <c r="L504" s="541"/>
      <c r="M504" s="541"/>
      <c r="N504" s="542"/>
      <c r="O504" s="541"/>
      <c r="P504" s="541"/>
      <c r="Q504" s="541"/>
      <c r="R504" s="541"/>
    </row>
    <row r="505" spans="1:18" ht="15" x14ac:dyDescent="0.25">
      <c r="A505" s="552">
        <v>44901</v>
      </c>
      <c r="B505" s="540"/>
      <c r="C505" s="541"/>
      <c r="D505" s="541"/>
      <c r="E505" s="541"/>
      <c r="F505" s="541"/>
      <c r="G505" s="541"/>
      <c r="H505" s="541"/>
      <c r="I505" s="541"/>
      <c r="J505" s="541"/>
      <c r="K505" s="541"/>
      <c r="L505" s="541"/>
      <c r="M505" s="541"/>
      <c r="N505" s="542"/>
      <c r="O505" s="541"/>
      <c r="P505" s="541"/>
      <c r="Q505" s="541"/>
      <c r="R505" s="541"/>
    </row>
    <row r="506" spans="1:18" ht="15" x14ac:dyDescent="0.25">
      <c r="A506" s="552">
        <v>44902</v>
      </c>
      <c r="B506" s="540"/>
      <c r="C506" s="541"/>
      <c r="D506" s="541"/>
      <c r="E506" s="541"/>
      <c r="F506" s="541"/>
      <c r="G506" s="541"/>
      <c r="H506" s="541"/>
      <c r="I506" s="541"/>
      <c r="J506" s="541"/>
      <c r="K506" s="541"/>
      <c r="L506" s="541"/>
      <c r="M506" s="541"/>
      <c r="N506" s="542"/>
      <c r="O506" s="541"/>
      <c r="P506" s="541"/>
      <c r="Q506" s="541"/>
      <c r="R506" s="541"/>
    </row>
    <row r="507" spans="1:18" ht="15" x14ac:dyDescent="0.25">
      <c r="A507" s="552">
        <v>44903</v>
      </c>
      <c r="B507" s="543"/>
      <c r="C507" s="541"/>
      <c r="D507" s="541"/>
      <c r="E507" s="541"/>
      <c r="F507" s="541"/>
      <c r="G507" s="541"/>
      <c r="H507" s="541"/>
      <c r="I507" s="541"/>
      <c r="J507" s="541"/>
      <c r="K507" s="541"/>
      <c r="L507" s="541"/>
      <c r="M507" s="541"/>
      <c r="N507" s="542"/>
      <c r="O507" s="541"/>
      <c r="P507" s="541"/>
      <c r="Q507" s="541"/>
      <c r="R507" s="541"/>
    </row>
    <row r="508" spans="1:18" ht="15" x14ac:dyDescent="0.25">
      <c r="A508" s="552">
        <v>44904</v>
      </c>
      <c r="B508" s="540"/>
      <c r="C508" s="541"/>
      <c r="D508" s="541"/>
      <c r="E508" s="541"/>
      <c r="F508" s="541"/>
      <c r="G508" s="541"/>
      <c r="H508" s="541"/>
      <c r="I508" s="541"/>
      <c r="J508" s="541"/>
      <c r="K508" s="541"/>
      <c r="L508" s="541"/>
      <c r="M508" s="541"/>
      <c r="N508" s="542"/>
      <c r="O508" s="541"/>
      <c r="P508" s="541"/>
      <c r="Q508" s="541"/>
      <c r="R508" s="541"/>
    </row>
    <row r="509" spans="1:18" ht="15" x14ac:dyDescent="0.25">
      <c r="A509" s="552">
        <v>44905</v>
      </c>
      <c r="B509" s="540"/>
      <c r="C509" s="541"/>
      <c r="D509" s="541"/>
      <c r="E509" s="541"/>
      <c r="F509" s="541"/>
      <c r="G509" s="541"/>
      <c r="H509" s="541"/>
      <c r="I509" s="541"/>
      <c r="J509" s="541"/>
      <c r="K509" s="541"/>
      <c r="L509" s="541"/>
      <c r="M509" s="541"/>
      <c r="N509" s="542"/>
      <c r="O509" s="541"/>
      <c r="P509" s="541"/>
      <c r="Q509" s="541"/>
      <c r="R509" s="541"/>
    </row>
    <row r="510" spans="1:18" ht="15" x14ac:dyDescent="0.25">
      <c r="A510" s="552">
        <v>44906</v>
      </c>
      <c r="B510" s="540"/>
      <c r="C510" s="541"/>
      <c r="D510" s="541"/>
      <c r="E510" s="541"/>
      <c r="F510" s="541"/>
      <c r="G510" s="541"/>
      <c r="H510" s="541"/>
      <c r="I510" s="541"/>
      <c r="J510" s="541"/>
      <c r="K510" s="541"/>
      <c r="L510" s="541"/>
      <c r="M510" s="541"/>
      <c r="N510" s="542"/>
      <c r="O510" s="541"/>
      <c r="P510" s="541"/>
      <c r="Q510" s="541"/>
      <c r="R510" s="541"/>
    </row>
    <row r="511" spans="1:18" ht="15" x14ac:dyDescent="0.25">
      <c r="A511" s="552">
        <v>44907</v>
      </c>
      <c r="B511" s="540"/>
      <c r="C511" s="541"/>
      <c r="D511" s="541"/>
      <c r="E511" s="541"/>
      <c r="F511" s="541"/>
      <c r="G511" s="541"/>
      <c r="H511" s="541"/>
      <c r="I511" s="541"/>
      <c r="J511" s="541"/>
      <c r="K511" s="541"/>
      <c r="L511" s="541"/>
      <c r="M511" s="541"/>
      <c r="N511" s="542"/>
      <c r="O511" s="541"/>
      <c r="P511" s="541"/>
      <c r="Q511" s="541"/>
      <c r="R511" s="541"/>
    </row>
    <row r="512" spans="1:18" ht="15" x14ac:dyDescent="0.25">
      <c r="A512" s="552">
        <v>44908</v>
      </c>
      <c r="B512" s="540"/>
      <c r="C512" s="541"/>
      <c r="D512" s="541"/>
      <c r="E512" s="541"/>
      <c r="F512" s="541"/>
      <c r="G512" s="541"/>
      <c r="H512" s="541"/>
      <c r="I512" s="541"/>
      <c r="J512" s="541"/>
      <c r="K512" s="541"/>
      <c r="L512" s="541"/>
      <c r="M512" s="541"/>
      <c r="N512" s="542"/>
      <c r="O512" s="541"/>
      <c r="P512" s="541"/>
      <c r="Q512" s="541"/>
      <c r="R512" s="541"/>
    </row>
    <row r="513" spans="1:18" ht="15" x14ac:dyDescent="0.25">
      <c r="A513" s="552">
        <v>44909</v>
      </c>
      <c r="B513" s="543"/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2"/>
      <c r="O513" s="541"/>
      <c r="P513" s="541"/>
      <c r="Q513" s="541"/>
      <c r="R513" s="541"/>
    </row>
    <row r="514" spans="1:18" ht="15" x14ac:dyDescent="0.25">
      <c r="A514" s="552">
        <v>44910</v>
      </c>
      <c r="B514" s="543"/>
      <c r="C514" s="541"/>
      <c r="D514" s="541"/>
      <c r="E514" s="541"/>
      <c r="F514" s="541"/>
      <c r="G514" s="541"/>
      <c r="H514" s="541"/>
      <c r="I514" s="541"/>
      <c r="J514" s="541"/>
      <c r="K514" s="541"/>
      <c r="L514" s="541"/>
      <c r="M514" s="541"/>
      <c r="N514" s="542"/>
      <c r="O514" s="541"/>
      <c r="P514" s="541"/>
      <c r="Q514" s="541"/>
      <c r="R514" s="541"/>
    </row>
    <row r="515" spans="1:18" ht="15" x14ac:dyDescent="0.25">
      <c r="A515" s="552">
        <v>44911</v>
      </c>
      <c r="B515" s="540"/>
      <c r="C515" s="541"/>
      <c r="D515" s="541"/>
      <c r="E515" s="541"/>
      <c r="F515" s="541"/>
      <c r="G515" s="541"/>
      <c r="H515" s="541"/>
      <c r="I515" s="541"/>
      <c r="J515" s="541"/>
      <c r="K515" s="541"/>
      <c r="L515" s="541"/>
      <c r="M515" s="541"/>
      <c r="N515" s="542"/>
      <c r="O515" s="541"/>
      <c r="P515" s="541"/>
      <c r="Q515" s="541"/>
      <c r="R515" s="541"/>
    </row>
    <row r="516" spans="1:18" ht="15" x14ac:dyDescent="0.25">
      <c r="A516" s="552">
        <v>44912</v>
      </c>
      <c r="B516" s="540"/>
      <c r="C516" s="541"/>
      <c r="D516" s="541"/>
      <c r="E516" s="541"/>
      <c r="F516" s="541"/>
      <c r="G516" s="541"/>
      <c r="H516" s="541"/>
      <c r="I516" s="541"/>
      <c r="J516" s="541"/>
      <c r="K516" s="541"/>
      <c r="L516" s="541"/>
      <c r="M516" s="541"/>
      <c r="N516" s="542"/>
      <c r="O516" s="541"/>
      <c r="P516" s="541"/>
      <c r="Q516" s="541"/>
      <c r="R516" s="541"/>
    </row>
    <row r="517" spans="1:18" ht="15" x14ac:dyDescent="0.25">
      <c r="A517" s="552">
        <v>44913</v>
      </c>
      <c r="B517" s="540"/>
      <c r="C517" s="541"/>
      <c r="D517" s="541"/>
      <c r="E517" s="541"/>
      <c r="F517" s="541"/>
      <c r="G517" s="541"/>
      <c r="H517" s="541"/>
      <c r="I517" s="541"/>
      <c r="J517" s="541"/>
      <c r="K517" s="541"/>
      <c r="L517" s="541"/>
      <c r="M517" s="541"/>
      <c r="N517" s="542"/>
      <c r="O517" s="541"/>
      <c r="P517" s="541"/>
      <c r="Q517" s="541"/>
      <c r="R517" s="541"/>
    </row>
    <row r="518" spans="1:18" ht="15" x14ac:dyDescent="0.25">
      <c r="A518" s="552">
        <v>44914</v>
      </c>
      <c r="B518" s="540"/>
      <c r="C518" s="541"/>
      <c r="D518" s="541"/>
      <c r="E518" s="541"/>
      <c r="F518" s="541"/>
      <c r="G518" s="541"/>
      <c r="H518" s="541"/>
      <c r="I518" s="541"/>
      <c r="J518" s="541"/>
      <c r="K518" s="541"/>
      <c r="L518" s="541"/>
      <c r="M518" s="541"/>
      <c r="N518" s="542"/>
      <c r="O518" s="541"/>
      <c r="P518" s="541"/>
      <c r="Q518" s="541"/>
      <c r="R518" s="541"/>
    </row>
    <row r="519" spans="1:18" ht="15" x14ac:dyDescent="0.25">
      <c r="A519" s="552">
        <v>44915</v>
      </c>
      <c r="B519" s="543"/>
      <c r="C519" s="544"/>
      <c r="D519" s="544"/>
      <c r="E519" s="544"/>
      <c r="F519" s="544"/>
      <c r="G519" s="544"/>
      <c r="H519" s="544"/>
      <c r="I519" s="544"/>
      <c r="J519" s="544"/>
      <c r="K519" s="544"/>
      <c r="L519" s="544"/>
      <c r="M519" s="544"/>
      <c r="N519" s="545"/>
      <c r="O519" s="544"/>
      <c r="P519" s="544"/>
      <c r="Q519" s="544"/>
      <c r="R519" s="544"/>
    </row>
    <row r="520" spans="1:18" ht="15" x14ac:dyDescent="0.25">
      <c r="A520" s="552">
        <v>44916</v>
      </c>
      <c r="B520" s="543"/>
      <c r="C520" s="547"/>
      <c r="D520" s="547"/>
      <c r="E520" s="547"/>
      <c r="F520" s="547"/>
      <c r="G520" s="547"/>
      <c r="H520" s="547"/>
      <c r="I520" s="547"/>
      <c r="J520" s="547"/>
      <c r="K520" s="547"/>
      <c r="L520" s="547"/>
      <c r="M520" s="547"/>
      <c r="N520" s="545"/>
      <c r="O520" s="547"/>
      <c r="P520" s="547"/>
      <c r="Q520" s="547"/>
      <c r="R520" s="547"/>
    </row>
    <row r="521" spans="1:18" ht="15" x14ac:dyDescent="0.25">
      <c r="A521" s="552">
        <v>44917</v>
      </c>
      <c r="B521" s="540"/>
      <c r="C521" s="541"/>
      <c r="D521" s="541"/>
      <c r="E521" s="541"/>
      <c r="F521" s="541"/>
      <c r="G521" s="541"/>
      <c r="H521" s="541"/>
      <c r="I521" s="541"/>
      <c r="J521" s="541"/>
      <c r="K521" s="541"/>
      <c r="L521" s="541"/>
      <c r="M521" s="541"/>
      <c r="N521" s="542"/>
      <c r="O521" s="541"/>
      <c r="P521" s="541"/>
      <c r="Q521" s="541"/>
      <c r="R521" s="541"/>
    </row>
    <row r="522" spans="1:18" ht="15" x14ac:dyDescent="0.25">
      <c r="A522" s="552">
        <v>44918</v>
      </c>
      <c r="B522" s="543"/>
      <c r="C522" s="544"/>
      <c r="D522" s="544"/>
      <c r="E522" s="544"/>
      <c r="F522" s="544"/>
      <c r="G522" s="544"/>
      <c r="H522" s="544"/>
      <c r="I522" s="544"/>
      <c r="J522" s="544"/>
      <c r="K522" s="544"/>
      <c r="L522" s="544"/>
      <c r="M522" s="544"/>
      <c r="N522" s="545"/>
      <c r="O522" s="544"/>
      <c r="P522" s="544"/>
      <c r="Q522" s="544"/>
      <c r="R522" s="544"/>
    </row>
    <row r="523" spans="1:18" ht="15" x14ac:dyDescent="0.25">
      <c r="A523" s="552">
        <v>44919</v>
      </c>
      <c r="B523" s="543"/>
      <c r="C523" s="541"/>
      <c r="D523" s="541"/>
      <c r="E523" s="541"/>
      <c r="F523" s="541"/>
      <c r="G523" s="541"/>
      <c r="H523" s="541"/>
      <c r="I523" s="541"/>
      <c r="J523" s="541"/>
      <c r="K523" s="541"/>
      <c r="L523" s="541"/>
      <c r="M523" s="541"/>
      <c r="N523" s="542"/>
      <c r="O523" s="541"/>
      <c r="P523" s="541"/>
      <c r="Q523" s="541"/>
      <c r="R523" s="541"/>
    </row>
    <row r="524" spans="1:18" ht="15" x14ac:dyDescent="0.25">
      <c r="A524" s="552">
        <v>44920</v>
      </c>
      <c r="B524" s="540"/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5"/>
      <c r="O524" s="544"/>
      <c r="P524" s="544"/>
      <c r="Q524" s="544"/>
      <c r="R524" s="544"/>
    </row>
    <row r="525" spans="1:18" ht="15" x14ac:dyDescent="0.25">
      <c r="A525" s="552">
        <v>44921</v>
      </c>
      <c r="B525" s="543"/>
      <c r="C525" s="547"/>
      <c r="D525" s="547"/>
      <c r="E525" s="547"/>
      <c r="F525" s="547"/>
      <c r="G525" s="547"/>
      <c r="H525" s="547"/>
      <c r="I525" s="547"/>
      <c r="J525" s="547"/>
      <c r="K525" s="547"/>
      <c r="L525" s="547"/>
      <c r="M525" s="547"/>
      <c r="N525" s="545"/>
      <c r="O525" s="547"/>
      <c r="P525" s="547"/>
      <c r="Q525" s="547"/>
      <c r="R525" s="547"/>
    </row>
    <row r="526" spans="1:18" ht="15" x14ac:dyDescent="0.25">
      <c r="A526" s="552">
        <v>44922</v>
      </c>
      <c r="B526" s="675"/>
      <c r="C526" s="541"/>
      <c r="D526" s="541"/>
      <c r="E526" s="541"/>
      <c r="F526" s="541"/>
      <c r="G526" s="541"/>
      <c r="H526" s="541"/>
      <c r="I526" s="541"/>
      <c r="J526" s="541"/>
      <c r="K526" s="541"/>
      <c r="L526" s="541"/>
      <c r="M526" s="541"/>
      <c r="N526" s="542"/>
      <c r="O526" s="541"/>
      <c r="P526" s="541"/>
      <c r="Q526" s="541"/>
      <c r="R526" s="541"/>
    </row>
    <row r="527" spans="1:18" ht="15" x14ac:dyDescent="0.25">
      <c r="A527" s="552">
        <v>44923</v>
      </c>
      <c r="B527" s="675"/>
      <c r="C527" s="541"/>
      <c r="D527" s="541"/>
      <c r="E527" s="541"/>
      <c r="F527" s="541"/>
      <c r="G527" s="541"/>
      <c r="H527" s="541"/>
      <c r="I527" s="541"/>
      <c r="J527" s="541"/>
      <c r="K527" s="541"/>
      <c r="L527" s="541"/>
      <c r="M527" s="541"/>
      <c r="N527" s="542"/>
      <c r="O527" s="541"/>
      <c r="P527" s="541"/>
      <c r="Q527" s="541"/>
      <c r="R527" s="541"/>
    </row>
    <row r="528" spans="1:18" ht="15" x14ac:dyDescent="0.25">
      <c r="A528" s="552">
        <v>44924</v>
      </c>
      <c r="B528" s="675"/>
      <c r="C528" s="541"/>
      <c r="D528" s="541"/>
      <c r="E528" s="541"/>
      <c r="F528" s="541"/>
      <c r="G528" s="541"/>
      <c r="H528" s="541"/>
      <c r="I528" s="541"/>
      <c r="J528" s="541"/>
      <c r="K528" s="541"/>
      <c r="L528" s="541"/>
      <c r="M528" s="541"/>
      <c r="N528" s="542"/>
      <c r="O528" s="541"/>
      <c r="P528" s="541"/>
      <c r="Q528" s="541"/>
      <c r="R528" s="541"/>
    </row>
    <row r="529" spans="1:18" ht="15" x14ac:dyDescent="0.25">
      <c r="A529" s="552">
        <v>44925</v>
      </c>
      <c r="B529" s="675"/>
      <c r="C529" s="541"/>
      <c r="D529" s="541"/>
      <c r="E529" s="541"/>
      <c r="F529" s="541"/>
      <c r="G529" s="541"/>
      <c r="H529" s="541"/>
      <c r="I529" s="541"/>
      <c r="J529" s="541"/>
      <c r="K529" s="541"/>
      <c r="L529" s="541"/>
      <c r="M529" s="541"/>
      <c r="N529" s="542"/>
      <c r="O529" s="541"/>
      <c r="P529" s="541"/>
      <c r="Q529" s="541"/>
      <c r="R529" s="541"/>
    </row>
    <row r="530" spans="1:18" ht="15" x14ac:dyDescent="0.25">
      <c r="A530" s="691">
        <v>44926</v>
      </c>
      <c r="B530" s="569"/>
      <c r="C530" s="570"/>
      <c r="D530" s="570"/>
      <c r="E530" s="570"/>
      <c r="F530" s="570"/>
      <c r="G530" s="570"/>
      <c r="H530" s="570"/>
      <c r="I530" s="570"/>
      <c r="J530" s="570"/>
      <c r="K530" s="570"/>
      <c r="L530" s="570"/>
      <c r="M530" s="570"/>
      <c r="N530" s="571"/>
      <c r="O530" s="570"/>
      <c r="P530" s="570"/>
      <c r="Q530" s="570"/>
      <c r="R530" s="570"/>
    </row>
    <row r="531" spans="1:18" ht="17.25" thickBot="1" x14ac:dyDescent="0.3">
      <c r="A531" s="572"/>
      <c r="B531" s="573" t="s">
        <v>38</v>
      </c>
      <c r="C531" s="574">
        <f>SUM(C500:C530)</f>
        <v>0</v>
      </c>
      <c r="D531" s="574">
        <f t="shared" ref="D531:R531" si="15">SUM(D500:D530)</f>
        <v>0</v>
      </c>
      <c r="E531" s="574">
        <f t="shared" si="15"/>
        <v>0</v>
      </c>
      <c r="F531" s="574">
        <f t="shared" si="15"/>
        <v>0</v>
      </c>
      <c r="G531" s="574">
        <f t="shared" si="15"/>
        <v>0</v>
      </c>
      <c r="H531" s="574">
        <f t="shared" si="15"/>
        <v>0</v>
      </c>
      <c r="I531" s="574">
        <f t="shared" si="15"/>
        <v>0</v>
      </c>
      <c r="J531" s="574">
        <f t="shared" si="15"/>
        <v>0</v>
      </c>
      <c r="K531" s="574">
        <f t="shared" si="15"/>
        <v>0</v>
      </c>
      <c r="L531" s="574">
        <f t="shared" si="15"/>
        <v>0</v>
      </c>
      <c r="M531" s="574">
        <f t="shared" si="15"/>
        <v>0</v>
      </c>
      <c r="N531" s="574">
        <f t="shared" si="15"/>
        <v>0</v>
      </c>
      <c r="O531" s="574">
        <f t="shared" si="15"/>
        <v>0</v>
      </c>
      <c r="P531" s="574">
        <f t="shared" si="15"/>
        <v>0</v>
      </c>
      <c r="Q531" s="574">
        <f t="shared" ref="Q531" si="16">SUM(Q500:Q530)</f>
        <v>0</v>
      </c>
      <c r="R531" s="574">
        <f t="shared" si="15"/>
        <v>0</v>
      </c>
    </row>
    <row r="532" spans="1:18" ht="15" thickBot="1" x14ac:dyDescent="0.3">
      <c r="A532" s="394"/>
      <c r="B532" s="405"/>
      <c r="C532" s="406"/>
      <c r="D532" s="406"/>
      <c r="E532" s="406"/>
      <c r="F532" s="406"/>
      <c r="G532" s="406"/>
      <c r="H532" s="406"/>
      <c r="I532" s="406"/>
      <c r="J532" s="406"/>
      <c r="K532" s="406"/>
      <c r="L532" s="406"/>
      <c r="M532" s="406"/>
      <c r="N532" s="407"/>
      <c r="O532" s="406"/>
      <c r="P532" s="406"/>
      <c r="Q532" s="408"/>
      <c r="R532" s="408"/>
    </row>
    <row r="533" spans="1:18" s="578" customFormat="1" ht="23.25" thickBot="1" x14ac:dyDescent="0.3">
      <c r="A533" s="576"/>
      <c r="B533" s="676" t="s">
        <v>38</v>
      </c>
      <c r="C533" s="577">
        <f t="shared" ref="C533:R533" si="17">C64+C127+C177+C213+C261+C310+C354+C401+C433+C466+C498+C531</f>
        <v>3383400</v>
      </c>
      <c r="D533" s="577">
        <f t="shared" si="17"/>
        <v>938500</v>
      </c>
      <c r="E533" s="577">
        <f t="shared" si="17"/>
        <v>4883500</v>
      </c>
      <c r="F533" s="577">
        <f t="shared" si="17"/>
        <v>53417131</v>
      </c>
      <c r="G533" s="577">
        <f t="shared" si="17"/>
        <v>9712500</v>
      </c>
      <c r="H533" s="575">
        <f t="shared" si="17"/>
        <v>6077000</v>
      </c>
      <c r="I533" s="575">
        <f t="shared" si="17"/>
        <v>18207500</v>
      </c>
      <c r="J533" s="575">
        <f t="shared" si="17"/>
        <v>4522500</v>
      </c>
      <c r="K533" s="575">
        <f t="shared" si="17"/>
        <v>3197524</v>
      </c>
      <c r="L533" s="575">
        <f t="shared" si="17"/>
        <v>50527350</v>
      </c>
      <c r="M533" s="575">
        <f t="shared" si="17"/>
        <v>51675000</v>
      </c>
      <c r="N533" s="575">
        <f t="shared" si="17"/>
        <v>13093605</v>
      </c>
      <c r="O533" s="575">
        <f t="shared" si="17"/>
        <v>332322500</v>
      </c>
      <c r="P533" s="575">
        <f t="shared" si="17"/>
        <v>25170000</v>
      </c>
      <c r="Q533" s="575">
        <f t="shared" si="17"/>
        <v>32000000</v>
      </c>
      <c r="R533" s="575">
        <f t="shared" si="17"/>
        <v>50000</v>
      </c>
    </row>
    <row r="534" spans="1:18" s="582" customFormat="1" ht="23.25" thickBot="1" x14ac:dyDescent="0.3">
      <c r="A534" s="864" t="s">
        <v>146</v>
      </c>
      <c r="B534" s="865"/>
      <c r="C534" s="579"/>
      <c r="D534" s="579"/>
      <c r="E534" s="579"/>
      <c r="F534" s="579"/>
      <c r="G534" s="580"/>
      <c r="H534" s="580"/>
      <c r="I534" s="580"/>
      <c r="J534" s="580"/>
      <c r="K534" s="580"/>
      <c r="L534" s="580"/>
      <c r="M534" s="580"/>
      <c r="N534" s="581"/>
      <c r="O534" s="579"/>
      <c r="P534" s="862">
        <f>SUM(C533:R533)</f>
        <v>609178010</v>
      </c>
      <c r="Q534" s="862"/>
      <c r="R534" s="863"/>
    </row>
    <row r="536" spans="1:18" s="402" customFormat="1" ht="27" x14ac:dyDescent="0.25">
      <c r="A536" s="583" t="s">
        <v>233</v>
      </c>
      <c r="B536" s="677" t="s">
        <v>235</v>
      </c>
      <c r="C536" s="584"/>
      <c r="D536" s="584"/>
      <c r="E536" s="584"/>
      <c r="N536" s="585"/>
    </row>
    <row r="537" spans="1:18" s="402" customFormat="1" ht="27" x14ac:dyDescent="0.25">
      <c r="A537" s="583"/>
      <c r="B537" s="677" t="s">
        <v>234</v>
      </c>
      <c r="C537" s="584"/>
      <c r="D537" s="584"/>
      <c r="E537" s="584"/>
      <c r="N537" s="585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34:R534"/>
    <mergeCell ref="A534:B534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G11" activePane="bottomRight" state="frozen"/>
      <selection pane="topRight" activeCell="B1" sqref="B1"/>
      <selection pane="bottomLeft" activeCell="A6" sqref="A6"/>
      <selection pane="bottomRight" activeCell="A19" sqref="A19:XFD19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hidden="1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299</v>
      </c>
    </row>
    <row r="2" spans="1:20" x14ac:dyDescent="0.25">
      <c r="A2" s="6" t="s">
        <v>0</v>
      </c>
      <c r="H2" s="778"/>
    </row>
    <row r="3" spans="1:20" x14ac:dyDescent="0.25">
      <c r="A3" s="6" t="s">
        <v>387</v>
      </c>
      <c r="F3" s="268"/>
    </row>
    <row r="4" spans="1:20" ht="15" x14ac:dyDescent="0.25">
      <c r="A4" s="266" t="s">
        <v>1</v>
      </c>
      <c r="B4" s="267" t="s">
        <v>2</v>
      </c>
      <c r="C4" s="267" t="s">
        <v>3</v>
      </c>
      <c r="D4" s="267" t="s">
        <v>4</v>
      </c>
      <c r="E4" s="267" t="s">
        <v>5</v>
      </c>
      <c r="F4" s="267" t="s">
        <v>6</v>
      </c>
      <c r="G4" s="267" t="s">
        <v>7</v>
      </c>
      <c r="H4" s="267" t="s">
        <v>8</v>
      </c>
      <c r="I4" s="267" t="s">
        <v>9</v>
      </c>
      <c r="J4" s="267" t="s">
        <v>10</v>
      </c>
      <c r="K4" s="267" t="s">
        <v>11</v>
      </c>
      <c r="L4" s="267" t="s">
        <v>12</v>
      </c>
      <c r="M4" s="267" t="s">
        <v>13</v>
      </c>
      <c r="N4" s="26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1511612066.3636353</v>
      </c>
      <c r="C6" s="11">
        <f t="shared" si="0"/>
        <v>1402953749.0909085</v>
      </c>
      <c r="D6" s="11">
        <f t="shared" si="0"/>
        <v>1173352414.5454547</v>
      </c>
      <c r="E6" s="11">
        <f t="shared" si="0"/>
        <v>993327915.76576567</v>
      </c>
      <c r="F6" s="11">
        <f t="shared" si="0"/>
        <v>1372176208.1081076</v>
      </c>
      <c r="G6" s="11">
        <f t="shared" si="0"/>
        <v>1721967200.8108106</v>
      </c>
      <c r="H6" s="11">
        <f t="shared" si="0"/>
        <v>1909911654.0540547</v>
      </c>
      <c r="I6" s="11">
        <f t="shared" si="0"/>
        <v>2258320715.3153162</v>
      </c>
      <c r="J6" s="11">
        <f t="shared" si="0"/>
        <v>1371928554.9549556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13715550479.00901</v>
      </c>
      <c r="O6" s="12"/>
      <c r="P6" s="430" t="s">
        <v>326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1511612066.3636353</v>
      </c>
      <c r="C7" s="11">
        <f>'REKAP PAJAK'!O10</f>
        <v>1402953749.0909085</v>
      </c>
      <c r="D7" s="11">
        <f>'REKAP PAJAK'!O11</f>
        <v>1173352414.5454547</v>
      </c>
      <c r="E7" s="11">
        <f>'REKAP PAJAK'!O12</f>
        <v>993327915.76576567</v>
      </c>
      <c r="F7" s="11">
        <f>'REKAP PAJAK'!O13</f>
        <v>1372176208.1081076</v>
      </c>
      <c r="G7" s="11">
        <f>'REKAP PAJAK'!O14</f>
        <v>1721967200.8108106</v>
      </c>
      <c r="H7" s="11">
        <f>'REKAP PAJAK'!O15</f>
        <v>1909911654.0540547</v>
      </c>
      <c r="I7" s="11">
        <f>'REKAP PAJAK'!O16</f>
        <v>2258320715.3153162</v>
      </c>
      <c r="J7" s="11">
        <f>'REKAP PAJAK'!O17</f>
        <v>1371928554.9549556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13715550479.00901</v>
      </c>
      <c r="O7" s="12"/>
      <c r="P7" s="430" t="s">
        <v>327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431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431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431"/>
      <c r="S10" s="4"/>
      <c r="T10" s="4"/>
    </row>
    <row r="11" spans="1:20" x14ac:dyDescent="0.25">
      <c r="A11" s="7" t="s">
        <v>16</v>
      </c>
      <c r="B11" s="247">
        <v>5515733262.0181818</v>
      </c>
      <c r="C11" s="15">
        <f>B15</f>
        <v>5586721266.0415001</v>
      </c>
      <c r="D11" s="15">
        <f>C15</f>
        <v>5598735213.3199997</v>
      </c>
      <c r="E11" s="15">
        <f t="shared" ref="E11:M11" si="1">D15</f>
        <v>5633026122.6099997</v>
      </c>
      <c r="F11" s="15">
        <f>E15</f>
        <v>5632994128.6636696</v>
      </c>
      <c r="G11" s="15">
        <f t="shared" si="1"/>
        <v>5589849848.8269596</v>
      </c>
      <c r="H11" s="15">
        <f t="shared" si="1"/>
        <v>5530615677.9899998</v>
      </c>
      <c r="I11" s="15">
        <f t="shared" si="1"/>
        <v>5331823133.8143234</v>
      </c>
      <c r="J11" s="15">
        <f t="shared" si="1"/>
        <v>5059470697.0936003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5515733262.0181818</v>
      </c>
      <c r="P11" s="431" t="s">
        <v>323</v>
      </c>
      <c r="S11" s="4"/>
      <c r="T11" s="4"/>
    </row>
    <row r="12" spans="1:20" x14ac:dyDescent="0.25">
      <c r="A12" s="7" t="s">
        <v>81</v>
      </c>
      <c r="B12" s="11">
        <f>'REKAP PAJAK'!Q9</f>
        <v>1468811439.3636367</v>
      </c>
      <c r="C12" s="11">
        <f>'REKAP PAJAK'!Q10</f>
        <v>1354287149.6636364</v>
      </c>
      <c r="D12" s="11">
        <f>'REKAP PAJAK'!Q11</f>
        <v>1124616773.909091</v>
      </c>
      <c r="E12" s="11">
        <f>'REKAP PAJAK'!Q12</f>
        <v>898320644</v>
      </c>
      <c r="F12" s="11">
        <f>'REKAP PAJAK'!Q13</f>
        <v>1264269598.4054055</v>
      </c>
      <c r="G12" s="11">
        <f>'REKAP PAJAK'!Q14</f>
        <v>1598585015.9729729</v>
      </c>
      <c r="H12" s="11">
        <f>'REKAP PAJAK'!Q15</f>
        <v>1632638913.3783784</v>
      </c>
      <c r="I12" s="11">
        <f>'REKAP PAJAK'!Q16</f>
        <v>1917454921.5945945</v>
      </c>
      <c r="J12" s="11">
        <f>'REKAP PAJAK'!Q17</f>
        <v>1601559963.0900903</v>
      </c>
      <c r="K12" s="11">
        <f>'REKAP PAJAK'!Q18</f>
        <v>394160372.18063068</v>
      </c>
      <c r="L12" s="11">
        <f>'REKAP PAJAK'!Q19</f>
        <v>0</v>
      </c>
      <c r="M12" s="11">
        <f>'REKAP PAJAK'!Q20</f>
        <v>0</v>
      </c>
      <c r="N12" s="14">
        <f>SUM(B12:M12)</f>
        <v>13254704791.558437</v>
      </c>
      <c r="P12" s="431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431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6984544701.3818188</v>
      </c>
      <c r="C14" s="17">
        <f t="shared" si="2"/>
        <v>6941008415.7051363</v>
      </c>
      <c r="D14" s="17">
        <f t="shared" si="2"/>
        <v>6723351987.2290907</v>
      </c>
      <c r="E14" s="17">
        <f t="shared" si="2"/>
        <v>6531346766.6099997</v>
      </c>
      <c r="F14" s="17">
        <f t="shared" si="2"/>
        <v>6897263727.0690746</v>
      </c>
      <c r="G14" s="17">
        <f t="shared" si="2"/>
        <v>7188434864.7999325</v>
      </c>
      <c r="H14" s="17">
        <f t="shared" si="2"/>
        <v>7163254591.3683777</v>
      </c>
      <c r="I14" s="17">
        <f t="shared" si="2"/>
        <v>7249278055.4089184</v>
      </c>
      <c r="J14" s="17">
        <f t="shared" si="2"/>
        <v>6661030660.183691</v>
      </c>
      <c r="K14" s="17">
        <f t="shared" si="2"/>
        <v>394160372.18063068</v>
      </c>
      <c r="L14" s="17">
        <f t="shared" si="2"/>
        <v>0</v>
      </c>
      <c r="M14" s="17">
        <f t="shared" si="2"/>
        <v>0</v>
      </c>
      <c r="N14" s="14">
        <f>SUM(N11:N12)</f>
        <v>18770438053.576618</v>
      </c>
      <c r="O14" s="18"/>
      <c r="P14" s="432" t="s">
        <v>324</v>
      </c>
      <c r="Q14" s="18"/>
      <c r="R14" s="19"/>
      <c r="S14" s="19"/>
      <c r="T14" s="19"/>
    </row>
    <row r="15" spans="1:20" x14ac:dyDescent="0.25">
      <c r="A15" s="7" t="s">
        <v>18</v>
      </c>
      <c r="B15" s="251">
        <v>5586721266.0415001</v>
      </c>
      <c r="C15" s="15">
        <v>5598735213.3199997</v>
      </c>
      <c r="D15" s="15">
        <v>5633026122.6099997</v>
      </c>
      <c r="E15" s="15">
        <v>5632994128.6636696</v>
      </c>
      <c r="F15" s="15">
        <v>5589849848.8269596</v>
      </c>
      <c r="G15" s="15">
        <v>5530615677.9899998</v>
      </c>
      <c r="H15" s="15">
        <v>5331823133.8143234</v>
      </c>
      <c r="I15" s="781">
        <v>5059470697.0936003</v>
      </c>
      <c r="J15" s="15"/>
      <c r="K15" s="15"/>
      <c r="L15" s="15"/>
      <c r="M15" s="247"/>
      <c r="N15" s="14">
        <f>M15</f>
        <v>0</v>
      </c>
      <c r="P15" s="431" t="s">
        <v>325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1397823435.3403187</v>
      </c>
      <c r="C16" s="21">
        <f t="shared" si="3"/>
        <v>1342273202.3851366</v>
      </c>
      <c r="D16" s="21">
        <f t="shared" si="3"/>
        <v>1090325864.619091</v>
      </c>
      <c r="E16" s="21">
        <f t="shared" si="3"/>
        <v>898352637.94633007</v>
      </c>
      <c r="F16" s="21">
        <f t="shared" si="3"/>
        <v>1307413878.242115</v>
      </c>
      <c r="G16" s="21">
        <f t="shared" si="3"/>
        <v>1657819186.8099327</v>
      </c>
      <c r="H16" s="21">
        <f t="shared" si="3"/>
        <v>1831431457.5540543</v>
      </c>
      <c r="I16" s="21">
        <f t="shared" si="3"/>
        <v>2189807358.3153181</v>
      </c>
      <c r="J16" s="21">
        <f t="shared" si="3"/>
        <v>6661030660.183691</v>
      </c>
      <c r="K16" s="21">
        <f t="shared" si="3"/>
        <v>394160372.18063068</v>
      </c>
      <c r="L16" s="21">
        <f t="shared" si="3"/>
        <v>0</v>
      </c>
      <c r="M16" s="21">
        <f t="shared" si="3"/>
        <v>0</v>
      </c>
      <c r="N16" s="21">
        <f>N14-N15</f>
        <v>18770438053.576618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113788631.02331662</v>
      </c>
      <c r="C17" s="26">
        <f t="shared" si="4"/>
        <v>60680546.705771923</v>
      </c>
      <c r="D17" s="26">
        <f t="shared" si="4"/>
        <v>83026549.926363707</v>
      </c>
      <c r="E17" s="26">
        <f t="shared" si="4"/>
        <v>94975277.819435596</v>
      </c>
      <c r="F17" s="26">
        <f t="shared" si="4"/>
        <v>64762329.865992546</v>
      </c>
      <c r="G17" s="26">
        <f t="shared" si="4"/>
        <v>64148014.000877857</v>
      </c>
      <c r="H17" s="26">
        <f t="shared" si="4"/>
        <v>78480196.500000477</v>
      </c>
      <c r="I17" s="26">
        <f t="shared" si="4"/>
        <v>68513356.999998093</v>
      </c>
      <c r="J17" s="26">
        <f t="shared" si="4"/>
        <v>-5289102105.228735</v>
      </c>
      <c r="K17" s="26">
        <f t="shared" si="4"/>
        <v>-394160372.18063068</v>
      </c>
      <c r="L17" s="26">
        <f t="shared" si="4"/>
        <v>0</v>
      </c>
      <c r="M17" s="26">
        <f t="shared" si="4"/>
        <v>0</v>
      </c>
      <c r="N17" s="26">
        <f t="shared" si="4"/>
        <v>-5054887574.5676079</v>
      </c>
      <c r="O17" s="330">
        <f>N17/N6</f>
        <v>-0.36855156359227942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46419000</v>
      </c>
      <c r="C19" s="31">
        <f t="shared" si="5"/>
        <v>42650000</v>
      </c>
      <c r="D19" s="31">
        <f t="shared" si="5"/>
        <v>45826000</v>
      </c>
      <c r="E19" s="31">
        <f>SUM(E20:E22)</f>
        <v>52867000</v>
      </c>
      <c r="F19" s="31">
        <f>SUM(F20:F23)</f>
        <v>39000000</v>
      </c>
      <c r="G19" s="31">
        <f t="shared" si="5"/>
        <v>43917500</v>
      </c>
      <c r="H19" s="31">
        <f t="shared" si="5"/>
        <v>51487000</v>
      </c>
      <c r="I19" s="31">
        <f t="shared" si="5"/>
        <v>44020000</v>
      </c>
      <c r="J19" s="31">
        <f t="shared" si="5"/>
        <v>42981000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409167500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GAJI'!H36</f>
        <v>37690000</v>
      </c>
      <c r="C20" s="14">
        <f>'DAFTAR GAJI'!I36</f>
        <v>33410000</v>
      </c>
      <c r="D20" s="14">
        <f>'DAFTAR GAJI'!J36</f>
        <v>36600000</v>
      </c>
      <c r="E20" s="14">
        <f>'DAFTAR GAJI'!K36</f>
        <v>43530000</v>
      </c>
      <c r="F20" s="14">
        <f>'DAFTAR GAJI'!L36</f>
        <v>30550000</v>
      </c>
      <c r="G20" s="14">
        <f>'DAFTAR GAJI'!M36</f>
        <v>36380000</v>
      </c>
      <c r="H20" s="14">
        <f>'DAFTAR GAJI'!N36</f>
        <v>43090000</v>
      </c>
      <c r="I20" s="14">
        <f>'DAFTAR GAJI'!O36</f>
        <v>35550000</v>
      </c>
      <c r="J20" s="14">
        <f>'DAFTAR GAJI'!P36</f>
        <v>35522500</v>
      </c>
      <c r="K20" s="14">
        <f>'DAFTAR GAJI'!Q36</f>
        <v>0</v>
      </c>
      <c r="L20" s="14">
        <f>'DAFTAR GAJI'!R36</f>
        <v>0</v>
      </c>
      <c r="M20" s="14">
        <f>'DAFTAR GAJI'!S36</f>
        <v>0</v>
      </c>
      <c r="N20" s="11">
        <f t="shared" si="6"/>
        <v>332322500</v>
      </c>
      <c r="S20" s="4"/>
      <c r="T20" s="4"/>
    </row>
    <row r="21" spans="1:20" x14ac:dyDescent="0.25">
      <c r="A21" s="7" t="s">
        <v>204</v>
      </c>
      <c r="B21" s="14">
        <f>'KAS KECIL'!M64</f>
        <v>5969000</v>
      </c>
      <c r="C21" s="14">
        <f>'KAS KECIL'!M127</f>
        <v>6350000</v>
      </c>
      <c r="D21" s="14">
        <f>'KAS KECIL'!M177</f>
        <v>6306000</v>
      </c>
      <c r="E21" s="14">
        <f>'KAS KECIL'!M213</f>
        <v>6457000</v>
      </c>
      <c r="F21" s="14">
        <f>'KAS KECIL'!M261</f>
        <v>5450000</v>
      </c>
      <c r="G21" s="14">
        <f>'KAS KECIL'!M310</f>
        <v>5177500</v>
      </c>
      <c r="H21" s="14">
        <f>'KAS KECIL'!M354</f>
        <v>5357000</v>
      </c>
      <c r="I21" s="14">
        <f>'KAS KECIL'!M401</f>
        <v>5350000</v>
      </c>
      <c r="J21" s="14">
        <f>'KAS KECIL'!M433</f>
        <v>5258500</v>
      </c>
      <c r="K21" s="14">
        <f>'KAS KECIL'!M466</f>
        <v>0</v>
      </c>
      <c r="L21" s="14">
        <f>'KAS KECIL'!M498</f>
        <v>0</v>
      </c>
      <c r="M21" s="14">
        <f>'KAS KECIL'!M531</f>
        <v>0</v>
      </c>
      <c r="N21" s="11">
        <f>SUM(B21:M21)</f>
        <v>51675000</v>
      </c>
      <c r="S21" s="4"/>
      <c r="T21" s="4"/>
    </row>
    <row r="22" spans="1:20" x14ac:dyDescent="0.25">
      <c r="A22" s="7" t="s">
        <v>422</v>
      </c>
      <c r="B22" s="14">
        <f>'KAS KECIL'!P64</f>
        <v>2760000</v>
      </c>
      <c r="C22" s="14">
        <f>'KAS KECIL'!P127</f>
        <v>2890000</v>
      </c>
      <c r="D22" s="14">
        <f>'KAS KECIL'!P177</f>
        <v>2920000</v>
      </c>
      <c r="E22" s="14">
        <f>'KAS KECIL'!P213</f>
        <v>2880000</v>
      </c>
      <c r="F22" s="14">
        <f>'KAS KECIL'!P261</f>
        <v>3000000</v>
      </c>
      <c r="G22" s="14">
        <f>'KAS KECIL'!P310</f>
        <v>2360000</v>
      </c>
      <c r="H22" s="14">
        <f>'KAS KECIL'!P354</f>
        <v>3040000</v>
      </c>
      <c r="I22" s="14">
        <f>'KAS KECIL'!P401</f>
        <v>3120000</v>
      </c>
      <c r="J22" s="14">
        <f>'KAS KECIL'!P433</f>
        <v>2200000</v>
      </c>
      <c r="K22" s="14">
        <f>'KAS KECIL'!P466</f>
        <v>0</v>
      </c>
      <c r="L22" s="14">
        <f>'KAS KECIL'!P498</f>
        <v>0</v>
      </c>
      <c r="M22" s="14">
        <f>'KAS KECIL'!P531</f>
        <v>0</v>
      </c>
      <c r="N22" s="11">
        <f>SUM(B22:M22)</f>
        <v>25170000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'KAS KECIL'!Q213</f>
        <v>32000000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32000000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26602657</v>
      </c>
      <c r="C24" s="31">
        <f t="shared" si="7"/>
        <v>28291044</v>
      </c>
      <c r="D24" s="31">
        <f t="shared" si="7"/>
        <v>22160300</v>
      </c>
      <c r="E24" s="31">
        <f t="shared" si="7"/>
        <v>9583666</v>
      </c>
      <c r="F24" s="31">
        <f t="shared" si="7"/>
        <v>15963669</v>
      </c>
      <c r="G24" s="31">
        <f t="shared" si="7"/>
        <v>20230514</v>
      </c>
      <c r="H24" s="31">
        <f t="shared" si="7"/>
        <v>25992996</v>
      </c>
      <c r="I24" s="31">
        <f t="shared" si="7"/>
        <v>17493357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166318203</v>
      </c>
      <c r="O24" s="32"/>
      <c r="P24" s="32"/>
      <c r="Q24" s="32"/>
      <c r="R24" s="33"/>
      <c r="S24" s="33"/>
      <c r="T24" s="33"/>
    </row>
    <row r="25" spans="1:20" x14ac:dyDescent="0.25">
      <c r="A25" s="7" t="s">
        <v>207</v>
      </c>
      <c r="B25" s="14">
        <f>'KAS KECIL'!C64</f>
        <v>219600</v>
      </c>
      <c r="C25" s="14">
        <f>'KAS KECIL'!C127</f>
        <v>115200</v>
      </c>
      <c r="D25" s="14">
        <f>'KAS KECIL'!C177</f>
        <v>897500</v>
      </c>
      <c r="E25" s="14">
        <f>'KAS KECIL'!C213</f>
        <v>260200</v>
      </c>
      <c r="F25" s="14">
        <f>'KAS KECIL'!C261</f>
        <v>182400</v>
      </c>
      <c r="G25" s="14">
        <f>'KAS KECIL'!C310</f>
        <v>543700</v>
      </c>
      <c r="H25" s="14">
        <f>'KAS KECIL'!C354</f>
        <v>188100</v>
      </c>
      <c r="I25" s="14">
        <f>'KAS KECIL'!C401</f>
        <v>976700</v>
      </c>
      <c r="J25" s="14">
        <f>'KAS KECIL'!C433</f>
        <v>0</v>
      </c>
      <c r="K25" s="14">
        <f>'KAS KECIL'!C466</f>
        <v>0</v>
      </c>
      <c r="L25" s="14">
        <f>'KAS KECIL'!C498</f>
        <v>0</v>
      </c>
      <c r="M25" s="14">
        <f>'KAS KECIL'!C531</f>
        <v>0</v>
      </c>
      <c r="N25" s="11">
        <f t="shared" si="6"/>
        <v>3383400</v>
      </c>
      <c r="S25" s="4"/>
      <c r="T25" s="4"/>
    </row>
    <row r="26" spans="1:20" x14ac:dyDescent="0.25">
      <c r="A26" s="7" t="s">
        <v>211</v>
      </c>
      <c r="B26" s="14">
        <f>'KAS KECIL'!D64</f>
        <v>0</v>
      </c>
      <c r="C26" s="14">
        <f>'KAS KECIL'!D127</f>
        <v>70000</v>
      </c>
      <c r="D26" s="14">
        <f>'KAS KECIL'!D177</f>
        <v>0</v>
      </c>
      <c r="E26" s="14">
        <f>'KAS KECIL'!D213</f>
        <v>0</v>
      </c>
      <c r="F26" s="14">
        <f>'KAS KECIL'!D261</f>
        <v>0</v>
      </c>
      <c r="G26" s="14">
        <f>'KAS KECIL'!D310</f>
        <v>0</v>
      </c>
      <c r="H26" s="14">
        <f>'KAS KECIL'!D354</f>
        <v>0</v>
      </c>
      <c r="I26" s="14">
        <f>'KAS KECIL'!D401</f>
        <v>868500</v>
      </c>
      <c r="J26" s="14">
        <f>'KAS KECIL'!D433</f>
        <v>0</v>
      </c>
      <c r="K26" s="14">
        <f>'KAS KECIL'!D466</f>
        <v>0</v>
      </c>
      <c r="L26" s="14">
        <f>'KAS KECIL'!D498</f>
        <v>0</v>
      </c>
      <c r="M26" s="14">
        <f>'KAS KECIL'!D531</f>
        <v>0</v>
      </c>
      <c r="N26" s="11">
        <f t="shared" si="6"/>
        <v>938500</v>
      </c>
      <c r="S26" s="4"/>
      <c r="T26" s="4"/>
    </row>
    <row r="27" spans="1:20" x14ac:dyDescent="0.25">
      <c r="A27" s="7" t="s">
        <v>212</v>
      </c>
      <c r="B27" s="14">
        <f>'KAS KECIL'!E64</f>
        <v>1261500</v>
      </c>
      <c r="C27" s="14">
        <f>'KAS KECIL'!E127</f>
        <v>107000</v>
      </c>
      <c r="D27" s="14">
        <f>'KAS KECIL'!E177</f>
        <v>485500</v>
      </c>
      <c r="E27" s="14">
        <f>'KAS KECIL'!E213</f>
        <v>427000</v>
      </c>
      <c r="F27" s="14">
        <f>'KAS KECIL'!E261</f>
        <v>649500</v>
      </c>
      <c r="G27" s="14">
        <f>'KAS KECIL'!E310</f>
        <v>745000</v>
      </c>
      <c r="H27" s="14">
        <f>'KAS KECIL'!E354</f>
        <v>455000</v>
      </c>
      <c r="I27" s="14">
        <f>'KAS KECIL'!E401</f>
        <v>753000</v>
      </c>
      <c r="J27" s="14">
        <f>'KAS KECIL'!E433</f>
        <v>0</v>
      </c>
      <c r="K27" s="14">
        <f>'KAS KECIL'!E466</f>
        <v>0</v>
      </c>
      <c r="L27" s="14">
        <f>'KAS KECIL'!E498</f>
        <v>0</v>
      </c>
      <c r="M27" s="14">
        <f>'KAS KECIL'!E531</f>
        <v>0</v>
      </c>
      <c r="N27" s="11">
        <f t="shared" si="6"/>
        <v>4883500</v>
      </c>
      <c r="S27" s="4"/>
      <c r="T27" s="4"/>
    </row>
    <row r="28" spans="1:20" x14ac:dyDescent="0.25">
      <c r="A28" s="7" t="s">
        <v>208</v>
      </c>
      <c r="B28" s="14">
        <f>'KAS KECIL'!F64</f>
        <v>7901500</v>
      </c>
      <c r="C28" s="14">
        <f>'KAS KECIL'!F127</f>
        <v>4830000</v>
      </c>
      <c r="D28" s="14">
        <f>'KAS KECIL'!F177</f>
        <v>8433500</v>
      </c>
      <c r="E28" s="14">
        <f>'KAS KECIL'!F213</f>
        <v>5889000</v>
      </c>
      <c r="F28" s="14">
        <f>'KAS KECIL'!F261</f>
        <v>6520500</v>
      </c>
      <c r="G28" s="14">
        <f>'KAS KECIL'!F310</f>
        <v>5778000</v>
      </c>
      <c r="H28" s="14">
        <f>'KAS KECIL'!F354</f>
        <v>4749131</v>
      </c>
      <c r="I28" s="14">
        <f>'KAS KECIL'!F401</f>
        <v>9315500</v>
      </c>
      <c r="J28" s="14">
        <f>'KAS KECIL'!F433</f>
        <v>0</v>
      </c>
      <c r="K28" s="14">
        <f>'KAS KECIL'!F466</f>
        <v>0</v>
      </c>
      <c r="L28" s="14">
        <f>'KAS KECIL'!F498</f>
        <v>0</v>
      </c>
      <c r="M28" s="14">
        <f>'KAS KECIL'!F531</f>
        <v>0</v>
      </c>
      <c r="N28" s="11">
        <f t="shared" ref="N28:N36" si="8">SUM(B28:M28)</f>
        <v>53417131</v>
      </c>
      <c r="S28" s="4"/>
      <c r="T28" s="4"/>
    </row>
    <row r="29" spans="1:20" x14ac:dyDescent="0.25">
      <c r="A29" s="7" t="s">
        <v>214</v>
      </c>
      <c r="B29" s="14">
        <f>'KAS KECIL'!G64</f>
        <v>400500</v>
      </c>
      <c r="C29" s="14">
        <f>'KAS KECIL'!G127</f>
        <v>450000</v>
      </c>
      <c r="D29" s="14">
        <f>'KAS KECIL'!G177</f>
        <v>200000</v>
      </c>
      <c r="E29" s="14">
        <f>'KAS KECIL'!G213</f>
        <v>200000</v>
      </c>
      <c r="F29" s="14">
        <f>'KAS KECIL'!G261</f>
        <v>425000</v>
      </c>
      <c r="G29" s="14">
        <f>'KAS KECIL'!G310</f>
        <v>576500</v>
      </c>
      <c r="H29" s="14">
        <f>'KAS KECIL'!G354</f>
        <v>6934000</v>
      </c>
      <c r="I29" s="14">
        <f>'KAS KECIL'!G401</f>
        <v>526500</v>
      </c>
      <c r="J29" s="14">
        <f>'KAS KECIL'!G433</f>
        <v>0</v>
      </c>
      <c r="K29" s="14">
        <f>'KAS KECIL'!G466</f>
        <v>0</v>
      </c>
      <c r="L29" s="14">
        <f>'KAS KECIL'!G498</f>
        <v>0</v>
      </c>
      <c r="M29" s="14">
        <f>'KAS KECIL'!G531</f>
        <v>0</v>
      </c>
      <c r="N29" s="11">
        <f t="shared" si="8"/>
        <v>9712500</v>
      </c>
      <c r="S29" s="4"/>
      <c r="T29" s="4"/>
    </row>
    <row r="30" spans="1:20" x14ac:dyDescent="0.25">
      <c r="A30" s="7" t="s">
        <v>145</v>
      </c>
      <c r="B30" s="14">
        <f>'KAS KECIL'!H64</f>
        <v>1015000</v>
      </c>
      <c r="C30" s="14">
        <f>'KAS KECIL'!H127</f>
        <v>1367000</v>
      </c>
      <c r="D30" s="14">
        <f>'KAS KECIL'!H177</f>
        <v>925000</v>
      </c>
      <c r="E30" s="14">
        <f>'KAS KECIL'!H213</f>
        <v>0</v>
      </c>
      <c r="F30" s="14">
        <f>'KAS KECIL'!H261</f>
        <v>1185000</v>
      </c>
      <c r="G30" s="14">
        <f>'KAS KECIL'!H310</f>
        <v>785000</v>
      </c>
      <c r="H30" s="14">
        <f>'KAS KECIL'!H354</f>
        <v>400000</v>
      </c>
      <c r="I30" s="14">
        <f>'KAS KECIL'!H401</f>
        <v>400000</v>
      </c>
      <c r="J30" s="14">
        <f>'KAS KECIL'!H433</f>
        <v>0</v>
      </c>
      <c r="K30" s="14">
        <f>'KAS KECIL'!H466</f>
        <v>0</v>
      </c>
      <c r="L30" s="14">
        <f>'KAS KECIL'!H498</f>
        <v>0</v>
      </c>
      <c r="M30" s="14">
        <f>'KAS KECIL'!H531</f>
        <v>0</v>
      </c>
      <c r="N30" s="11">
        <f t="shared" si="8"/>
        <v>6077000</v>
      </c>
      <c r="S30" s="4"/>
      <c r="T30" s="4"/>
    </row>
    <row r="31" spans="1:20" x14ac:dyDescent="0.25">
      <c r="A31" s="7" t="s">
        <v>215</v>
      </c>
      <c r="B31" s="14">
        <f>'KAS KECIL'!I64</f>
        <v>3820000</v>
      </c>
      <c r="C31" s="14">
        <f>'KAS KECIL'!I127</f>
        <v>3587500</v>
      </c>
      <c r="D31" s="14">
        <f>'KAS KECIL'!I177</f>
        <v>3060000</v>
      </c>
      <c r="E31" s="14">
        <f>'KAS KECIL'!I213</f>
        <v>1921000</v>
      </c>
      <c r="F31" s="14">
        <f>'KAS KECIL'!I261</f>
        <v>370000</v>
      </c>
      <c r="G31" s="14">
        <f>'KAS KECIL'!I310</f>
        <v>1750000</v>
      </c>
      <c r="H31" s="14">
        <f>'KAS KECIL'!I354</f>
        <v>2066000</v>
      </c>
      <c r="I31" s="14">
        <f>'KAS KECIL'!I401</f>
        <v>1633000</v>
      </c>
      <c r="J31" s="14">
        <f>'KAS KECIL'!I433</f>
        <v>0</v>
      </c>
      <c r="K31" s="14">
        <f>'KAS KECIL'!I466</f>
        <v>0</v>
      </c>
      <c r="L31" s="14">
        <f>'KAS KECIL'!I498</f>
        <v>0</v>
      </c>
      <c r="M31" s="14">
        <f>'KAS KECIL'!I531</f>
        <v>0</v>
      </c>
      <c r="N31" s="11">
        <f t="shared" si="8"/>
        <v>18207500</v>
      </c>
      <c r="S31" s="4"/>
      <c r="T31" s="4"/>
    </row>
    <row r="32" spans="1:20" x14ac:dyDescent="0.25">
      <c r="A32" s="7" t="s">
        <v>205</v>
      </c>
      <c r="B32" s="14">
        <f>'KAS KECIL'!J64</f>
        <v>502500</v>
      </c>
      <c r="C32" s="14">
        <f>'KAS KECIL'!J127</f>
        <v>1005000</v>
      </c>
      <c r="D32" s="14">
        <f>'KAS KECIL'!J177</f>
        <v>502500</v>
      </c>
      <c r="E32" s="14">
        <f>'KAS KECIL'!J213</f>
        <v>502500</v>
      </c>
      <c r="F32" s="14">
        <f>'KAS KECIL'!J261</f>
        <v>0</v>
      </c>
      <c r="G32" s="14">
        <f>'KAS KECIL'!J310</f>
        <v>1005000</v>
      </c>
      <c r="H32" s="14">
        <f>'KAS KECIL'!J354</f>
        <v>502500</v>
      </c>
      <c r="I32" s="14">
        <f>'KAS KECIL'!J401</f>
        <v>502500</v>
      </c>
      <c r="J32" s="14">
        <f>'KAS KECIL'!J433</f>
        <v>0</v>
      </c>
      <c r="K32" s="14">
        <f>'KAS KECIL'!J466</f>
        <v>0</v>
      </c>
      <c r="L32" s="14">
        <f>'KAS KECIL'!J498</f>
        <v>0</v>
      </c>
      <c r="M32" s="14">
        <f>'KAS KECIL'!J531</f>
        <v>0</v>
      </c>
      <c r="N32" s="11">
        <f t="shared" si="8"/>
        <v>4522500</v>
      </c>
      <c r="S32" s="4"/>
      <c r="T32" s="4"/>
    </row>
    <row r="33" spans="1:20" x14ac:dyDescent="0.25">
      <c r="A33" s="7" t="s">
        <v>216</v>
      </c>
      <c r="B33" s="14">
        <f>'KAS KECIL'!K64</f>
        <v>51000</v>
      </c>
      <c r="C33" s="14">
        <f>'KAS KECIL'!K127</f>
        <v>444537</v>
      </c>
      <c r="D33" s="14">
        <f>'KAS KECIL'!K177</f>
        <v>422580</v>
      </c>
      <c r="E33" s="14">
        <f>'KAS KECIL'!K213</f>
        <v>383966</v>
      </c>
      <c r="F33" s="14">
        <f>'KAS KECIL'!K261</f>
        <v>398458</v>
      </c>
      <c r="G33" s="14">
        <f>'KAS KECIL'!K310</f>
        <v>439053</v>
      </c>
      <c r="H33" s="14">
        <f>'KAS KECIL'!K354</f>
        <v>536094</v>
      </c>
      <c r="I33" s="14">
        <f>'KAS KECIL'!K401</f>
        <v>521836</v>
      </c>
      <c r="J33" s="14">
        <f>'KAS KECIL'!K433</f>
        <v>0</v>
      </c>
      <c r="K33" s="14">
        <f>'KAS KECIL'!K466</f>
        <v>0</v>
      </c>
      <c r="L33" s="14">
        <f>'KAS KECIL'!K498</f>
        <v>0</v>
      </c>
      <c r="M33" s="14">
        <f>'KAS KECIL'!K531</f>
        <v>0</v>
      </c>
      <c r="N33" s="11">
        <f t="shared" si="8"/>
        <v>3197524</v>
      </c>
      <c r="S33" s="4"/>
      <c r="T33" s="4"/>
    </row>
    <row r="34" spans="1:20" x14ac:dyDescent="0.25">
      <c r="A34" s="7" t="s">
        <v>206</v>
      </c>
      <c r="B34" s="14">
        <f>'KAS KECIL'!L64</f>
        <v>9868750</v>
      </c>
      <c r="C34" s="14">
        <f>'KAS KECIL'!L127</f>
        <v>14658500</v>
      </c>
      <c r="D34" s="14">
        <f>'KAS KECIL'!L177</f>
        <v>7219500</v>
      </c>
      <c r="E34" s="14">
        <f>'KAS KECIL'!L213</f>
        <v>0</v>
      </c>
      <c r="F34" s="14">
        <f>'KAS KECIL'!L261</f>
        <v>4117000</v>
      </c>
      <c r="G34" s="14">
        <f>'KAS KECIL'!L310</f>
        <v>6497250</v>
      </c>
      <c r="H34" s="14">
        <f>'KAS KECIL'!L354</f>
        <v>8166350</v>
      </c>
      <c r="I34" s="14">
        <f>'KAS KECIL'!L401</f>
        <v>0</v>
      </c>
      <c r="J34" s="14">
        <f>'KAS KECIL'!L433</f>
        <v>0</v>
      </c>
      <c r="K34" s="14">
        <f>'KAS KECIL'!L466</f>
        <v>0</v>
      </c>
      <c r="L34" s="14">
        <f>'KAS KECIL'!L498</f>
        <v>0</v>
      </c>
      <c r="M34" s="14">
        <f>'KAS KECIL'!L531</f>
        <v>0</v>
      </c>
      <c r="N34" s="11">
        <f t="shared" si="8"/>
        <v>50527350</v>
      </c>
      <c r="S34" s="4"/>
      <c r="T34" s="4"/>
    </row>
    <row r="35" spans="1:20" x14ac:dyDescent="0.25">
      <c r="A35" s="7" t="s">
        <v>223</v>
      </c>
      <c r="B35" s="14">
        <f>'KAS KECIL'!N64</f>
        <v>1562307</v>
      </c>
      <c r="C35" s="14">
        <f>'KAS KECIL'!N127</f>
        <v>1646307</v>
      </c>
      <c r="D35" s="14">
        <f>'KAS KECIL'!N177</f>
        <v>14220</v>
      </c>
      <c r="E35" s="14">
        <f>'KAS KECIL'!N206</f>
        <v>0</v>
      </c>
      <c r="F35" s="14">
        <f>'KAS KECIL'!N261</f>
        <v>2075811</v>
      </c>
      <c r="G35" s="14">
        <f>'KAS KECIL'!N310</f>
        <v>2111011</v>
      </c>
      <c r="H35" s="14">
        <f>'KAS KECIL'!N354</f>
        <v>1995821</v>
      </c>
      <c r="I35" s="14">
        <f>'KAS KECIL'!N401</f>
        <v>1995821</v>
      </c>
      <c r="J35" s="14">
        <f>'KAS KECIL'!N433</f>
        <v>0</v>
      </c>
      <c r="K35" s="14">
        <f>'KAS KECIL'!N466</f>
        <v>0</v>
      </c>
      <c r="L35" s="14">
        <f>'KAS KECIL'!N498</f>
        <v>0</v>
      </c>
      <c r="M35" s="14">
        <f>'KAS KECIL'!N531</f>
        <v>0</v>
      </c>
      <c r="N35" s="11">
        <f t="shared" si="8"/>
        <v>11401298</v>
      </c>
      <c r="S35" s="4"/>
      <c r="T35" s="4"/>
    </row>
    <row r="36" spans="1:20" x14ac:dyDescent="0.25">
      <c r="A36" s="7" t="s">
        <v>209</v>
      </c>
      <c r="B36" s="14">
        <f>'KAS KECIL'!R64</f>
        <v>0</v>
      </c>
      <c r="C36" s="14">
        <f>'KAS KECIL'!R127</f>
        <v>10000</v>
      </c>
      <c r="D36" s="14">
        <f>'KAS KECIL'!R177</f>
        <v>0</v>
      </c>
      <c r="E36" s="14">
        <f>'KAS KECIL'!R213</f>
        <v>0</v>
      </c>
      <c r="F36" s="14">
        <f>'KAS KECIL'!R261</f>
        <v>40000</v>
      </c>
      <c r="G36" s="14">
        <f>'KAS KECIL'!R310</f>
        <v>0</v>
      </c>
      <c r="H36" s="14">
        <f>'KAS KECIL'!R354</f>
        <v>0</v>
      </c>
      <c r="I36" s="14">
        <f>'KAS KECIL'!R401</f>
        <v>0</v>
      </c>
      <c r="J36" s="14">
        <f>'KAS KECIL'!R433</f>
        <v>0</v>
      </c>
      <c r="K36" s="14">
        <f>'KAS KECIL'!R466</f>
        <v>0</v>
      </c>
      <c r="L36" s="14">
        <f>'KAS KECIL'!R498</f>
        <v>0</v>
      </c>
      <c r="M36" s="14">
        <f>'KAS KECIL'!R531</f>
        <v>0</v>
      </c>
      <c r="N36" s="11">
        <f t="shared" si="8"/>
        <v>50000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73021657</v>
      </c>
      <c r="C38" s="35">
        <f t="shared" si="9"/>
        <v>70941044</v>
      </c>
      <c r="D38" s="35">
        <f t="shared" si="9"/>
        <v>67986300</v>
      </c>
      <c r="E38" s="35">
        <f>E24+E19+E23</f>
        <v>94450666</v>
      </c>
      <c r="F38" s="35">
        <f t="shared" si="9"/>
        <v>54963669</v>
      </c>
      <c r="G38" s="35">
        <f t="shared" si="9"/>
        <v>64148014</v>
      </c>
      <c r="H38" s="35">
        <f t="shared" si="9"/>
        <v>77479996</v>
      </c>
      <c r="I38" s="35">
        <f t="shared" si="9"/>
        <v>61513357</v>
      </c>
      <c r="J38" s="35">
        <f t="shared" si="9"/>
        <v>42981000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575485703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40766974.023316622</v>
      </c>
      <c r="C51" s="37">
        <f t="shared" si="14"/>
        <v>-10260497.294228077</v>
      </c>
      <c r="D51" s="37">
        <f t="shared" si="14"/>
        <v>15040249.926363707</v>
      </c>
      <c r="E51" s="37">
        <f t="shared" si="14"/>
        <v>524611.81943559647</v>
      </c>
      <c r="F51" s="37">
        <f t="shared" si="14"/>
        <v>9798660.8659925461</v>
      </c>
      <c r="G51" s="37">
        <f t="shared" si="14"/>
        <v>8.7785720825195313E-4</v>
      </c>
      <c r="H51" s="37">
        <f t="shared" si="14"/>
        <v>1000200.5000004768</v>
      </c>
      <c r="I51" s="37">
        <f t="shared" si="14"/>
        <v>6999999.9999980927</v>
      </c>
      <c r="J51" s="37">
        <f t="shared" si="14"/>
        <v>-5332083105.228735</v>
      </c>
      <c r="K51" s="37">
        <f t="shared" si="14"/>
        <v>-394160372.18063068</v>
      </c>
      <c r="L51" s="37">
        <f t="shared" si="14"/>
        <v>0</v>
      </c>
      <c r="M51" s="37">
        <f t="shared" si="14"/>
        <v>0</v>
      </c>
      <c r="N51" s="37">
        <f t="shared" si="14"/>
        <v>-5630373277.5676079</v>
      </c>
      <c r="O51" s="215">
        <f>N51/N6</f>
        <v>-0.41051019324267174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12" right="0.12" top="0.33" bottom="0.19" header="0.12" footer="0.12"/>
  <pageSetup paperSize="14" scale="89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topLeftCell="A19" workbookViewId="0">
      <selection activeCell="F19" sqref="F19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91" t="str">
        <f>[5]NERACA!A2</f>
        <v>CV. ARTO MORO</v>
      </c>
      <c r="B1" s="892"/>
      <c r="C1" s="892"/>
      <c r="D1" s="892"/>
      <c r="E1" s="892"/>
      <c r="F1" s="892"/>
      <c r="G1" s="892"/>
      <c r="H1" s="892"/>
      <c r="I1" s="893"/>
    </row>
    <row r="2" spans="1:9" ht="15.75" x14ac:dyDescent="0.25">
      <c r="A2" s="894" t="str">
        <f>[5]NERACA!A3</f>
        <v>JL.INDUSTRI XX /903 SEMARANG</v>
      </c>
      <c r="B2" s="895"/>
      <c r="C2" s="895"/>
      <c r="D2" s="895"/>
      <c r="E2" s="895"/>
      <c r="F2" s="895"/>
      <c r="G2" s="895"/>
      <c r="H2" s="895"/>
      <c r="I2" s="896"/>
    </row>
    <row r="3" spans="1:9" ht="15.75" x14ac:dyDescent="0.25">
      <c r="A3" s="897" t="s">
        <v>328</v>
      </c>
      <c r="B3" s="898"/>
      <c r="C3" s="898"/>
      <c r="D3" s="898"/>
      <c r="E3" s="898"/>
      <c r="F3" s="898"/>
      <c r="G3" s="898"/>
      <c r="H3" s="898"/>
      <c r="I3" s="899"/>
    </row>
    <row r="4" spans="1:9" ht="16.5" thickBot="1" x14ac:dyDescent="0.3">
      <c r="A4" s="900" t="s">
        <v>423</v>
      </c>
      <c r="B4" s="901"/>
      <c r="C4" s="901"/>
      <c r="D4" s="901"/>
      <c r="E4" s="901"/>
      <c r="F4" s="901"/>
      <c r="G4" s="901"/>
      <c r="H4" s="901"/>
      <c r="I4" s="902"/>
    </row>
    <row r="5" spans="1:9" ht="16.5" thickTop="1" x14ac:dyDescent="0.25">
      <c r="A5" s="433"/>
      <c r="B5" s="434"/>
      <c r="C5" s="47"/>
      <c r="D5" s="41"/>
      <c r="E5" s="41"/>
      <c r="F5" s="435"/>
      <c r="G5" s="436"/>
      <c r="H5" s="437"/>
      <c r="I5" s="438"/>
    </row>
    <row r="6" spans="1:9" ht="15.75" x14ac:dyDescent="0.25">
      <c r="A6" s="433"/>
      <c r="B6" s="434" t="s">
        <v>51</v>
      </c>
      <c r="C6" s="47"/>
      <c r="D6" s="41"/>
      <c r="E6" s="41"/>
      <c r="F6" s="435"/>
      <c r="G6" s="436"/>
      <c r="H6" s="437"/>
      <c r="I6" s="438"/>
    </row>
    <row r="7" spans="1:9" ht="15.75" x14ac:dyDescent="0.25">
      <c r="A7" s="433"/>
      <c r="B7" s="434"/>
      <c r="C7" s="47"/>
      <c r="D7" s="439" t="s">
        <v>329</v>
      </c>
      <c r="E7" s="439"/>
      <c r="F7" s="436"/>
      <c r="G7" s="436" t="s">
        <v>330</v>
      </c>
      <c r="H7" s="440">
        <f>'LABA RUGI'!N7</f>
        <v>13715550479.00901</v>
      </c>
      <c r="I7" s="438"/>
    </row>
    <row r="8" spans="1:9" ht="15.75" x14ac:dyDescent="0.25">
      <c r="A8" s="433"/>
      <c r="B8" s="434"/>
      <c r="C8" s="47"/>
      <c r="D8" s="439"/>
      <c r="E8" s="439"/>
      <c r="F8" s="436"/>
      <c r="G8" s="436"/>
      <c r="H8" s="440"/>
      <c r="I8" s="438"/>
    </row>
    <row r="9" spans="1:9" ht="15.75" x14ac:dyDescent="0.25">
      <c r="A9" s="433"/>
      <c r="B9" s="434" t="s">
        <v>15</v>
      </c>
      <c r="C9" s="47"/>
      <c r="D9" s="41"/>
      <c r="E9" s="41"/>
      <c r="F9" s="436"/>
      <c r="G9" s="436"/>
      <c r="H9" s="440"/>
      <c r="I9" s="438"/>
    </row>
    <row r="10" spans="1:9" ht="15.75" x14ac:dyDescent="0.25">
      <c r="A10" s="433"/>
      <c r="B10" s="434"/>
      <c r="C10" s="47"/>
      <c r="D10" s="439" t="s">
        <v>331</v>
      </c>
      <c r="E10" s="439" t="s">
        <v>330</v>
      </c>
      <c r="F10" s="436">
        <f>'LABA RUGI'!N11</f>
        <v>5515733262.0181818</v>
      </c>
      <c r="G10" s="436"/>
      <c r="H10" s="440"/>
      <c r="I10" s="438"/>
    </row>
    <row r="11" spans="1:9" ht="15.75" x14ac:dyDescent="0.25">
      <c r="A11" s="433"/>
      <c r="B11" s="434"/>
      <c r="C11" s="47"/>
      <c r="D11" s="439" t="s">
        <v>332</v>
      </c>
      <c r="E11" s="439" t="s">
        <v>330</v>
      </c>
      <c r="F11" s="441">
        <f>'LABA RUGI'!N12</f>
        <v>13254704791.558437</v>
      </c>
      <c r="G11" s="436"/>
      <c r="H11" s="440"/>
      <c r="I11" s="438"/>
    </row>
    <row r="12" spans="1:9" ht="15.75" x14ac:dyDescent="0.25">
      <c r="A12" s="433"/>
      <c r="B12" s="434"/>
      <c r="C12" s="47"/>
      <c r="D12" s="439" t="s">
        <v>333</v>
      </c>
      <c r="E12" s="442" t="s">
        <v>330</v>
      </c>
      <c r="F12" s="443">
        <f>SUM(F10:F11)</f>
        <v>18770438053.576618</v>
      </c>
      <c r="G12" s="436"/>
      <c r="H12" s="440"/>
      <c r="I12" s="438"/>
    </row>
    <row r="13" spans="1:9" ht="15.75" x14ac:dyDescent="0.25">
      <c r="A13" s="433"/>
      <c r="B13" s="434"/>
      <c r="C13" s="47"/>
      <c r="D13" s="439" t="s">
        <v>334</v>
      </c>
      <c r="E13" s="439" t="s">
        <v>330</v>
      </c>
      <c r="F13" s="444">
        <f>-'LABA RUGI'!N15</f>
        <v>0</v>
      </c>
      <c r="G13" s="436"/>
      <c r="H13" s="440"/>
      <c r="I13" s="438"/>
    </row>
    <row r="14" spans="1:9" ht="15.75" x14ac:dyDescent="0.25">
      <c r="A14" s="433"/>
      <c r="B14" s="434"/>
      <c r="C14" s="47"/>
      <c r="D14" s="439"/>
      <c r="E14" s="439"/>
      <c r="F14" s="436"/>
      <c r="G14" s="436" t="s">
        <v>330</v>
      </c>
      <c r="H14" s="440">
        <f>-SUM(F12:F13)</f>
        <v>-18770438053.576618</v>
      </c>
      <c r="I14" s="438"/>
    </row>
    <row r="15" spans="1:9" ht="15.75" x14ac:dyDescent="0.25">
      <c r="A15" s="433"/>
      <c r="B15" s="434"/>
      <c r="C15" s="47"/>
      <c r="D15" s="41"/>
      <c r="E15" s="41"/>
      <c r="F15" s="436"/>
      <c r="G15" s="443"/>
      <c r="H15" s="445"/>
      <c r="I15" s="438"/>
    </row>
    <row r="16" spans="1:9" ht="15.75" x14ac:dyDescent="0.25">
      <c r="A16" s="446"/>
      <c r="C16" s="47"/>
      <c r="D16" s="903" t="s">
        <v>20</v>
      </c>
      <c r="E16" s="903"/>
      <c r="F16" s="447"/>
      <c r="G16" s="436" t="s">
        <v>330</v>
      </c>
      <c r="H16" s="440">
        <f>SUM(H7:H14)</f>
        <v>-5054887574.5676079</v>
      </c>
      <c r="I16" s="448"/>
    </row>
    <row r="17" spans="1:9" ht="15.75" x14ac:dyDescent="0.25">
      <c r="A17" s="433"/>
      <c r="B17" s="434"/>
      <c r="C17" s="47"/>
      <c r="D17" s="41"/>
      <c r="E17" s="41"/>
      <c r="F17" s="436"/>
      <c r="G17" s="436"/>
      <c r="H17" s="440"/>
      <c r="I17" s="438"/>
    </row>
    <row r="18" spans="1:9" ht="15.75" x14ac:dyDescent="0.25">
      <c r="A18" s="433"/>
      <c r="B18" s="434" t="s">
        <v>335</v>
      </c>
      <c r="C18" s="47"/>
      <c r="D18" s="41"/>
      <c r="E18" s="41"/>
      <c r="F18" s="449"/>
      <c r="G18" s="436"/>
      <c r="H18" s="440"/>
      <c r="I18" s="438"/>
    </row>
    <row r="19" spans="1:9" ht="15.75" x14ac:dyDescent="0.25">
      <c r="A19" s="433"/>
      <c r="B19" s="434"/>
      <c r="C19" s="47"/>
      <c r="D19" s="41" t="s">
        <v>355</v>
      </c>
      <c r="E19" s="439" t="s">
        <v>330</v>
      </c>
      <c r="F19" s="449">
        <f>'LABA RUGI'!N19+'LABA RUGI'!N23</f>
        <v>441167500</v>
      </c>
      <c r="G19" s="440"/>
      <c r="H19" s="440"/>
      <c r="I19" s="438"/>
    </row>
    <row r="20" spans="1:9" ht="15.75" x14ac:dyDescent="0.25">
      <c r="A20" s="433"/>
      <c r="B20" s="434"/>
      <c r="C20" s="47"/>
      <c r="D20" s="41" t="s">
        <v>336</v>
      </c>
      <c r="E20" s="439" t="s">
        <v>330</v>
      </c>
      <c r="F20" s="449">
        <f>'LABA RUGI'!N25</f>
        <v>3383400</v>
      </c>
      <c r="G20" s="440"/>
      <c r="H20" s="440"/>
      <c r="I20" s="438"/>
    </row>
    <row r="21" spans="1:9" ht="15.75" x14ac:dyDescent="0.25">
      <c r="A21" s="433"/>
      <c r="B21" s="434"/>
      <c r="C21" s="47"/>
      <c r="D21" s="41" t="s">
        <v>337</v>
      </c>
      <c r="E21" s="439" t="s">
        <v>330</v>
      </c>
      <c r="F21" s="449">
        <f>'LABA RUGI'!N26</f>
        <v>938500</v>
      </c>
      <c r="G21" s="440"/>
      <c r="H21" s="440"/>
      <c r="I21" s="438"/>
    </row>
    <row r="22" spans="1:9" ht="15.75" x14ac:dyDescent="0.25">
      <c r="A22" s="433"/>
      <c r="B22" s="434"/>
      <c r="C22" s="47"/>
      <c r="D22" s="41" t="s">
        <v>338</v>
      </c>
      <c r="E22" s="439" t="s">
        <v>330</v>
      </c>
      <c r="F22" s="449">
        <f>'LABA RUGI'!N27</f>
        <v>4883500</v>
      </c>
      <c r="G22" s="440"/>
      <c r="H22" s="440"/>
      <c r="I22" s="438"/>
    </row>
    <row r="23" spans="1:9" ht="15.75" x14ac:dyDescent="0.25">
      <c r="A23" s="433"/>
      <c r="B23" s="434"/>
      <c r="C23" s="47"/>
      <c r="D23" s="41" t="s">
        <v>208</v>
      </c>
      <c r="E23" s="439" t="s">
        <v>330</v>
      </c>
      <c r="F23" s="449">
        <f>'LABA RUGI'!N28</f>
        <v>53417131</v>
      </c>
      <c r="G23" s="440"/>
      <c r="H23" s="440"/>
      <c r="I23" s="438"/>
    </row>
    <row r="24" spans="1:9" ht="15.75" x14ac:dyDescent="0.25">
      <c r="A24" s="433"/>
      <c r="B24" s="434"/>
      <c r="C24" s="47"/>
      <c r="D24" s="41" t="s">
        <v>339</v>
      </c>
      <c r="E24" s="439" t="s">
        <v>330</v>
      </c>
      <c r="F24" s="449">
        <f>'LABA RUGI'!N29</f>
        <v>9712500</v>
      </c>
      <c r="G24" s="440"/>
      <c r="H24" s="440"/>
      <c r="I24" s="438"/>
    </row>
    <row r="25" spans="1:9" ht="15.75" x14ac:dyDescent="0.25">
      <c r="A25" s="433"/>
      <c r="B25" s="434"/>
      <c r="C25" s="47"/>
      <c r="D25" s="41" t="s">
        <v>340</v>
      </c>
      <c r="E25" s="439" t="s">
        <v>330</v>
      </c>
      <c r="F25" s="449">
        <f>'LABA RUGI'!N30</f>
        <v>6077000</v>
      </c>
      <c r="G25" s="440"/>
      <c r="H25" s="440"/>
      <c r="I25" s="438"/>
    </row>
    <row r="26" spans="1:9" ht="15.75" x14ac:dyDescent="0.25">
      <c r="A26" s="433"/>
      <c r="B26" s="434"/>
      <c r="C26" s="47"/>
      <c r="D26" s="41" t="s">
        <v>341</v>
      </c>
      <c r="E26" s="439" t="s">
        <v>330</v>
      </c>
      <c r="F26" s="449">
        <f>'LABA RUGI'!N31</f>
        <v>18207500</v>
      </c>
      <c r="G26" s="440"/>
      <c r="H26" s="440"/>
      <c r="I26" s="438"/>
    </row>
    <row r="27" spans="1:9" ht="15.75" x14ac:dyDescent="0.25">
      <c r="A27" s="433"/>
      <c r="B27" s="434"/>
      <c r="C27" s="47"/>
      <c r="D27" s="41" t="s">
        <v>342</v>
      </c>
      <c r="E27" s="439" t="s">
        <v>330</v>
      </c>
      <c r="F27" s="449">
        <f>'LABA RUGI'!N32</f>
        <v>4522500</v>
      </c>
      <c r="G27" s="440"/>
      <c r="H27" s="440"/>
      <c r="I27" s="438"/>
    </row>
    <row r="28" spans="1:9" ht="15.75" x14ac:dyDescent="0.25">
      <c r="A28" s="433"/>
      <c r="B28" s="434"/>
      <c r="C28" s="47"/>
      <c r="D28" s="41" t="s">
        <v>343</v>
      </c>
      <c r="E28" s="439" t="s">
        <v>330</v>
      </c>
      <c r="F28" s="449">
        <f>'LABA RUGI'!N33</f>
        <v>3197524</v>
      </c>
      <c r="G28" s="440"/>
      <c r="H28" s="440"/>
      <c r="I28" s="438"/>
    </row>
    <row r="29" spans="1:9" ht="15.75" x14ac:dyDescent="0.25">
      <c r="A29" s="433"/>
      <c r="B29" s="434"/>
      <c r="C29" s="47"/>
      <c r="D29" s="41" t="s">
        <v>344</v>
      </c>
      <c r="E29" s="439" t="s">
        <v>330</v>
      </c>
      <c r="F29" s="449">
        <f>'LABA RUGI'!N34</f>
        <v>50527350</v>
      </c>
      <c r="G29" s="440"/>
      <c r="H29" s="440"/>
      <c r="I29" s="438"/>
    </row>
    <row r="30" spans="1:9" ht="15.75" x14ac:dyDescent="0.25">
      <c r="A30" s="433"/>
      <c r="B30" s="434"/>
      <c r="C30" s="47"/>
      <c r="D30" s="41" t="s">
        <v>345</v>
      </c>
      <c r="E30" s="439" t="s">
        <v>330</v>
      </c>
      <c r="F30" s="449">
        <f>'LABA RUGI'!N35</f>
        <v>11401298</v>
      </c>
      <c r="G30" s="440"/>
      <c r="H30" s="440"/>
      <c r="I30" s="438"/>
    </row>
    <row r="31" spans="1:9" ht="15.75" x14ac:dyDescent="0.25">
      <c r="A31" s="433"/>
      <c r="B31" s="434"/>
      <c r="C31" s="47"/>
      <c r="D31" s="41" t="s">
        <v>346</v>
      </c>
      <c r="E31" s="439" t="s">
        <v>330</v>
      </c>
      <c r="F31" s="449">
        <f>'LABA RUGI'!N22</f>
        <v>25170000</v>
      </c>
      <c r="G31" s="440"/>
      <c r="H31" s="440"/>
      <c r="I31" s="438"/>
    </row>
    <row r="32" spans="1:9" ht="15.75" x14ac:dyDescent="0.25">
      <c r="A32" s="433"/>
      <c r="B32" s="434"/>
      <c r="C32" s="47"/>
      <c r="D32" s="41" t="s">
        <v>347</v>
      </c>
      <c r="E32" s="439" t="s">
        <v>330</v>
      </c>
      <c r="F32" s="449">
        <f>'LABA RUGI'!N36</f>
        <v>50000</v>
      </c>
      <c r="G32" s="440"/>
      <c r="H32" s="440"/>
      <c r="I32" s="438"/>
    </row>
    <row r="33" spans="1:11" ht="15.75" x14ac:dyDescent="0.25">
      <c r="A33" s="433"/>
      <c r="B33" s="434"/>
      <c r="C33" s="47"/>
      <c r="D33" s="41" t="s">
        <v>348</v>
      </c>
      <c r="E33" s="439" t="s">
        <v>330</v>
      </c>
      <c r="F33" s="449">
        <f>'LABA RUGI'!N39</f>
        <v>0</v>
      </c>
      <c r="G33" s="440"/>
      <c r="H33" s="440"/>
      <c r="I33" s="438"/>
    </row>
    <row r="34" spans="1:11" ht="15.75" x14ac:dyDescent="0.25">
      <c r="A34" s="433"/>
      <c r="B34" s="434"/>
      <c r="C34" s="47"/>
      <c r="D34" s="41"/>
      <c r="E34" s="41"/>
      <c r="F34" s="436"/>
      <c r="G34" s="440"/>
      <c r="H34" s="440"/>
      <c r="I34" s="438"/>
    </row>
    <row r="35" spans="1:11" ht="15.75" x14ac:dyDescent="0.25">
      <c r="A35" s="433"/>
      <c r="B35" s="434"/>
      <c r="C35" s="47"/>
      <c r="D35" s="41"/>
      <c r="E35" s="41"/>
      <c r="F35" s="436"/>
      <c r="G35" s="436"/>
      <c r="H35" s="451">
        <f>-SUM(F19:F34)</f>
        <v>-632655703</v>
      </c>
      <c r="I35" s="438"/>
    </row>
    <row r="36" spans="1:11" ht="15.75" x14ac:dyDescent="0.25">
      <c r="A36" s="433"/>
      <c r="B36" s="434"/>
      <c r="C36" s="47"/>
      <c r="D36" s="41"/>
      <c r="E36" s="41"/>
      <c r="F36" s="436"/>
      <c r="G36" s="436"/>
      <c r="H36" s="451"/>
      <c r="I36" s="438"/>
    </row>
    <row r="37" spans="1:11" ht="16.5" thickBot="1" x14ac:dyDescent="0.3">
      <c r="A37" s="446"/>
      <c r="C37" s="47"/>
      <c r="D37" s="903"/>
      <c r="E37" s="903"/>
      <c r="F37" s="447"/>
      <c r="G37" s="447"/>
      <c r="H37" s="452">
        <f>(SUM(H16:H35))</f>
        <v>-5687543277.5676079</v>
      </c>
      <c r="I37" s="448"/>
    </row>
    <row r="38" spans="1:11" ht="16.5" thickTop="1" x14ac:dyDescent="0.25">
      <c r="A38" s="446"/>
      <c r="B38" s="434" t="s">
        <v>349</v>
      </c>
      <c r="C38" s="47"/>
      <c r="D38" s="453"/>
      <c r="E38" s="453"/>
      <c r="F38" s="447"/>
      <c r="G38" s="447"/>
      <c r="H38" s="451"/>
      <c r="I38" s="448"/>
    </row>
    <row r="39" spans="1:11" ht="15.75" x14ac:dyDescent="0.25">
      <c r="A39" s="446"/>
      <c r="B39" s="434"/>
      <c r="C39" s="47"/>
      <c r="D39" s="454" t="s">
        <v>350</v>
      </c>
      <c r="E39" s="439" t="s">
        <v>330</v>
      </c>
      <c r="F39" s="455"/>
      <c r="G39" s="447"/>
      <c r="H39" s="440"/>
      <c r="I39" s="448"/>
      <c r="K39" s="456" t="s">
        <v>351</v>
      </c>
    </row>
    <row r="40" spans="1:11" ht="15.75" x14ac:dyDescent="0.25">
      <c r="A40" s="446"/>
      <c r="C40" s="47"/>
      <c r="D40" s="454" t="s">
        <v>352</v>
      </c>
      <c r="E40" s="439" t="s">
        <v>330</v>
      </c>
      <c r="F40" s="457"/>
      <c r="G40" s="447"/>
      <c r="H40" s="451"/>
      <c r="I40" s="448"/>
    </row>
    <row r="41" spans="1:11" ht="15.75" x14ac:dyDescent="0.25">
      <c r="A41" s="446"/>
      <c r="C41" s="47"/>
      <c r="D41" s="454" t="s">
        <v>353</v>
      </c>
      <c r="E41" s="439" t="s">
        <v>330</v>
      </c>
      <c r="F41" s="457"/>
      <c r="G41" s="447"/>
      <c r="H41" s="451"/>
      <c r="I41" s="448"/>
    </row>
    <row r="42" spans="1:11" ht="15.75" x14ac:dyDescent="0.25">
      <c r="A42" s="446"/>
      <c r="C42" s="47"/>
      <c r="D42" s="453"/>
      <c r="E42" s="453"/>
      <c r="F42" s="447"/>
      <c r="G42" s="447"/>
      <c r="H42" s="440"/>
      <c r="I42" s="448"/>
    </row>
    <row r="43" spans="1:11" ht="15.75" x14ac:dyDescent="0.25">
      <c r="A43" s="446"/>
      <c r="C43" s="47"/>
      <c r="D43" s="453"/>
      <c r="E43" s="453"/>
      <c r="F43" s="447"/>
      <c r="G43" s="447"/>
      <c r="H43" s="451"/>
      <c r="I43" s="448"/>
    </row>
    <row r="44" spans="1:11" ht="16.5" thickBot="1" x14ac:dyDescent="0.3">
      <c r="A44" s="446"/>
      <c r="C44" s="47"/>
      <c r="D44" s="453" t="s">
        <v>354</v>
      </c>
      <c r="E44" s="453"/>
      <c r="F44" s="447"/>
      <c r="G44" s="447"/>
      <c r="H44" s="452">
        <f>TRUNC(SUM(H37:H42))</f>
        <v>-5687543277</v>
      </c>
      <c r="I44" s="448"/>
    </row>
    <row r="45" spans="1:11" ht="17.25" thickTop="1" thickBot="1" x14ac:dyDescent="0.3">
      <c r="A45" s="458"/>
      <c r="B45" s="459"/>
      <c r="C45" s="460"/>
      <c r="D45" s="461"/>
      <c r="E45" s="461"/>
      <c r="F45" s="462"/>
      <c r="G45" s="463"/>
      <c r="H45" s="464"/>
      <c r="I45" s="465"/>
    </row>
    <row r="46" spans="1:11" x14ac:dyDescent="0.25">
      <c r="F46" s="466"/>
      <c r="G46" s="467"/>
      <c r="H46" s="466"/>
    </row>
    <row r="47" spans="1:11" x14ac:dyDescent="0.25">
      <c r="F47" s="885" t="s">
        <v>629</v>
      </c>
      <c r="G47" s="886"/>
      <c r="H47" s="886"/>
      <c r="I47" s="886"/>
    </row>
    <row r="48" spans="1:11" x14ac:dyDescent="0.25">
      <c r="F48" s="887" t="str">
        <f>[5]NERACA!K34</f>
        <v>CV. ARTO MORO</v>
      </c>
      <c r="G48" s="888"/>
      <c r="H48" s="888"/>
      <c r="I48" s="888"/>
    </row>
    <row r="49" spans="6:9" x14ac:dyDescent="0.25">
      <c r="F49" s="468"/>
      <c r="G49" s="469"/>
      <c r="H49" s="468"/>
      <c r="I49" s="218"/>
    </row>
    <row r="50" spans="6:9" x14ac:dyDescent="0.25">
      <c r="F50" s="468"/>
      <c r="G50" s="469"/>
      <c r="H50" s="468"/>
      <c r="I50" s="218"/>
    </row>
    <row r="51" spans="6:9" x14ac:dyDescent="0.25">
      <c r="F51" s="468"/>
      <c r="G51" s="469"/>
      <c r="H51" s="468"/>
      <c r="I51" s="218"/>
    </row>
    <row r="52" spans="6:9" x14ac:dyDescent="0.25">
      <c r="F52" s="468"/>
      <c r="G52" s="469"/>
      <c r="H52" s="468"/>
      <c r="I52" s="218"/>
    </row>
    <row r="53" spans="6:9" x14ac:dyDescent="0.25">
      <c r="F53" s="468"/>
      <c r="G53" s="469"/>
      <c r="H53" s="468"/>
      <c r="I53" s="218"/>
    </row>
    <row r="54" spans="6:9" x14ac:dyDescent="0.25">
      <c r="F54" s="889" t="str">
        <f>[5]NERACA!K39</f>
        <v>SUDIARTO</v>
      </c>
      <c r="G54" s="890"/>
      <c r="H54" s="890"/>
      <c r="I54" s="890"/>
    </row>
    <row r="55" spans="6:9" x14ac:dyDescent="0.25">
      <c r="F55" s="886" t="str">
        <f>[5]NERACA!K40</f>
        <v>DIREKTUR</v>
      </c>
      <c r="G55" s="886"/>
      <c r="H55" s="886"/>
      <c r="I55" s="886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7:I47"/>
    <mergeCell ref="F48:I48"/>
    <mergeCell ref="F54:I54"/>
    <mergeCell ref="F55:I55"/>
    <mergeCell ref="A1:I1"/>
    <mergeCell ref="A2:I2"/>
    <mergeCell ref="A3:I3"/>
    <mergeCell ref="A4:I4"/>
    <mergeCell ref="D16:E16"/>
    <mergeCell ref="D37:E37"/>
  </mergeCells>
  <pageMargins left="0.27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0" workbookViewId="0">
      <selection activeCell="F27" sqref="F27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470"/>
      <c r="B1" s="471"/>
      <c r="C1" s="470"/>
      <c r="D1" s="470"/>
      <c r="E1" s="470"/>
      <c r="F1" s="472"/>
      <c r="G1" s="436"/>
      <c r="H1" s="436"/>
      <c r="I1" s="436"/>
      <c r="J1" s="436"/>
      <c r="K1" s="436"/>
      <c r="L1" s="436"/>
      <c r="M1" s="472"/>
      <c r="N1" s="470"/>
    </row>
    <row r="2" spans="1:22" ht="18" x14ac:dyDescent="0.25">
      <c r="A2" s="909" t="s">
        <v>299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470"/>
    </row>
    <row r="3" spans="1:22" ht="15.75" x14ac:dyDescent="0.25">
      <c r="A3" s="910" t="s">
        <v>356</v>
      </c>
      <c r="B3" s="910"/>
      <c r="C3" s="910"/>
      <c r="D3" s="910"/>
      <c r="E3" s="910"/>
      <c r="F3" s="910"/>
      <c r="G3" s="910"/>
      <c r="H3" s="910"/>
      <c r="I3" s="910"/>
      <c r="J3" s="910"/>
      <c r="K3" s="910"/>
      <c r="L3" s="910"/>
      <c r="M3" s="910"/>
      <c r="N3" s="470"/>
    </row>
    <row r="4" spans="1:22" x14ac:dyDescent="0.25">
      <c r="A4" s="911" t="s">
        <v>357</v>
      </c>
      <c r="B4" s="911"/>
      <c r="C4" s="911"/>
      <c r="D4" s="911"/>
      <c r="E4" s="911"/>
      <c r="F4" s="911"/>
      <c r="G4" s="911"/>
      <c r="H4" s="911"/>
      <c r="I4" s="911"/>
      <c r="J4" s="911"/>
      <c r="K4" s="911"/>
      <c r="L4" s="911"/>
      <c r="M4" s="911"/>
      <c r="N4" s="470"/>
    </row>
    <row r="5" spans="1:22" x14ac:dyDescent="0.25">
      <c r="A5" s="911" t="s">
        <v>630</v>
      </c>
      <c r="B5" s="911"/>
      <c r="C5" s="911"/>
      <c r="D5" s="911"/>
      <c r="E5" s="911"/>
      <c r="F5" s="911"/>
      <c r="G5" s="911"/>
      <c r="H5" s="911"/>
      <c r="I5" s="911"/>
      <c r="J5" s="911"/>
      <c r="K5" s="911"/>
      <c r="L5" s="911"/>
      <c r="M5" s="911"/>
      <c r="N5" s="470"/>
    </row>
    <row r="6" spans="1:22" x14ac:dyDescent="0.25">
      <c r="A6" s="911" t="s">
        <v>358</v>
      </c>
      <c r="B6" s="911"/>
      <c r="C6" s="911"/>
      <c r="D6" s="911"/>
      <c r="E6" s="911"/>
      <c r="F6" s="911"/>
      <c r="G6" s="911"/>
      <c r="H6" s="911"/>
      <c r="I6" s="911"/>
      <c r="J6" s="911"/>
      <c r="K6" s="911"/>
      <c r="L6" s="911"/>
      <c r="M6" s="911"/>
      <c r="N6" s="470"/>
    </row>
    <row r="7" spans="1:22" x14ac:dyDescent="0.25">
      <c r="A7" s="470"/>
      <c r="B7" s="473"/>
      <c r="C7" s="473"/>
      <c r="D7" s="473"/>
      <c r="E7" s="473"/>
      <c r="F7" s="474"/>
      <c r="G7" s="475"/>
      <c r="H7" s="475"/>
      <c r="I7" s="475"/>
      <c r="J7" s="475"/>
      <c r="K7" s="475"/>
      <c r="L7" s="475"/>
      <c r="M7" s="474"/>
      <c r="N7" s="470"/>
    </row>
    <row r="8" spans="1:22" ht="15.75" thickBot="1" x14ac:dyDescent="0.3">
      <c r="A8" s="470"/>
      <c r="B8" s="471"/>
      <c r="C8" s="470"/>
      <c r="D8" s="470"/>
      <c r="E8" s="470"/>
      <c r="F8" s="472"/>
      <c r="G8" s="436"/>
      <c r="H8" s="436"/>
      <c r="I8" s="436"/>
      <c r="J8" s="436"/>
      <c r="K8" s="436"/>
      <c r="L8" s="436"/>
      <c r="M8" s="472"/>
      <c r="N8" s="470"/>
    </row>
    <row r="9" spans="1:22" x14ac:dyDescent="0.25">
      <c r="A9" s="476"/>
      <c r="B9" s="477"/>
      <c r="C9" s="476"/>
      <c r="D9" s="476"/>
      <c r="E9" s="476"/>
      <c r="F9" s="478"/>
      <c r="G9" s="443"/>
      <c r="H9" s="479"/>
      <c r="I9" s="443"/>
      <c r="J9" s="443"/>
      <c r="K9" s="443"/>
      <c r="L9" s="443"/>
      <c r="M9" s="478"/>
      <c r="N9" s="476"/>
      <c r="P9" s="904" t="s">
        <v>359</v>
      </c>
      <c r="Q9" s="905"/>
      <c r="R9" s="905"/>
      <c r="S9" s="905"/>
      <c r="T9" s="905"/>
      <c r="U9" s="905"/>
      <c r="V9" s="906"/>
    </row>
    <row r="10" spans="1:22" x14ac:dyDescent="0.25">
      <c r="A10" s="470"/>
      <c r="B10" s="471" t="s">
        <v>360</v>
      </c>
      <c r="C10" s="470"/>
      <c r="D10" s="470"/>
      <c r="E10" s="470"/>
      <c r="F10" s="472"/>
      <c r="G10" s="436"/>
      <c r="H10" s="480"/>
      <c r="I10" s="447" t="s">
        <v>361</v>
      </c>
      <c r="J10" s="436"/>
      <c r="K10" s="436"/>
      <c r="L10" s="436"/>
      <c r="M10" s="472"/>
      <c r="N10" s="470"/>
      <c r="P10" s="481"/>
      <c r="Q10" s="482"/>
      <c r="R10" s="482"/>
      <c r="S10" s="482"/>
      <c r="T10" s="482"/>
      <c r="U10" s="482"/>
      <c r="V10" s="483"/>
    </row>
    <row r="11" spans="1:22" x14ac:dyDescent="0.25">
      <c r="A11" s="470"/>
      <c r="B11" s="471"/>
      <c r="C11" s="470" t="s">
        <v>362</v>
      </c>
      <c r="D11" s="470"/>
      <c r="E11" s="484" t="s">
        <v>330</v>
      </c>
      <c r="F11" s="485"/>
      <c r="G11" s="486"/>
      <c r="H11" s="487"/>
      <c r="I11" s="470"/>
      <c r="J11" s="470" t="s">
        <v>363</v>
      </c>
      <c r="K11" s="410"/>
      <c r="L11" s="470" t="s">
        <v>330</v>
      </c>
      <c r="M11" s="488"/>
      <c r="N11" s="470"/>
      <c r="P11" s="481">
        <v>1</v>
      </c>
      <c r="Q11" s="482" t="s">
        <v>364</v>
      </c>
      <c r="R11" s="482"/>
      <c r="S11" s="482"/>
      <c r="T11" s="482"/>
      <c r="U11" s="482"/>
      <c r="V11" s="483"/>
    </row>
    <row r="12" spans="1:22" x14ac:dyDescent="0.25">
      <c r="A12" s="470"/>
      <c r="B12" s="471"/>
      <c r="C12" s="470" t="s">
        <v>365</v>
      </c>
      <c r="D12" s="470"/>
      <c r="E12" s="484" t="s">
        <v>330</v>
      </c>
      <c r="F12" s="486">
        <f>-LR!F13</f>
        <v>0</v>
      </c>
      <c r="G12" s="410"/>
      <c r="H12" s="487"/>
      <c r="I12" s="470"/>
      <c r="J12" s="470" t="s">
        <v>366</v>
      </c>
      <c r="K12" s="470"/>
      <c r="L12" s="470" t="s">
        <v>330</v>
      </c>
      <c r="M12" s="488"/>
      <c r="N12" s="470"/>
      <c r="P12" s="481">
        <v>2</v>
      </c>
      <c r="Q12" s="482" t="s">
        <v>367</v>
      </c>
      <c r="R12" s="482"/>
      <c r="S12" s="482"/>
      <c r="T12" s="482"/>
      <c r="U12" s="482"/>
      <c r="V12" s="483"/>
    </row>
    <row r="13" spans="1:22" x14ac:dyDescent="0.25">
      <c r="A13" s="470"/>
      <c r="B13" s="471"/>
      <c r="C13" s="470" t="s">
        <v>368</v>
      </c>
      <c r="D13" s="470"/>
      <c r="E13" s="484" t="s">
        <v>330</v>
      </c>
      <c r="F13" s="488"/>
      <c r="G13" s="486"/>
      <c r="H13" s="487"/>
      <c r="I13" s="470"/>
      <c r="J13" s="470"/>
      <c r="K13" s="470"/>
      <c r="L13" s="470"/>
      <c r="M13" s="470"/>
      <c r="N13" s="470"/>
      <c r="P13" s="481">
        <v>3</v>
      </c>
      <c r="Q13" s="482" t="s">
        <v>369</v>
      </c>
      <c r="R13" s="482"/>
      <c r="S13" s="482"/>
      <c r="T13" s="482"/>
      <c r="U13" s="482"/>
      <c r="V13" s="483"/>
    </row>
    <row r="14" spans="1:22" ht="16.5" x14ac:dyDescent="0.3">
      <c r="A14" s="470"/>
      <c r="B14" s="471"/>
      <c r="C14" s="470"/>
      <c r="D14" s="470"/>
      <c r="E14" s="484"/>
      <c r="F14" s="486"/>
      <c r="G14" s="486"/>
      <c r="H14" s="487"/>
      <c r="I14" s="470"/>
      <c r="J14" s="410"/>
      <c r="K14" s="410"/>
      <c r="L14" s="410"/>
      <c r="M14" s="489"/>
      <c r="N14" s="470"/>
      <c r="P14" s="481">
        <v>4</v>
      </c>
      <c r="Q14" s="482" t="s">
        <v>370</v>
      </c>
      <c r="R14" s="482"/>
      <c r="S14" s="482"/>
      <c r="T14" s="482"/>
      <c r="U14" s="482"/>
      <c r="V14" s="483"/>
    </row>
    <row r="15" spans="1:22" x14ac:dyDescent="0.25">
      <c r="A15" s="470"/>
      <c r="B15" s="471"/>
      <c r="C15" s="470"/>
      <c r="D15" s="470"/>
      <c r="E15" s="484"/>
      <c r="F15" s="490"/>
      <c r="G15" s="470"/>
      <c r="H15" s="487"/>
      <c r="I15" s="470"/>
      <c r="J15" s="470"/>
      <c r="K15" s="470"/>
      <c r="L15" s="470"/>
      <c r="M15" s="491"/>
      <c r="N15" s="470"/>
      <c r="P15" s="481">
        <v>5</v>
      </c>
      <c r="Q15" s="482" t="s">
        <v>371</v>
      </c>
      <c r="R15" s="482"/>
      <c r="S15" s="482"/>
      <c r="T15" s="482"/>
      <c r="U15" s="482"/>
      <c r="V15" s="483"/>
    </row>
    <row r="16" spans="1:22" ht="15.75" thickBot="1" x14ac:dyDescent="0.3">
      <c r="A16" s="470"/>
      <c r="B16" s="471" t="s">
        <v>372</v>
      </c>
      <c r="C16" s="470"/>
      <c r="D16" s="470"/>
      <c r="E16" s="492" t="s">
        <v>330</v>
      </c>
      <c r="F16" s="493">
        <f>SUM(F11:F15)</f>
        <v>0</v>
      </c>
      <c r="G16" s="471"/>
      <c r="H16" s="487"/>
      <c r="I16" s="471" t="s">
        <v>373</v>
      </c>
      <c r="J16" s="470"/>
      <c r="K16" s="470"/>
      <c r="L16" s="471" t="s">
        <v>330</v>
      </c>
      <c r="M16" s="471">
        <f>SUM(M10:M15)</f>
        <v>0</v>
      </c>
      <c r="N16" s="470"/>
      <c r="P16" s="494"/>
      <c r="Q16" s="495"/>
      <c r="R16" s="495"/>
      <c r="S16" s="495"/>
      <c r="T16" s="495"/>
      <c r="U16" s="495"/>
      <c r="V16" s="496"/>
    </row>
    <row r="17" spans="1:22" x14ac:dyDescent="0.25">
      <c r="A17" s="470"/>
      <c r="B17" s="471"/>
      <c r="C17" s="470"/>
      <c r="D17" s="470"/>
      <c r="E17" s="484"/>
      <c r="F17" s="493"/>
      <c r="G17" s="471"/>
      <c r="H17" s="487"/>
      <c r="I17" s="471"/>
      <c r="J17" s="470"/>
      <c r="K17" s="470"/>
      <c r="L17" s="470"/>
      <c r="M17" s="470"/>
      <c r="N17" s="470"/>
      <c r="V17" s="497"/>
    </row>
    <row r="18" spans="1:22" x14ac:dyDescent="0.25">
      <c r="A18" s="470"/>
      <c r="B18" s="471"/>
      <c r="C18" s="470"/>
      <c r="D18" s="470"/>
      <c r="E18" s="484"/>
      <c r="F18" s="493"/>
      <c r="G18" s="471"/>
      <c r="H18" s="487"/>
      <c r="I18" s="471"/>
      <c r="J18" s="470"/>
      <c r="K18" s="470"/>
      <c r="L18" s="470"/>
      <c r="M18" s="470"/>
      <c r="N18" s="470"/>
    </row>
    <row r="19" spans="1:22" x14ac:dyDescent="0.25">
      <c r="A19" s="470"/>
      <c r="B19" s="471"/>
      <c r="C19" s="470"/>
      <c r="D19" s="470"/>
      <c r="E19" s="484"/>
      <c r="F19" s="493"/>
      <c r="G19" s="471"/>
      <c r="H19" s="487"/>
      <c r="I19" s="471"/>
      <c r="J19" s="470"/>
      <c r="K19" s="470"/>
      <c r="L19" s="470"/>
      <c r="M19" s="470"/>
      <c r="N19" s="470"/>
    </row>
    <row r="20" spans="1:22" x14ac:dyDescent="0.25">
      <c r="A20" s="470"/>
      <c r="B20" s="471"/>
      <c r="C20" s="470"/>
      <c r="D20" s="470"/>
      <c r="E20" s="484"/>
      <c r="F20" s="486"/>
      <c r="G20" s="470"/>
      <c r="H20" s="487"/>
      <c r="I20" s="470"/>
      <c r="J20" s="470"/>
      <c r="K20" s="470"/>
      <c r="L20" s="470"/>
      <c r="M20" s="470"/>
      <c r="N20" s="470"/>
    </row>
    <row r="21" spans="1:22" x14ac:dyDescent="0.25">
      <c r="A21" s="470"/>
      <c r="B21" s="471" t="s">
        <v>374</v>
      </c>
      <c r="C21" s="470"/>
      <c r="D21" s="470"/>
      <c r="E21" s="484"/>
      <c r="F21" s="486"/>
      <c r="G21" s="470"/>
      <c r="H21" s="487"/>
      <c r="I21" s="471" t="s">
        <v>375</v>
      </c>
      <c r="J21" s="470"/>
      <c r="K21" s="470"/>
      <c r="L21" s="470"/>
      <c r="M21" s="470"/>
      <c r="N21" s="470"/>
    </row>
    <row r="22" spans="1:22" x14ac:dyDescent="0.25">
      <c r="A22" s="470"/>
      <c r="B22" s="471"/>
      <c r="C22" s="470"/>
      <c r="E22" s="484"/>
      <c r="F22" s="498"/>
      <c r="G22" s="470"/>
      <c r="H22" s="487"/>
      <c r="I22" s="470"/>
      <c r="J22" s="470" t="s">
        <v>376</v>
      </c>
      <c r="K22" s="470"/>
      <c r="L22" s="470" t="s">
        <v>330</v>
      </c>
      <c r="M22" s="470">
        <v>500000000</v>
      </c>
      <c r="N22" s="470"/>
    </row>
    <row r="23" spans="1:22" x14ac:dyDescent="0.25">
      <c r="A23" s="470"/>
      <c r="B23" s="471"/>
      <c r="C23" s="470" t="s">
        <v>377</v>
      </c>
      <c r="E23" s="484" t="s">
        <v>330</v>
      </c>
      <c r="F23" s="498">
        <v>288950000</v>
      </c>
      <c r="G23" s="470"/>
      <c r="H23" s="487"/>
      <c r="I23" s="470"/>
      <c r="J23" s="470" t="s">
        <v>378</v>
      </c>
      <c r="K23" s="470"/>
      <c r="L23" s="470" t="s">
        <v>330</v>
      </c>
      <c r="M23" s="470">
        <v>290018243</v>
      </c>
      <c r="N23" s="470"/>
    </row>
    <row r="24" spans="1:22" x14ac:dyDescent="0.25">
      <c r="A24" s="470"/>
      <c r="B24" s="471"/>
      <c r="C24" s="470" t="s">
        <v>379</v>
      </c>
      <c r="D24" s="470"/>
      <c r="E24" s="499" t="s">
        <v>330</v>
      </c>
      <c r="F24" s="500">
        <f>SUM(F22:F23)</f>
        <v>288950000</v>
      </c>
      <c r="G24" s="470"/>
      <c r="H24" s="487"/>
      <c r="I24" s="470"/>
      <c r="J24" s="470" t="s">
        <v>380</v>
      </c>
      <c r="K24" s="470"/>
      <c r="L24" s="470" t="s">
        <v>330</v>
      </c>
      <c r="M24" s="470">
        <f>LR!H44</f>
        <v>-5687543277</v>
      </c>
      <c r="N24" s="470"/>
    </row>
    <row r="25" spans="1:22" x14ac:dyDescent="0.25">
      <c r="A25" s="470"/>
      <c r="B25" s="471"/>
      <c r="C25" s="470" t="s">
        <v>381</v>
      </c>
      <c r="D25" s="470"/>
      <c r="E25" s="484" t="s">
        <v>330</v>
      </c>
      <c r="F25" s="498">
        <v>-155522914</v>
      </c>
      <c r="G25" s="470"/>
      <c r="H25" s="487"/>
      <c r="I25" s="470"/>
      <c r="J25" s="470" t="s">
        <v>382</v>
      </c>
      <c r="K25" s="470"/>
      <c r="L25" s="470" t="s">
        <v>330</v>
      </c>
      <c r="M25" s="488">
        <v>0</v>
      </c>
      <c r="N25" s="470"/>
    </row>
    <row r="26" spans="1:22" x14ac:dyDescent="0.25">
      <c r="A26" s="470"/>
      <c r="B26" s="471"/>
      <c r="C26" s="470"/>
      <c r="D26" s="470"/>
      <c r="E26" s="484"/>
      <c r="F26" s="491"/>
      <c r="G26" s="470"/>
      <c r="H26" s="487"/>
      <c r="I26" s="470"/>
      <c r="J26" s="470"/>
      <c r="K26" s="470"/>
      <c r="L26" s="470"/>
      <c r="M26" s="491"/>
      <c r="N26" s="470"/>
    </row>
    <row r="27" spans="1:22" x14ac:dyDescent="0.25">
      <c r="A27" s="470"/>
      <c r="B27" s="470"/>
      <c r="C27" s="471" t="s">
        <v>383</v>
      </c>
      <c r="D27" s="470"/>
      <c r="E27" s="492" t="s">
        <v>330</v>
      </c>
      <c r="F27" s="471">
        <f>SUM(F24:F25)</f>
        <v>133427086</v>
      </c>
      <c r="G27" s="471"/>
      <c r="H27" s="487"/>
      <c r="I27" s="471" t="s">
        <v>384</v>
      </c>
      <c r="J27" s="470"/>
      <c r="K27" s="470"/>
      <c r="L27" s="471" t="s">
        <v>330</v>
      </c>
      <c r="M27" s="471">
        <f>SUM(M22:M25)</f>
        <v>-4897525034</v>
      </c>
      <c r="N27" s="470"/>
    </row>
    <row r="28" spans="1:22" x14ac:dyDescent="0.25">
      <c r="A28" s="470"/>
      <c r="B28" s="471"/>
      <c r="C28" s="470"/>
      <c r="D28" s="470"/>
      <c r="E28" s="484"/>
      <c r="F28" s="470"/>
      <c r="G28" s="470"/>
      <c r="H28" s="487"/>
      <c r="I28" s="470"/>
      <c r="J28" s="470"/>
      <c r="K28" s="470"/>
      <c r="L28" s="470"/>
      <c r="M28" s="470"/>
      <c r="N28" s="470"/>
    </row>
    <row r="29" spans="1:22" ht="15.75" thickBot="1" x14ac:dyDescent="0.3">
      <c r="A29" s="471"/>
      <c r="B29" s="471" t="s">
        <v>385</v>
      </c>
      <c r="C29" s="471"/>
      <c r="D29" s="471"/>
      <c r="E29" s="501" t="s">
        <v>330</v>
      </c>
      <c r="F29" s="502">
        <f>SUM(F16,F27)</f>
        <v>133427086</v>
      </c>
      <c r="G29" s="471"/>
      <c r="H29" s="503"/>
      <c r="I29" s="471" t="s">
        <v>386</v>
      </c>
      <c r="J29" s="471"/>
      <c r="K29" s="471"/>
      <c r="L29" s="502" t="s">
        <v>330</v>
      </c>
      <c r="M29" s="502">
        <f>M16+M27+M19</f>
        <v>-4897525034</v>
      </c>
      <c r="N29" s="471"/>
    </row>
    <row r="30" spans="1:22" ht="15.75" thickTop="1" x14ac:dyDescent="0.25">
      <c r="A30" s="470"/>
      <c r="B30" s="471"/>
      <c r="C30" s="470"/>
      <c r="D30" s="470"/>
      <c r="E30" s="470"/>
      <c r="F30" s="472"/>
      <c r="G30" s="436"/>
      <c r="H30" s="480"/>
      <c r="I30" s="436"/>
      <c r="J30" s="436"/>
      <c r="K30" s="436"/>
      <c r="L30" s="436"/>
      <c r="M30" s="472"/>
      <c r="N30" s="470"/>
    </row>
    <row r="31" spans="1:22" x14ac:dyDescent="0.25">
      <c r="A31" s="491"/>
      <c r="B31" s="504"/>
      <c r="C31" s="491"/>
      <c r="D31" s="491"/>
      <c r="E31" s="491"/>
      <c r="F31" s="505"/>
      <c r="G31" s="450"/>
      <c r="H31" s="506"/>
      <c r="I31" s="450"/>
      <c r="J31" s="450"/>
      <c r="K31" s="507"/>
      <c r="L31" s="507"/>
      <c r="M31" s="508"/>
      <c r="N31" s="491"/>
    </row>
    <row r="32" spans="1:22" x14ac:dyDescent="0.25">
      <c r="A32" s="470"/>
      <c r="B32" s="471"/>
      <c r="C32" s="470"/>
      <c r="D32" s="470"/>
      <c r="E32" s="470"/>
      <c r="F32" s="472"/>
      <c r="G32" s="436"/>
      <c r="H32" s="436"/>
      <c r="I32" s="436"/>
      <c r="J32" s="436"/>
      <c r="K32" s="436"/>
      <c r="L32" s="436"/>
      <c r="M32" s="472"/>
      <c r="N32" s="470"/>
    </row>
    <row r="33" spans="1:14" x14ac:dyDescent="0.25">
      <c r="A33" s="470"/>
      <c r="B33" s="471"/>
      <c r="C33" s="470"/>
      <c r="D33" s="470"/>
      <c r="E33" s="470"/>
      <c r="F33" s="472"/>
      <c r="G33" s="436"/>
      <c r="H33" s="436"/>
      <c r="I33" s="436"/>
      <c r="J33" s="436"/>
      <c r="K33" s="907" t="s">
        <v>629</v>
      </c>
      <c r="L33" s="907"/>
      <c r="M33" s="907"/>
      <c r="N33" s="470"/>
    </row>
    <row r="34" spans="1:14" x14ac:dyDescent="0.25">
      <c r="A34" s="470"/>
      <c r="B34" s="471"/>
      <c r="C34" s="470"/>
      <c r="D34" s="470"/>
      <c r="E34" s="470"/>
      <c r="F34" s="472"/>
      <c r="G34" s="436"/>
      <c r="H34" s="436"/>
      <c r="I34" s="436"/>
      <c r="J34" s="436"/>
      <c r="K34" s="908" t="str">
        <f>A2</f>
        <v>CV. ARTO MORO</v>
      </c>
      <c r="L34" s="908"/>
      <c r="M34" s="908"/>
      <c r="N34" s="470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F126" sqref="F126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210</v>
      </c>
    </row>
    <row r="2" spans="1:7" x14ac:dyDescent="0.2">
      <c r="A2" s="41" t="s">
        <v>169</v>
      </c>
    </row>
    <row r="3" spans="1:7" x14ac:dyDescent="0.2">
      <c r="A3" s="41" t="s">
        <v>387</v>
      </c>
    </row>
    <row r="5" spans="1:7" s="172" customFormat="1" ht="15.75" x14ac:dyDescent="0.25">
      <c r="A5" s="216" t="s">
        <v>32</v>
      </c>
      <c r="B5" s="216" t="s">
        <v>173</v>
      </c>
      <c r="C5" s="216" t="s">
        <v>175</v>
      </c>
      <c r="D5" s="216" t="s">
        <v>168</v>
      </c>
      <c r="E5" s="216" t="s">
        <v>96</v>
      </c>
      <c r="F5" s="217" t="s">
        <v>38</v>
      </c>
    </row>
    <row r="6" spans="1:7" x14ac:dyDescent="0.2">
      <c r="A6" s="110">
        <v>1</v>
      </c>
      <c r="B6" s="110"/>
      <c r="C6" s="110"/>
      <c r="D6" s="424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424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11" t="s">
        <v>236</v>
      </c>
      <c r="B16" s="812"/>
      <c r="C16" s="812"/>
      <c r="D16" s="812"/>
      <c r="E16" s="813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11" t="s">
        <v>237</v>
      </c>
      <c r="B27" s="812"/>
      <c r="C27" s="812"/>
      <c r="D27" s="812"/>
      <c r="E27" s="813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11" t="s">
        <v>289</v>
      </c>
      <c r="B38" s="812"/>
      <c r="C38" s="812"/>
      <c r="D38" s="812"/>
      <c r="E38" s="813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11" t="s">
        <v>290</v>
      </c>
      <c r="B49" s="812"/>
      <c r="C49" s="812"/>
      <c r="D49" s="812"/>
      <c r="E49" s="813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11" t="s">
        <v>291</v>
      </c>
      <c r="B60" s="812"/>
      <c r="C60" s="812"/>
      <c r="D60" s="812"/>
      <c r="E60" s="813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11" t="s">
        <v>292</v>
      </c>
      <c r="B71" s="812"/>
      <c r="C71" s="812"/>
      <c r="D71" s="812"/>
      <c r="E71" s="813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11" t="s">
        <v>293</v>
      </c>
      <c r="B82" s="812"/>
      <c r="C82" s="812"/>
      <c r="D82" s="812"/>
      <c r="E82" s="813"/>
      <c r="F82" s="114"/>
    </row>
    <row r="83" spans="1:7" ht="15" thickTop="1" x14ac:dyDescent="0.2">
      <c r="A83" s="110">
        <v>1</v>
      </c>
      <c r="B83" s="110"/>
      <c r="C83" s="110"/>
      <c r="D83" s="424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424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11" t="s">
        <v>294</v>
      </c>
      <c r="B93" s="812"/>
      <c r="C93" s="812"/>
      <c r="D93" s="812"/>
      <c r="E93" s="813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11" t="s">
        <v>295</v>
      </c>
      <c r="B104" s="812"/>
      <c r="C104" s="812"/>
      <c r="D104" s="812"/>
      <c r="E104" s="813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11" t="s">
        <v>296</v>
      </c>
      <c r="B115" s="812"/>
      <c r="C115" s="812"/>
      <c r="D115" s="812"/>
      <c r="E115" s="813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11" t="s">
        <v>217</v>
      </c>
      <c r="B126" s="812"/>
      <c r="C126" s="812"/>
      <c r="D126" s="812"/>
      <c r="E126" s="813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11" t="s">
        <v>218</v>
      </c>
      <c r="B137" s="812"/>
      <c r="C137" s="812"/>
      <c r="D137" s="812"/>
      <c r="E137" s="813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9.7109375" style="218" bestFit="1" customWidth="1"/>
    <col min="2" max="2" width="9.85546875" style="226" customWidth="1"/>
    <col min="3" max="3" width="31.7109375" style="218" customWidth="1"/>
    <col min="4" max="4" width="13.7109375" style="227" customWidth="1"/>
    <col min="5" max="5" width="17.85546875" style="227" customWidth="1"/>
    <col min="6" max="6" width="18.7109375" style="229" customWidth="1"/>
    <col min="7" max="7" width="15.5703125" style="218" bestFit="1" customWidth="1"/>
    <col min="8" max="8" width="14" style="218" bestFit="1" customWidth="1"/>
    <col min="9" max="16384" width="9.140625" style="218"/>
  </cols>
  <sheetData>
    <row r="1" spans="1:6" ht="20.25" x14ac:dyDescent="0.2">
      <c r="B1" s="814" t="s">
        <v>210</v>
      </c>
      <c r="C1" s="814"/>
      <c r="D1" s="814"/>
      <c r="E1" s="814"/>
      <c r="F1" s="814"/>
    </row>
    <row r="2" spans="1:6" ht="18" x14ac:dyDescent="0.2">
      <c r="B2" s="815" t="s">
        <v>171</v>
      </c>
      <c r="C2" s="815"/>
      <c r="D2" s="815"/>
      <c r="E2" s="815"/>
      <c r="F2" s="815"/>
    </row>
    <row r="3" spans="1:6" ht="16.5" thickBot="1" x14ac:dyDescent="0.25">
      <c r="B3" s="816" t="s">
        <v>387</v>
      </c>
      <c r="C3" s="816"/>
      <c r="D3" s="816"/>
      <c r="E3" s="816"/>
      <c r="F3" s="816"/>
    </row>
    <row r="4" spans="1:6" ht="32.25" thickTop="1" x14ac:dyDescent="0.2">
      <c r="A4" s="242" t="s">
        <v>178</v>
      </c>
      <c r="B4" s="240" t="s">
        <v>198</v>
      </c>
      <c r="C4" s="241" t="s">
        <v>177</v>
      </c>
      <c r="D4" s="241" t="s">
        <v>175</v>
      </c>
      <c r="E4" s="241" t="s">
        <v>170</v>
      </c>
      <c r="F4" s="243" t="s">
        <v>38</v>
      </c>
    </row>
    <row r="5" spans="1:6" ht="14.25" x14ac:dyDescent="0.2">
      <c r="A5" s="237" t="s">
        <v>98</v>
      </c>
      <c r="C5" s="232"/>
      <c r="D5" s="224"/>
      <c r="E5" s="224"/>
      <c r="F5" s="233"/>
    </row>
    <row r="6" spans="1:6" x14ac:dyDescent="0.2">
      <c r="A6" s="246"/>
      <c r="B6" s="221"/>
      <c r="C6" s="219"/>
      <c r="D6" s="228"/>
      <c r="E6" s="228"/>
      <c r="F6" s="230"/>
    </row>
    <row r="7" spans="1:6" x14ac:dyDescent="0.2">
      <c r="A7" s="246"/>
      <c r="B7" s="221"/>
      <c r="C7" s="219"/>
      <c r="D7" s="228"/>
      <c r="E7" s="228"/>
      <c r="F7" s="230"/>
    </row>
    <row r="8" spans="1:6" x14ac:dyDescent="0.2">
      <c r="A8" s="246"/>
      <c r="B8" s="221"/>
      <c r="C8" s="219"/>
      <c r="D8" s="228"/>
      <c r="E8" s="228"/>
      <c r="F8" s="230"/>
    </row>
    <row r="9" spans="1:6" x14ac:dyDescent="0.2">
      <c r="A9" s="246"/>
      <c r="B9" s="221"/>
      <c r="C9" s="219"/>
      <c r="D9" s="228"/>
      <c r="E9" s="238"/>
      <c r="F9" s="230"/>
    </row>
    <row r="10" spans="1:6" x14ac:dyDescent="0.2">
      <c r="A10" s="246"/>
      <c r="B10" s="221"/>
      <c r="C10" s="219"/>
      <c r="D10" s="228"/>
      <c r="E10" s="228"/>
      <c r="F10" s="230"/>
    </row>
    <row r="11" spans="1:6" x14ac:dyDescent="0.2">
      <c r="A11" s="246"/>
      <c r="B11" s="221"/>
      <c r="C11" s="223"/>
      <c r="D11" s="228"/>
      <c r="E11" s="228"/>
      <c r="F11" s="230"/>
    </row>
    <row r="12" spans="1:6" x14ac:dyDescent="0.2">
      <c r="A12" s="246"/>
      <c r="B12" s="221"/>
      <c r="C12" s="223"/>
      <c r="D12" s="228"/>
      <c r="E12" s="228"/>
      <c r="F12" s="230"/>
    </row>
    <row r="13" spans="1:6" x14ac:dyDescent="0.2">
      <c r="A13" s="246"/>
      <c r="B13" s="221"/>
      <c r="C13" s="219"/>
      <c r="D13" s="228"/>
      <c r="E13" s="228"/>
      <c r="F13" s="230"/>
    </row>
    <row r="14" spans="1:6" x14ac:dyDescent="0.2">
      <c r="A14" s="246"/>
      <c r="B14" s="221"/>
      <c r="C14" s="219"/>
      <c r="D14" s="228"/>
      <c r="E14" s="228"/>
      <c r="F14" s="230"/>
    </row>
    <row r="15" spans="1:6" x14ac:dyDescent="0.2">
      <c r="A15" s="246"/>
      <c r="B15" s="221"/>
      <c r="C15" s="219"/>
      <c r="D15" s="228"/>
      <c r="E15" s="228"/>
      <c r="F15" s="230"/>
    </row>
    <row r="16" spans="1:6" x14ac:dyDescent="0.2">
      <c r="A16" s="246"/>
      <c r="B16" s="221"/>
      <c r="C16" s="219"/>
      <c r="D16" s="228"/>
      <c r="E16" s="228"/>
      <c r="F16" s="230"/>
    </row>
    <row r="17" spans="1:6" x14ac:dyDescent="0.2">
      <c r="A17" s="246"/>
      <c r="B17" s="221"/>
      <c r="C17" s="219"/>
      <c r="D17" s="228"/>
      <c r="E17" s="228"/>
      <c r="F17" s="230"/>
    </row>
    <row r="18" spans="1:6" x14ac:dyDescent="0.2">
      <c r="A18" s="246"/>
      <c r="B18" s="221"/>
      <c r="C18" s="219"/>
      <c r="D18" s="228"/>
      <c r="E18" s="228"/>
      <c r="F18" s="230"/>
    </row>
    <row r="19" spans="1:6" x14ac:dyDescent="0.2">
      <c r="A19" s="246"/>
      <c r="B19" s="221"/>
      <c r="C19" s="219"/>
      <c r="D19" s="228"/>
      <c r="E19" s="228"/>
      <c r="F19" s="230"/>
    </row>
    <row r="20" spans="1:6" x14ac:dyDescent="0.2">
      <c r="A20" s="246"/>
      <c r="B20" s="221"/>
      <c r="C20" s="219"/>
      <c r="D20" s="228"/>
      <c r="E20" s="228"/>
      <c r="F20" s="230"/>
    </row>
    <row r="21" spans="1:6" x14ac:dyDescent="0.2">
      <c r="A21" s="246"/>
      <c r="B21" s="221"/>
      <c r="C21" s="219"/>
      <c r="D21" s="228"/>
      <c r="E21" s="228"/>
      <c r="F21" s="230"/>
    </row>
    <row r="22" spans="1:6" x14ac:dyDescent="0.2">
      <c r="A22" s="246"/>
      <c r="B22" s="221"/>
      <c r="C22" s="219"/>
      <c r="D22" s="228"/>
      <c r="E22" s="228"/>
      <c r="F22" s="230"/>
    </row>
    <row r="23" spans="1:6" x14ac:dyDescent="0.2">
      <c r="A23" s="246"/>
      <c r="B23" s="221"/>
      <c r="C23" s="219"/>
      <c r="D23" s="228"/>
      <c r="E23" s="228"/>
      <c r="F23" s="230"/>
    </row>
    <row r="24" spans="1:6" x14ac:dyDescent="0.2">
      <c r="A24" s="246"/>
      <c r="B24" s="222"/>
      <c r="C24" s="219"/>
      <c r="D24" s="228"/>
      <c r="E24" s="238"/>
      <c r="F24" s="230"/>
    </row>
    <row r="25" spans="1:6" x14ac:dyDescent="0.2">
      <c r="A25" s="246"/>
      <c r="B25" s="222"/>
      <c r="C25" s="219"/>
      <c r="D25" s="228"/>
      <c r="E25" s="238"/>
      <c r="F25" s="230"/>
    </row>
    <row r="26" spans="1:6" x14ac:dyDescent="0.2">
      <c r="A26" s="246"/>
      <c r="B26" s="222"/>
      <c r="C26" s="219"/>
      <c r="D26" s="228"/>
      <c r="E26" s="238"/>
      <c r="F26" s="230"/>
    </row>
    <row r="27" spans="1:6" x14ac:dyDescent="0.2">
      <c r="A27" s="246"/>
      <c r="B27" s="222"/>
      <c r="C27" s="219"/>
      <c r="D27" s="228"/>
      <c r="E27" s="228"/>
      <c r="F27" s="230"/>
    </row>
    <row r="28" spans="1:6" x14ac:dyDescent="0.2">
      <c r="A28" s="246"/>
      <c r="B28" s="222"/>
      <c r="C28" s="219"/>
      <c r="D28" s="228"/>
      <c r="E28" s="228"/>
      <c r="F28" s="230"/>
    </row>
    <row r="29" spans="1:6" x14ac:dyDescent="0.2">
      <c r="A29" s="246"/>
      <c r="B29" s="222"/>
      <c r="C29" s="219"/>
      <c r="D29" s="228"/>
      <c r="E29" s="238"/>
      <c r="F29" s="230"/>
    </row>
    <row r="30" spans="1:6" x14ac:dyDescent="0.2">
      <c r="A30" s="246"/>
      <c r="B30" s="222"/>
      <c r="C30" s="219"/>
      <c r="D30" s="228"/>
      <c r="E30" s="228"/>
      <c r="F30" s="230"/>
    </row>
    <row r="31" spans="1:6" x14ac:dyDescent="0.2">
      <c r="A31" s="246"/>
      <c r="B31" s="222"/>
      <c r="C31" s="219"/>
      <c r="D31" s="228"/>
      <c r="E31" s="228"/>
      <c r="F31" s="230"/>
    </row>
    <row r="32" spans="1:6" x14ac:dyDescent="0.2">
      <c r="A32" s="246"/>
      <c r="B32" s="222"/>
      <c r="C32" s="219"/>
      <c r="D32" s="228"/>
      <c r="E32" s="228"/>
      <c r="F32" s="230"/>
    </row>
    <row r="33" spans="1:6" x14ac:dyDescent="0.2">
      <c r="A33" s="246"/>
      <c r="B33" s="222"/>
      <c r="C33" s="219"/>
      <c r="D33" s="228"/>
      <c r="E33" s="228"/>
      <c r="F33" s="230"/>
    </row>
    <row r="34" spans="1:6" x14ac:dyDescent="0.2">
      <c r="A34" s="246"/>
      <c r="B34" s="222"/>
      <c r="C34" s="219"/>
      <c r="D34" s="228"/>
      <c r="E34" s="228"/>
      <c r="F34" s="230"/>
    </row>
    <row r="35" spans="1:6" x14ac:dyDescent="0.2">
      <c r="A35" s="246"/>
      <c r="B35" s="222"/>
      <c r="C35" s="219"/>
      <c r="D35" s="228"/>
      <c r="E35" s="228"/>
      <c r="F35" s="230"/>
    </row>
    <row r="36" spans="1:6" x14ac:dyDescent="0.2">
      <c r="A36" s="246"/>
      <c r="B36" s="222"/>
      <c r="C36" s="219"/>
      <c r="D36" s="228"/>
      <c r="E36" s="228"/>
      <c r="F36" s="230"/>
    </row>
    <row r="37" spans="1:6" x14ac:dyDescent="0.2">
      <c r="A37" s="246"/>
      <c r="B37" s="222"/>
      <c r="C37" s="219"/>
      <c r="D37" s="228"/>
      <c r="E37" s="228"/>
      <c r="F37" s="230"/>
    </row>
    <row r="38" spans="1:6" x14ac:dyDescent="0.2">
      <c r="A38" s="246"/>
      <c r="B38" s="222"/>
      <c r="C38" s="219"/>
      <c r="D38" s="228"/>
      <c r="E38" s="228"/>
      <c r="F38" s="230"/>
    </row>
    <row r="39" spans="1:6" x14ac:dyDescent="0.2">
      <c r="A39" s="246"/>
      <c r="B39" s="222"/>
      <c r="C39" s="219"/>
      <c r="D39" s="228"/>
      <c r="E39" s="228"/>
      <c r="F39" s="230"/>
    </row>
    <row r="40" spans="1:6" x14ac:dyDescent="0.2">
      <c r="A40" s="246"/>
      <c r="B40" s="222"/>
      <c r="C40" s="219"/>
      <c r="D40" s="228"/>
      <c r="E40" s="228"/>
      <c r="F40" s="230"/>
    </row>
    <row r="41" spans="1:6" x14ac:dyDescent="0.2">
      <c r="A41" s="246"/>
      <c r="B41" s="222"/>
      <c r="C41" s="219"/>
      <c r="D41" s="228"/>
      <c r="E41" s="228"/>
      <c r="F41" s="230"/>
    </row>
    <row r="42" spans="1:6" x14ac:dyDescent="0.2">
      <c r="A42" s="246"/>
      <c r="B42" s="222"/>
      <c r="C42" s="219"/>
      <c r="D42" s="228"/>
      <c r="E42" s="228"/>
      <c r="F42" s="230"/>
    </row>
    <row r="43" spans="1:6" x14ac:dyDescent="0.2">
      <c r="A43" s="246"/>
      <c r="B43" s="222"/>
      <c r="C43" s="219"/>
      <c r="D43" s="228"/>
      <c r="E43" s="228"/>
      <c r="F43" s="230"/>
    </row>
    <row r="44" spans="1:6" x14ac:dyDescent="0.2">
      <c r="A44" s="246"/>
      <c r="B44" s="222"/>
      <c r="C44" s="219"/>
      <c r="D44" s="228"/>
      <c r="E44" s="228"/>
      <c r="F44" s="230"/>
    </row>
    <row r="45" spans="1:6" x14ac:dyDescent="0.2">
      <c r="A45" s="246"/>
      <c r="B45" s="222"/>
      <c r="C45" s="219"/>
      <c r="D45" s="228"/>
      <c r="E45" s="228"/>
      <c r="F45" s="230"/>
    </row>
    <row r="46" spans="1:6" x14ac:dyDescent="0.2">
      <c r="A46" s="246"/>
      <c r="B46" s="222"/>
      <c r="C46" s="219"/>
      <c r="D46" s="228"/>
      <c r="E46" s="228"/>
      <c r="F46" s="230"/>
    </row>
    <row r="47" spans="1:6" x14ac:dyDescent="0.2">
      <c r="A47" s="246"/>
      <c r="B47" s="222"/>
      <c r="C47" s="219"/>
      <c r="D47" s="228"/>
      <c r="E47" s="228"/>
      <c r="F47" s="230"/>
    </row>
    <row r="48" spans="1:6" x14ac:dyDescent="0.2">
      <c r="A48" s="246"/>
      <c r="B48" s="222"/>
      <c r="C48" s="219"/>
      <c r="D48" s="228"/>
      <c r="E48" s="228"/>
      <c r="F48" s="230"/>
    </row>
    <row r="49" spans="1:6" x14ac:dyDescent="0.2">
      <c r="A49" s="246"/>
      <c r="B49" s="222"/>
      <c r="C49" s="219"/>
      <c r="D49" s="228"/>
      <c r="E49" s="228"/>
      <c r="F49" s="230"/>
    </row>
    <row r="50" spans="1:6" x14ac:dyDescent="0.2">
      <c r="A50" s="246"/>
      <c r="B50" s="222"/>
      <c r="C50" s="219"/>
      <c r="D50" s="228"/>
      <c r="E50" s="238"/>
      <c r="F50" s="230"/>
    </row>
    <row r="51" spans="1:6" x14ac:dyDescent="0.2">
      <c r="A51" s="246"/>
      <c r="B51" s="222"/>
      <c r="C51" s="219"/>
      <c r="D51" s="228"/>
      <c r="E51" s="238"/>
      <c r="F51" s="230"/>
    </row>
    <row r="52" spans="1:6" x14ac:dyDescent="0.2">
      <c r="A52" s="246"/>
      <c r="B52" s="222"/>
      <c r="C52" s="219"/>
      <c r="D52" s="228"/>
      <c r="E52" s="238"/>
      <c r="F52" s="230"/>
    </row>
    <row r="53" spans="1:6" x14ac:dyDescent="0.2">
      <c r="A53" s="246"/>
      <c r="B53" s="222"/>
      <c r="C53" s="219"/>
      <c r="D53" s="228"/>
      <c r="E53" s="228"/>
      <c r="F53" s="230"/>
    </row>
    <row r="54" spans="1:6" x14ac:dyDescent="0.2">
      <c r="A54" s="246"/>
      <c r="B54" s="222"/>
      <c r="C54" s="219"/>
      <c r="D54" s="228"/>
      <c r="E54" s="228"/>
      <c r="F54" s="230"/>
    </row>
    <row r="55" spans="1:6" x14ac:dyDescent="0.2">
      <c r="A55" s="246"/>
      <c r="B55" s="222"/>
      <c r="C55" s="219"/>
      <c r="D55" s="228"/>
      <c r="E55" s="228"/>
      <c r="F55" s="230"/>
    </row>
    <row r="56" spans="1:6" x14ac:dyDescent="0.2">
      <c r="A56" s="246"/>
      <c r="B56" s="222"/>
      <c r="C56" s="219"/>
      <c r="D56" s="228"/>
      <c r="E56" s="228"/>
      <c r="F56" s="230"/>
    </row>
    <row r="57" spans="1:6" x14ac:dyDescent="0.2">
      <c r="A57" s="246"/>
      <c r="B57" s="222"/>
      <c r="C57" s="219"/>
      <c r="D57" s="228"/>
      <c r="E57" s="228"/>
      <c r="F57" s="230"/>
    </row>
    <row r="58" spans="1:6" x14ac:dyDescent="0.2">
      <c r="A58" s="246"/>
      <c r="B58" s="222"/>
      <c r="C58" s="219"/>
      <c r="D58" s="228"/>
      <c r="E58" s="228"/>
      <c r="F58" s="230"/>
    </row>
    <row r="59" spans="1:6" x14ac:dyDescent="0.2">
      <c r="A59" s="246"/>
      <c r="B59" s="222"/>
      <c r="C59" s="219"/>
      <c r="D59" s="228"/>
      <c r="E59" s="228"/>
      <c r="F59" s="230"/>
    </row>
    <row r="60" spans="1:6" x14ac:dyDescent="0.2">
      <c r="A60" s="246"/>
      <c r="B60" s="222"/>
      <c r="C60" s="219"/>
      <c r="D60" s="228"/>
      <c r="E60" s="228"/>
      <c r="F60" s="230"/>
    </row>
    <row r="61" spans="1:6" x14ac:dyDescent="0.2">
      <c r="A61" s="246"/>
      <c r="B61" s="222"/>
      <c r="C61" s="219"/>
      <c r="D61" s="228"/>
      <c r="E61" s="228"/>
      <c r="F61" s="230"/>
    </row>
    <row r="62" spans="1:6" x14ac:dyDescent="0.2">
      <c r="A62" s="246"/>
      <c r="B62" s="222"/>
      <c r="C62" s="219"/>
      <c r="D62" s="228"/>
      <c r="E62" s="228"/>
      <c r="F62" s="230"/>
    </row>
    <row r="63" spans="1:6" x14ac:dyDescent="0.2">
      <c r="A63" s="246"/>
      <c r="B63" s="222"/>
      <c r="C63" s="219"/>
      <c r="D63" s="228"/>
      <c r="E63" s="228"/>
      <c r="F63" s="230"/>
    </row>
    <row r="64" spans="1:6" x14ac:dyDescent="0.2">
      <c r="A64" s="246"/>
      <c r="B64" s="222"/>
      <c r="C64" s="219"/>
      <c r="D64" s="228"/>
      <c r="E64" s="228"/>
      <c r="F64" s="230"/>
    </row>
    <row r="65" spans="1:6" x14ac:dyDescent="0.2">
      <c r="A65" s="246"/>
      <c r="B65" s="222"/>
      <c r="C65" s="219"/>
      <c r="D65" s="228"/>
      <c r="E65" s="228"/>
      <c r="F65" s="230"/>
    </row>
    <row r="66" spans="1:6" x14ac:dyDescent="0.2">
      <c r="A66" s="246"/>
      <c r="B66" s="222"/>
      <c r="C66" s="219"/>
      <c r="D66" s="228"/>
      <c r="E66" s="228"/>
      <c r="F66" s="230"/>
    </row>
    <row r="67" spans="1:6" x14ac:dyDescent="0.2">
      <c r="A67" s="246"/>
      <c r="B67" s="224"/>
      <c r="C67" s="219"/>
      <c r="D67" s="228"/>
      <c r="E67" s="228"/>
      <c r="F67" s="230"/>
    </row>
    <row r="68" spans="1:6" ht="13.5" thickBot="1" x14ac:dyDescent="0.25">
      <c r="A68" s="239"/>
      <c r="B68" s="225" t="s">
        <v>38</v>
      </c>
      <c r="C68" s="220"/>
      <c r="D68" s="220"/>
      <c r="E68" s="220"/>
      <c r="F68" s="231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showGridLines="0" workbookViewId="0">
      <pane ySplit="4" topLeftCell="A204" activePane="bottomLeft" state="frozen"/>
      <selection pane="bottomLeft" activeCell="I221" sqref="I221"/>
    </sheetView>
  </sheetViews>
  <sheetFormatPr defaultRowHeight="12.75" x14ac:dyDescent="0.25"/>
  <cols>
    <col min="1" max="1" width="5.7109375" style="302" customWidth="1"/>
    <col min="2" max="2" width="9.7109375" style="304" customWidth="1"/>
    <col min="3" max="3" width="5.28515625" style="305" customWidth="1"/>
    <col min="4" max="4" width="7.7109375" style="306" customWidth="1"/>
    <col min="5" max="5" width="8.28515625" style="306" customWidth="1"/>
    <col min="6" max="6" width="27.7109375" style="302" customWidth="1"/>
    <col min="7" max="8" width="20.7109375" style="302" customWidth="1"/>
    <col min="9" max="9" width="18.28515625" style="302" customWidth="1"/>
    <col min="10" max="10" width="55.7109375" style="686" customWidth="1"/>
    <col min="11" max="11" width="38.28515625" style="301" bestFit="1" customWidth="1"/>
    <col min="12" max="12" width="1.42578125" style="301" customWidth="1"/>
    <col min="13" max="14" width="18.85546875" style="301" bestFit="1" customWidth="1"/>
    <col min="15" max="15" width="9.140625" style="301"/>
    <col min="16" max="259" width="9.140625" style="302"/>
    <col min="260" max="260" width="6.7109375" style="302" customWidth="1"/>
    <col min="261" max="261" width="11.85546875" style="302" customWidth="1"/>
    <col min="262" max="262" width="42.28515625" style="302" bestFit="1" customWidth="1"/>
    <col min="263" max="263" width="18.5703125" style="302" bestFit="1" customWidth="1"/>
    <col min="264" max="264" width="19.140625" style="302" bestFit="1" customWidth="1"/>
    <col min="265" max="265" width="19.42578125" style="302" bestFit="1" customWidth="1"/>
    <col min="266" max="266" width="9.140625" style="302"/>
    <col min="267" max="267" width="38.28515625" style="302" bestFit="1" customWidth="1"/>
    <col min="268" max="268" width="1.42578125" style="302" customWidth="1"/>
    <col min="269" max="270" width="18.85546875" style="302" bestFit="1" customWidth="1"/>
    <col min="271" max="515" width="9.140625" style="302"/>
    <col min="516" max="516" width="6.7109375" style="302" customWidth="1"/>
    <col min="517" max="517" width="11.85546875" style="302" customWidth="1"/>
    <col min="518" max="518" width="42.28515625" style="302" bestFit="1" customWidth="1"/>
    <col min="519" max="519" width="18.5703125" style="302" bestFit="1" customWidth="1"/>
    <col min="520" max="520" width="19.140625" style="302" bestFit="1" customWidth="1"/>
    <col min="521" max="521" width="19.42578125" style="302" bestFit="1" customWidth="1"/>
    <col min="522" max="522" width="9.140625" style="302"/>
    <col min="523" max="523" width="38.28515625" style="302" bestFit="1" customWidth="1"/>
    <col min="524" max="524" width="1.42578125" style="302" customWidth="1"/>
    <col min="525" max="526" width="18.85546875" style="302" bestFit="1" customWidth="1"/>
    <col min="527" max="771" width="9.140625" style="302"/>
    <col min="772" max="772" width="6.7109375" style="302" customWidth="1"/>
    <col min="773" max="773" width="11.85546875" style="302" customWidth="1"/>
    <col min="774" max="774" width="42.28515625" style="302" bestFit="1" customWidth="1"/>
    <col min="775" max="775" width="18.5703125" style="302" bestFit="1" customWidth="1"/>
    <col min="776" max="776" width="19.140625" style="302" bestFit="1" customWidth="1"/>
    <col min="777" max="777" width="19.42578125" style="302" bestFit="1" customWidth="1"/>
    <col min="778" max="778" width="9.140625" style="302"/>
    <col min="779" max="779" width="38.28515625" style="302" bestFit="1" customWidth="1"/>
    <col min="780" max="780" width="1.42578125" style="302" customWidth="1"/>
    <col min="781" max="782" width="18.85546875" style="302" bestFit="1" customWidth="1"/>
    <col min="783" max="1027" width="9.140625" style="302"/>
    <col min="1028" max="1028" width="6.7109375" style="302" customWidth="1"/>
    <col min="1029" max="1029" width="11.85546875" style="302" customWidth="1"/>
    <col min="1030" max="1030" width="42.28515625" style="302" bestFit="1" customWidth="1"/>
    <col min="1031" max="1031" width="18.5703125" style="302" bestFit="1" customWidth="1"/>
    <col min="1032" max="1032" width="19.140625" style="302" bestFit="1" customWidth="1"/>
    <col min="1033" max="1033" width="19.42578125" style="302" bestFit="1" customWidth="1"/>
    <col min="1034" max="1034" width="9.140625" style="302"/>
    <col min="1035" max="1035" width="38.28515625" style="302" bestFit="1" customWidth="1"/>
    <col min="1036" max="1036" width="1.42578125" style="302" customWidth="1"/>
    <col min="1037" max="1038" width="18.85546875" style="302" bestFit="1" customWidth="1"/>
    <col min="1039" max="1283" width="9.140625" style="302"/>
    <col min="1284" max="1284" width="6.7109375" style="302" customWidth="1"/>
    <col min="1285" max="1285" width="11.85546875" style="302" customWidth="1"/>
    <col min="1286" max="1286" width="42.28515625" style="302" bestFit="1" customWidth="1"/>
    <col min="1287" max="1287" width="18.5703125" style="302" bestFit="1" customWidth="1"/>
    <col min="1288" max="1288" width="19.140625" style="302" bestFit="1" customWidth="1"/>
    <col min="1289" max="1289" width="19.42578125" style="302" bestFit="1" customWidth="1"/>
    <col min="1290" max="1290" width="9.140625" style="302"/>
    <col min="1291" max="1291" width="38.28515625" style="302" bestFit="1" customWidth="1"/>
    <col min="1292" max="1292" width="1.42578125" style="302" customWidth="1"/>
    <col min="1293" max="1294" width="18.85546875" style="302" bestFit="1" customWidth="1"/>
    <col min="1295" max="1539" width="9.140625" style="302"/>
    <col min="1540" max="1540" width="6.7109375" style="302" customWidth="1"/>
    <col min="1541" max="1541" width="11.85546875" style="302" customWidth="1"/>
    <col min="1542" max="1542" width="42.28515625" style="302" bestFit="1" customWidth="1"/>
    <col min="1543" max="1543" width="18.5703125" style="302" bestFit="1" customWidth="1"/>
    <col min="1544" max="1544" width="19.140625" style="302" bestFit="1" customWidth="1"/>
    <col min="1545" max="1545" width="19.42578125" style="302" bestFit="1" customWidth="1"/>
    <col min="1546" max="1546" width="9.140625" style="302"/>
    <col min="1547" max="1547" width="38.28515625" style="302" bestFit="1" customWidth="1"/>
    <col min="1548" max="1548" width="1.42578125" style="302" customWidth="1"/>
    <col min="1549" max="1550" width="18.85546875" style="302" bestFit="1" customWidth="1"/>
    <col min="1551" max="1795" width="9.140625" style="302"/>
    <col min="1796" max="1796" width="6.7109375" style="302" customWidth="1"/>
    <col min="1797" max="1797" width="11.85546875" style="302" customWidth="1"/>
    <col min="1798" max="1798" width="42.28515625" style="302" bestFit="1" customWidth="1"/>
    <col min="1799" max="1799" width="18.5703125" style="302" bestFit="1" customWidth="1"/>
    <col min="1800" max="1800" width="19.140625" style="302" bestFit="1" customWidth="1"/>
    <col min="1801" max="1801" width="19.42578125" style="302" bestFit="1" customWidth="1"/>
    <col min="1802" max="1802" width="9.140625" style="302"/>
    <col min="1803" max="1803" width="38.28515625" style="302" bestFit="1" customWidth="1"/>
    <col min="1804" max="1804" width="1.42578125" style="302" customWidth="1"/>
    <col min="1805" max="1806" width="18.85546875" style="302" bestFit="1" customWidth="1"/>
    <col min="1807" max="2051" width="9.140625" style="302"/>
    <col min="2052" max="2052" width="6.7109375" style="302" customWidth="1"/>
    <col min="2053" max="2053" width="11.85546875" style="302" customWidth="1"/>
    <col min="2054" max="2054" width="42.28515625" style="302" bestFit="1" customWidth="1"/>
    <col min="2055" max="2055" width="18.5703125" style="302" bestFit="1" customWidth="1"/>
    <col min="2056" max="2056" width="19.140625" style="302" bestFit="1" customWidth="1"/>
    <col min="2057" max="2057" width="19.42578125" style="302" bestFit="1" customWidth="1"/>
    <col min="2058" max="2058" width="9.140625" style="302"/>
    <col min="2059" max="2059" width="38.28515625" style="302" bestFit="1" customWidth="1"/>
    <col min="2060" max="2060" width="1.42578125" style="302" customWidth="1"/>
    <col min="2061" max="2062" width="18.85546875" style="302" bestFit="1" customWidth="1"/>
    <col min="2063" max="2307" width="9.140625" style="302"/>
    <col min="2308" max="2308" width="6.7109375" style="302" customWidth="1"/>
    <col min="2309" max="2309" width="11.85546875" style="302" customWidth="1"/>
    <col min="2310" max="2310" width="42.28515625" style="302" bestFit="1" customWidth="1"/>
    <col min="2311" max="2311" width="18.5703125" style="302" bestFit="1" customWidth="1"/>
    <col min="2312" max="2312" width="19.140625" style="302" bestFit="1" customWidth="1"/>
    <col min="2313" max="2313" width="19.42578125" style="302" bestFit="1" customWidth="1"/>
    <col min="2314" max="2314" width="9.140625" style="302"/>
    <col min="2315" max="2315" width="38.28515625" style="302" bestFit="1" customWidth="1"/>
    <col min="2316" max="2316" width="1.42578125" style="302" customWidth="1"/>
    <col min="2317" max="2318" width="18.85546875" style="302" bestFit="1" customWidth="1"/>
    <col min="2319" max="2563" width="9.140625" style="302"/>
    <col min="2564" max="2564" width="6.7109375" style="302" customWidth="1"/>
    <col min="2565" max="2565" width="11.85546875" style="302" customWidth="1"/>
    <col min="2566" max="2566" width="42.28515625" style="302" bestFit="1" customWidth="1"/>
    <col min="2567" max="2567" width="18.5703125" style="302" bestFit="1" customWidth="1"/>
    <col min="2568" max="2568" width="19.140625" style="302" bestFit="1" customWidth="1"/>
    <col min="2569" max="2569" width="19.42578125" style="302" bestFit="1" customWidth="1"/>
    <col min="2570" max="2570" width="9.140625" style="302"/>
    <col min="2571" max="2571" width="38.28515625" style="302" bestFit="1" customWidth="1"/>
    <col min="2572" max="2572" width="1.42578125" style="302" customWidth="1"/>
    <col min="2573" max="2574" width="18.85546875" style="302" bestFit="1" customWidth="1"/>
    <col min="2575" max="2819" width="9.140625" style="302"/>
    <col min="2820" max="2820" width="6.7109375" style="302" customWidth="1"/>
    <col min="2821" max="2821" width="11.85546875" style="302" customWidth="1"/>
    <col min="2822" max="2822" width="42.28515625" style="302" bestFit="1" customWidth="1"/>
    <col min="2823" max="2823" width="18.5703125" style="302" bestFit="1" customWidth="1"/>
    <col min="2824" max="2824" width="19.140625" style="302" bestFit="1" customWidth="1"/>
    <col min="2825" max="2825" width="19.42578125" style="302" bestFit="1" customWidth="1"/>
    <col min="2826" max="2826" width="9.140625" style="302"/>
    <col min="2827" max="2827" width="38.28515625" style="302" bestFit="1" customWidth="1"/>
    <col min="2828" max="2828" width="1.42578125" style="302" customWidth="1"/>
    <col min="2829" max="2830" width="18.85546875" style="302" bestFit="1" customWidth="1"/>
    <col min="2831" max="3075" width="9.140625" style="302"/>
    <col min="3076" max="3076" width="6.7109375" style="302" customWidth="1"/>
    <col min="3077" max="3077" width="11.85546875" style="302" customWidth="1"/>
    <col min="3078" max="3078" width="42.28515625" style="302" bestFit="1" customWidth="1"/>
    <col min="3079" max="3079" width="18.5703125" style="302" bestFit="1" customWidth="1"/>
    <col min="3080" max="3080" width="19.140625" style="302" bestFit="1" customWidth="1"/>
    <col min="3081" max="3081" width="19.42578125" style="302" bestFit="1" customWidth="1"/>
    <col min="3082" max="3082" width="9.140625" style="302"/>
    <col min="3083" max="3083" width="38.28515625" style="302" bestFit="1" customWidth="1"/>
    <col min="3084" max="3084" width="1.42578125" style="302" customWidth="1"/>
    <col min="3085" max="3086" width="18.85546875" style="302" bestFit="1" customWidth="1"/>
    <col min="3087" max="3331" width="9.140625" style="302"/>
    <col min="3332" max="3332" width="6.7109375" style="302" customWidth="1"/>
    <col min="3333" max="3333" width="11.85546875" style="302" customWidth="1"/>
    <col min="3334" max="3334" width="42.28515625" style="302" bestFit="1" customWidth="1"/>
    <col min="3335" max="3335" width="18.5703125" style="302" bestFit="1" customWidth="1"/>
    <col min="3336" max="3336" width="19.140625" style="302" bestFit="1" customWidth="1"/>
    <col min="3337" max="3337" width="19.42578125" style="302" bestFit="1" customWidth="1"/>
    <col min="3338" max="3338" width="9.140625" style="302"/>
    <col min="3339" max="3339" width="38.28515625" style="302" bestFit="1" customWidth="1"/>
    <col min="3340" max="3340" width="1.42578125" style="302" customWidth="1"/>
    <col min="3341" max="3342" width="18.85546875" style="302" bestFit="1" customWidth="1"/>
    <col min="3343" max="3587" width="9.140625" style="302"/>
    <col min="3588" max="3588" width="6.7109375" style="302" customWidth="1"/>
    <col min="3589" max="3589" width="11.85546875" style="302" customWidth="1"/>
    <col min="3590" max="3590" width="42.28515625" style="302" bestFit="1" customWidth="1"/>
    <col min="3591" max="3591" width="18.5703125" style="302" bestFit="1" customWidth="1"/>
    <col min="3592" max="3592" width="19.140625" style="302" bestFit="1" customWidth="1"/>
    <col min="3593" max="3593" width="19.42578125" style="302" bestFit="1" customWidth="1"/>
    <col min="3594" max="3594" width="9.140625" style="302"/>
    <col min="3595" max="3595" width="38.28515625" style="302" bestFit="1" customWidth="1"/>
    <col min="3596" max="3596" width="1.42578125" style="302" customWidth="1"/>
    <col min="3597" max="3598" width="18.85546875" style="302" bestFit="1" customWidth="1"/>
    <col min="3599" max="3843" width="9.140625" style="302"/>
    <col min="3844" max="3844" width="6.7109375" style="302" customWidth="1"/>
    <col min="3845" max="3845" width="11.85546875" style="302" customWidth="1"/>
    <col min="3846" max="3846" width="42.28515625" style="302" bestFit="1" customWidth="1"/>
    <col min="3847" max="3847" width="18.5703125" style="302" bestFit="1" customWidth="1"/>
    <col min="3848" max="3848" width="19.140625" style="302" bestFit="1" customWidth="1"/>
    <col min="3849" max="3849" width="19.42578125" style="302" bestFit="1" customWidth="1"/>
    <col min="3850" max="3850" width="9.140625" style="302"/>
    <col min="3851" max="3851" width="38.28515625" style="302" bestFit="1" customWidth="1"/>
    <col min="3852" max="3852" width="1.42578125" style="302" customWidth="1"/>
    <col min="3853" max="3854" width="18.85546875" style="302" bestFit="1" customWidth="1"/>
    <col min="3855" max="4099" width="9.140625" style="302"/>
    <col min="4100" max="4100" width="6.7109375" style="302" customWidth="1"/>
    <col min="4101" max="4101" width="11.85546875" style="302" customWidth="1"/>
    <col min="4102" max="4102" width="42.28515625" style="302" bestFit="1" customWidth="1"/>
    <col min="4103" max="4103" width="18.5703125" style="302" bestFit="1" customWidth="1"/>
    <col min="4104" max="4104" width="19.140625" style="302" bestFit="1" customWidth="1"/>
    <col min="4105" max="4105" width="19.42578125" style="302" bestFit="1" customWidth="1"/>
    <col min="4106" max="4106" width="9.140625" style="302"/>
    <col min="4107" max="4107" width="38.28515625" style="302" bestFit="1" customWidth="1"/>
    <col min="4108" max="4108" width="1.42578125" style="302" customWidth="1"/>
    <col min="4109" max="4110" width="18.85546875" style="302" bestFit="1" customWidth="1"/>
    <col min="4111" max="4355" width="9.140625" style="302"/>
    <col min="4356" max="4356" width="6.7109375" style="302" customWidth="1"/>
    <col min="4357" max="4357" width="11.85546875" style="302" customWidth="1"/>
    <col min="4358" max="4358" width="42.28515625" style="302" bestFit="1" customWidth="1"/>
    <col min="4359" max="4359" width="18.5703125" style="302" bestFit="1" customWidth="1"/>
    <col min="4360" max="4360" width="19.140625" style="302" bestFit="1" customWidth="1"/>
    <col min="4361" max="4361" width="19.42578125" style="302" bestFit="1" customWidth="1"/>
    <col min="4362" max="4362" width="9.140625" style="302"/>
    <col min="4363" max="4363" width="38.28515625" style="302" bestFit="1" customWidth="1"/>
    <col min="4364" max="4364" width="1.42578125" style="302" customWidth="1"/>
    <col min="4365" max="4366" width="18.85546875" style="302" bestFit="1" customWidth="1"/>
    <col min="4367" max="4611" width="9.140625" style="302"/>
    <col min="4612" max="4612" width="6.7109375" style="302" customWidth="1"/>
    <col min="4613" max="4613" width="11.85546875" style="302" customWidth="1"/>
    <col min="4614" max="4614" width="42.28515625" style="302" bestFit="1" customWidth="1"/>
    <col min="4615" max="4615" width="18.5703125" style="302" bestFit="1" customWidth="1"/>
    <col min="4616" max="4616" width="19.140625" style="302" bestFit="1" customWidth="1"/>
    <col min="4617" max="4617" width="19.42578125" style="302" bestFit="1" customWidth="1"/>
    <col min="4618" max="4618" width="9.140625" style="302"/>
    <col min="4619" max="4619" width="38.28515625" style="302" bestFit="1" customWidth="1"/>
    <col min="4620" max="4620" width="1.42578125" style="302" customWidth="1"/>
    <col min="4621" max="4622" width="18.85546875" style="302" bestFit="1" customWidth="1"/>
    <col min="4623" max="4867" width="9.140625" style="302"/>
    <col min="4868" max="4868" width="6.7109375" style="302" customWidth="1"/>
    <col min="4869" max="4869" width="11.85546875" style="302" customWidth="1"/>
    <col min="4870" max="4870" width="42.28515625" style="302" bestFit="1" customWidth="1"/>
    <col min="4871" max="4871" width="18.5703125" style="302" bestFit="1" customWidth="1"/>
    <col min="4872" max="4872" width="19.140625" style="302" bestFit="1" customWidth="1"/>
    <col min="4873" max="4873" width="19.42578125" style="302" bestFit="1" customWidth="1"/>
    <col min="4874" max="4874" width="9.140625" style="302"/>
    <col min="4875" max="4875" width="38.28515625" style="302" bestFit="1" customWidth="1"/>
    <col min="4876" max="4876" width="1.42578125" style="302" customWidth="1"/>
    <col min="4877" max="4878" width="18.85546875" style="302" bestFit="1" customWidth="1"/>
    <col min="4879" max="5123" width="9.140625" style="302"/>
    <col min="5124" max="5124" width="6.7109375" style="302" customWidth="1"/>
    <col min="5125" max="5125" width="11.85546875" style="302" customWidth="1"/>
    <col min="5126" max="5126" width="42.28515625" style="302" bestFit="1" customWidth="1"/>
    <col min="5127" max="5127" width="18.5703125" style="302" bestFit="1" customWidth="1"/>
    <col min="5128" max="5128" width="19.140625" style="302" bestFit="1" customWidth="1"/>
    <col min="5129" max="5129" width="19.42578125" style="302" bestFit="1" customWidth="1"/>
    <col min="5130" max="5130" width="9.140625" style="302"/>
    <col min="5131" max="5131" width="38.28515625" style="302" bestFit="1" customWidth="1"/>
    <col min="5132" max="5132" width="1.42578125" style="302" customWidth="1"/>
    <col min="5133" max="5134" width="18.85546875" style="302" bestFit="1" customWidth="1"/>
    <col min="5135" max="5379" width="9.140625" style="302"/>
    <col min="5380" max="5380" width="6.7109375" style="302" customWidth="1"/>
    <col min="5381" max="5381" width="11.85546875" style="302" customWidth="1"/>
    <col min="5382" max="5382" width="42.28515625" style="302" bestFit="1" customWidth="1"/>
    <col min="5383" max="5383" width="18.5703125" style="302" bestFit="1" customWidth="1"/>
    <col min="5384" max="5384" width="19.140625" style="302" bestFit="1" customWidth="1"/>
    <col min="5385" max="5385" width="19.42578125" style="302" bestFit="1" customWidth="1"/>
    <col min="5386" max="5386" width="9.140625" style="302"/>
    <col min="5387" max="5387" width="38.28515625" style="302" bestFit="1" customWidth="1"/>
    <col min="5388" max="5388" width="1.42578125" style="302" customWidth="1"/>
    <col min="5389" max="5390" width="18.85546875" style="302" bestFit="1" customWidth="1"/>
    <col min="5391" max="5635" width="9.140625" style="302"/>
    <col min="5636" max="5636" width="6.7109375" style="302" customWidth="1"/>
    <col min="5637" max="5637" width="11.85546875" style="302" customWidth="1"/>
    <col min="5638" max="5638" width="42.28515625" style="302" bestFit="1" customWidth="1"/>
    <col min="5639" max="5639" width="18.5703125" style="302" bestFit="1" customWidth="1"/>
    <col min="5640" max="5640" width="19.140625" style="302" bestFit="1" customWidth="1"/>
    <col min="5641" max="5641" width="19.42578125" style="302" bestFit="1" customWidth="1"/>
    <col min="5642" max="5642" width="9.140625" style="302"/>
    <col min="5643" max="5643" width="38.28515625" style="302" bestFit="1" customWidth="1"/>
    <col min="5644" max="5644" width="1.42578125" style="302" customWidth="1"/>
    <col min="5645" max="5646" width="18.85546875" style="302" bestFit="1" customWidth="1"/>
    <col min="5647" max="5891" width="9.140625" style="302"/>
    <col min="5892" max="5892" width="6.7109375" style="302" customWidth="1"/>
    <col min="5893" max="5893" width="11.85546875" style="302" customWidth="1"/>
    <col min="5894" max="5894" width="42.28515625" style="302" bestFit="1" customWidth="1"/>
    <col min="5895" max="5895" width="18.5703125" style="302" bestFit="1" customWidth="1"/>
    <col min="5896" max="5896" width="19.140625" style="302" bestFit="1" customWidth="1"/>
    <col min="5897" max="5897" width="19.42578125" style="302" bestFit="1" customWidth="1"/>
    <col min="5898" max="5898" width="9.140625" style="302"/>
    <col min="5899" max="5899" width="38.28515625" style="302" bestFit="1" customWidth="1"/>
    <col min="5900" max="5900" width="1.42578125" style="302" customWidth="1"/>
    <col min="5901" max="5902" width="18.85546875" style="302" bestFit="1" customWidth="1"/>
    <col min="5903" max="6147" width="9.140625" style="302"/>
    <col min="6148" max="6148" width="6.7109375" style="302" customWidth="1"/>
    <col min="6149" max="6149" width="11.85546875" style="302" customWidth="1"/>
    <col min="6150" max="6150" width="42.28515625" style="302" bestFit="1" customWidth="1"/>
    <col min="6151" max="6151" width="18.5703125" style="302" bestFit="1" customWidth="1"/>
    <col min="6152" max="6152" width="19.140625" style="302" bestFit="1" customWidth="1"/>
    <col min="6153" max="6153" width="19.42578125" style="302" bestFit="1" customWidth="1"/>
    <col min="6154" max="6154" width="9.140625" style="302"/>
    <col min="6155" max="6155" width="38.28515625" style="302" bestFit="1" customWidth="1"/>
    <col min="6156" max="6156" width="1.42578125" style="302" customWidth="1"/>
    <col min="6157" max="6158" width="18.85546875" style="302" bestFit="1" customWidth="1"/>
    <col min="6159" max="6403" width="9.140625" style="302"/>
    <col min="6404" max="6404" width="6.7109375" style="302" customWidth="1"/>
    <col min="6405" max="6405" width="11.85546875" style="302" customWidth="1"/>
    <col min="6406" max="6406" width="42.28515625" style="302" bestFit="1" customWidth="1"/>
    <col min="6407" max="6407" width="18.5703125" style="302" bestFit="1" customWidth="1"/>
    <col min="6408" max="6408" width="19.140625" style="302" bestFit="1" customWidth="1"/>
    <col min="6409" max="6409" width="19.42578125" style="302" bestFit="1" customWidth="1"/>
    <col min="6410" max="6410" width="9.140625" style="302"/>
    <col min="6411" max="6411" width="38.28515625" style="302" bestFit="1" customWidth="1"/>
    <col min="6412" max="6412" width="1.42578125" style="302" customWidth="1"/>
    <col min="6413" max="6414" width="18.85546875" style="302" bestFit="1" customWidth="1"/>
    <col min="6415" max="6659" width="9.140625" style="302"/>
    <col min="6660" max="6660" width="6.7109375" style="302" customWidth="1"/>
    <col min="6661" max="6661" width="11.85546875" style="302" customWidth="1"/>
    <col min="6662" max="6662" width="42.28515625" style="302" bestFit="1" customWidth="1"/>
    <col min="6663" max="6663" width="18.5703125" style="302" bestFit="1" customWidth="1"/>
    <col min="6664" max="6664" width="19.140625" style="302" bestFit="1" customWidth="1"/>
    <col min="6665" max="6665" width="19.42578125" style="302" bestFit="1" customWidth="1"/>
    <col min="6666" max="6666" width="9.140625" style="302"/>
    <col min="6667" max="6667" width="38.28515625" style="302" bestFit="1" customWidth="1"/>
    <col min="6668" max="6668" width="1.42578125" style="302" customWidth="1"/>
    <col min="6669" max="6670" width="18.85546875" style="302" bestFit="1" customWidth="1"/>
    <col min="6671" max="6915" width="9.140625" style="302"/>
    <col min="6916" max="6916" width="6.7109375" style="302" customWidth="1"/>
    <col min="6917" max="6917" width="11.85546875" style="302" customWidth="1"/>
    <col min="6918" max="6918" width="42.28515625" style="302" bestFit="1" customWidth="1"/>
    <col min="6919" max="6919" width="18.5703125" style="302" bestFit="1" customWidth="1"/>
    <col min="6920" max="6920" width="19.140625" style="302" bestFit="1" customWidth="1"/>
    <col min="6921" max="6921" width="19.42578125" style="302" bestFit="1" customWidth="1"/>
    <col min="6922" max="6922" width="9.140625" style="302"/>
    <col min="6923" max="6923" width="38.28515625" style="302" bestFit="1" customWidth="1"/>
    <col min="6924" max="6924" width="1.42578125" style="302" customWidth="1"/>
    <col min="6925" max="6926" width="18.85546875" style="302" bestFit="1" customWidth="1"/>
    <col min="6927" max="7171" width="9.140625" style="302"/>
    <col min="7172" max="7172" width="6.7109375" style="302" customWidth="1"/>
    <col min="7173" max="7173" width="11.85546875" style="302" customWidth="1"/>
    <col min="7174" max="7174" width="42.28515625" style="302" bestFit="1" customWidth="1"/>
    <col min="7175" max="7175" width="18.5703125" style="302" bestFit="1" customWidth="1"/>
    <col min="7176" max="7176" width="19.140625" style="302" bestFit="1" customWidth="1"/>
    <col min="7177" max="7177" width="19.42578125" style="302" bestFit="1" customWidth="1"/>
    <col min="7178" max="7178" width="9.140625" style="302"/>
    <col min="7179" max="7179" width="38.28515625" style="302" bestFit="1" customWidth="1"/>
    <col min="7180" max="7180" width="1.42578125" style="302" customWidth="1"/>
    <col min="7181" max="7182" width="18.85546875" style="302" bestFit="1" customWidth="1"/>
    <col min="7183" max="7427" width="9.140625" style="302"/>
    <col min="7428" max="7428" width="6.7109375" style="302" customWidth="1"/>
    <col min="7429" max="7429" width="11.85546875" style="302" customWidth="1"/>
    <col min="7430" max="7430" width="42.28515625" style="302" bestFit="1" customWidth="1"/>
    <col min="7431" max="7431" width="18.5703125" style="302" bestFit="1" customWidth="1"/>
    <col min="7432" max="7432" width="19.140625" style="302" bestFit="1" customWidth="1"/>
    <col min="7433" max="7433" width="19.42578125" style="302" bestFit="1" customWidth="1"/>
    <col min="7434" max="7434" width="9.140625" style="302"/>
    <col min="7435" max="7435" width="38.28515625" style="302" bestFit="1" customWidth="1"/>
    <col min="7436" max="7436" width="1.42578125" style="302" customWidth="1"/>
    <col min="7437" max="7438" width="18.85546875" style="302" bestFit="1" customWidth="1"/>
    <col min="7439" max="7683" width="9.140625" style="302"/>
    <col min="7684" max="7684" width="6.7109375" style="302" customWidth="1"/>
    <col min="7685" max="7685" width="11.85546875" style="302" customWidth="1"/>
    <col min="7686" max="7686" width="42.28515625" style="302" bestFit="1" customWidth="1"/>
    <col min="7687" max="7687" width="18.5703125" style="302" bestFit="1" customWidth="1"/>
    <col min="7688" max="7688" width="19.140625" style="302" bestFit="1" customWidth="1"/>
    <col min="7689" max="7689" width="19.42578125" style="302" bestFit="1" customWidth="1"/>
    <col min="7690" max="7690" width="9.140625" style="302"/>
    <col min="7691" max="7691" width="38.28515625" style="302" bestFit="1" customWidth="1"/>
    <col min="7692" max="7692" width="1.42578125" style="302" customWidth="1"/>
    <col min="7693" max="7694" width="18.85546875" style="302" bestFit="1" customWidth="1"/>
    <col min="7695" max="7939" width="9.140625" style="302"/>
    <col min="7940" max="7940" width="6.7109375" style="302" customWidth="1"/>
    <col min="7941" max="7941" width="11.85546875" style="302" customWidth="1"/>
    <col min="7942" max="7942" width="42.28515625" style="302" bestFit="1" customWidth="1"/>
    <col min="7943" max="7943" width="18.5703125" style="302" bestFit="1" customWidth="1"/>
    <col min="7944" max="7944" width="19.140625" style="302" bestFit="1" customWidth="1"/>
    <col min="7945" max="7945" width="19.42578125" style="302" bestFit="1" customWidth="1"/>
    <col min="7946" max="7946" width="9.140625" style="302"/>
    <col min="7947" max="7947" width="38.28515625" style="302" bestFit="1" customWidth="1"/>
    <col min="7948" max="7948" width="1.42578125" style="302" customWidth="1"/>
    <col min="7949" max="7950" width="18.85546875" style="302" bestFit="1" customWidth="1"/>
    <col min="7951" max="8195" width="9.140625" style="302"/>
    <col min="8196" max="8196" width="6.7109375" style="302" customWidth="1"/>
    <col min="8197" max="8197" width="11.85546875" style="302" customWidth="1"/>
    <col min="8198" max="8198" width="42.28515625" style="302" bestFit="1" customWidth="1"/>
    <col min="8199" max="8199" width="18.5703125" style="302" bestFit="1" customWidth="1"/>
    <col min="8200" max="8200" width="19.140625" style="302" bestFit="1" customWidth="1"/>
    <col min="8201" max="8201" width="19.42578125" style="302" bestFit="1" customWidth="1"/>
    <col min="8202" max="8202" width="9.140625" style="302"/>
    <col min="8203" max="8203" width="38.28515625" style="302" bestFit="1" customWidth="1"/>
    <col min="8204" max="8204" width="1.42578125" style="302" customWidth="1"/>
    <col min="8205" max="8206" width="18.85546875" style="302" bestFit="1" customWidth="1"/>
    <col min="8207" max="8451" width="9.140625" style="302"/>
    <col min="8452" max="8452" width="6.7109375" style="302" customWidth="1"/>
    <col min="8453" max="8453" width="11.85546875" style="302" customWidth="1"/>
    <col min="8454" max="8454" width="42.28515625" style="302" bestFit="1" customWidth="1"/>
    <col min="8455" max="8455" width="18.5703125" style="302" bestFit="1" customWidth="1"/>
    <col min="8456" max="8456" width="19.140625" style="302" bestFit="1" customWidth="1"/>
    <col min="8457" max="8457" width="19.42578125" style="302" bestFit="1" customWidth="1"/>
    <col min="8458" max="8458" width="9.140625" style="302"/>
    <col min="8459" max="8459" width="38.28515625" style="302" bestFit="1" customWidth="1"/>
    <col min="8460" max="8460" width="1.42578125" style="302" customWidth="1"/>
    <col min="8461" max="8462" width="18.85546875" style="302" bestFit="1" customWidth="1"/>
    <col min="8463" max="8707" width="9.140625" style="302"/>
    <col min="8708" max="8708" width="6.7109375" style="302" customWidth="1"/>
    <col min="8709" max="8709" width="11.85546875" style="302" customWidth="1"/>
    <col min="8710" max="8710" width="42.28515625" style="302" bestFit="1" customWidth="1"/>
    <col min="8711" max="8711" width="18.5703125" style="302" bestFit="1" customWidth="1"/>
    <col min="8712" max="8712" width="19.140625" style="302" bestFit="1" customWidth="1"/>
    <col min="8713" max="8713" width="19.42578125" style="302" bestFit="1" customWidth="1"/>
    <col min="8714" max="8714" width="9.140625" style="302"/>
    <col min="8715" max="8715" width="38.28515625" style="302" bestFit="1" customWidth="1"/>
    <col min="8716" max="8716" width="1.42578125" style="302" customWidth="1"/>
    <col min="8717" max="8718" width="18.85546875" style="302" bestFit="1" customWidth="1"/>
    <col min="8719" max="8963" width="9.140625" style="302"/>
    <col min="8964" max="8964" width="6.7109375" style="302" customWidth="1"/>
    <col min="8965" max="8965" width="11.85546875" style="302" customWidth="1"/>
    <col min="8966" max="8966" width="42.28515625" style="302" bestFit="1" customWidth="1"/>
    <col min="8967" max="8967" width="18.5703125" style="302" bestFit="1" customWidth="1"/>
    <col min="8968" max="8968" width="19.140625" style="302" bestFit="1" customWidth="1"/>
    <col min="8969" max="8969" width="19.42578125" style="302" bestFit="1" customWidth="1"/>
    <col min="8970" max="8970" width="9.140625" style="302"/>
    <col min="8971" max="8971" width="38.28515625" style="302" bestFit="1" customWidth="1"/>
    <col min="8972" max="8972" width="1.42578125" style="302" customWidth="1"/>
    <col min="8973" max="8974" width="18.85546875" style="302" bestFit="1" customWidth="1"/>
    <col min="8975" max="9219" width="9.140625" style="302"/>
    <col min="9220" max="9220" width="6.7109375" style="302" customWidth="1"/>
    <col min="9221" max="9221" width="11.85546875" style="302" customWidth="1"/>
    <col min="9222" max="9222" width="42.28515625" style="302" bestFit="1" customWidth="1"/>
    <col min="9223" max="9223" width="18.5703125" style="302" bestFit="1" customWidth="1"/>
    <col min="9224" max="9224" width="19.140625" style="302" bestFit="1" customWidth="1"/>
    <col min="9225" max="9225" width="19.42578125" style="302" bestFit="1" customWidth="1"/>
    <col min="9226" max="9226" width="9.140625" style="302"/>
    <col min="9227" max="9227" width="38.28515625" style="302" bestFit="1" customWidth="1"/>
    <col min="9228" max="9228" width="1.42578125" style="302" customWidth="1"/>
    <col min="9229" max="9230" width="18.85546875" style="302" bestFit="1" customWidth="1"/>
    <col min="9231" max="9475" width="9.140625" style="302"/>
    <col min="9476" max="9476" width="6.7109375" style="302" customWidth="1"/>
    <col min="9477" max="9477" width="11.85546875" style="302" customWidth="1"/>
    <col min="9478" max="9478" width="42.28515625" style="302" bestFit="1" customWidth="1"/>
    <col min="9479" max="9479" width="18.5703125" style="302" bestFit="1" customWidth="1"/>
    <col min="9480" max="9480" width="19.140625" style="302" bestFit="1" customWidth="1"/>
    <col min="9481" max="9481" width="19.42578125" style="302" bestFit="1" customWidth="1"/>
    <col min="9482" max="9482" width="9.140625" style="302"/>
    <col min="9483" max="9483" width="38.28515625" style="302" bestFit="1" customWidth="1"/>
    <col min="9484" max="9484" width="1.42578125" style="302" customWidth="1"/>
    <col min="9485" max="9486" width="18.85546875" style="302" bestFit="1" customWidth="1"/>
    <col min="9487" max="9731" width="9.140625" style="302"/>
    <col min="9732" max="9732" width="6.7109375" style="302" customWidth="1"/>
    <col min="9733" max="9733" width="11.85546875" style="302" customWidth="1"/>
    <col min="9734" max="9734" width="42.28515625" style="302" bestFit="1" customWidth="1"/>
    <col min="9735" max="9735" width="18.5703125" style="302" bestFit="1" customWidth="1"/>
    <col min="9736" max="9736" width="19.140625" style="302" bestFit="1" customWidth="1"/>
    <col min="9737" max="9737" width="19.42578125" style="302" bestFit="1" customWidth="1"/>
    <col min="9738" max="9738" width="9.140625" style="302"/>
    <col min="9739" max="9739" width="38.28515625" style="302" bestFit="1" customWidth="1"/>
    <col min="9740" max="9740" width="1.42578125" style="302" customWidth="1"/>
    <col min="9741" max="9742" width="18.85546875" style="302" bestFit="1" customWidth="1"/>
    <col min="9743" max="9987" width="9.140625" style="302"/>
    <col min="9988" max="9988" width="6.7109375" style="302" customWidth="1"/>
    <col min="9989" max="9989" width="11.85546875" style="302" customWidth="1"/>
    <col min="9990" max="9990" width="42.28515625" style="302" bestFit="1" customWidth="1"/>
    <col min="9991" max="9991" width="18.5703125" style="302" bestFit="1" customWidth="1"/>
    <col min="9992" max="9992" width="19.140625" style="302" bestFit="1" customWidth="1"/>
    <col min="9993" max="9993" width="19.42578125" style="302" bestFit="1" customWidth="1"/>
    <col min="9994" max="9994" width="9.140625" style="302"/>
    <col min="9995" max="9995" width="38.28515625" style="302" bestFit="1" customWidth="1"/>
    <col min="9996" max="9996" width="1.42578125" style="302" customWidth="1"/>
    <col min="9997" max="9998" width="18.85546875" style="302" bestFit="1" customWidth="1"/>
    <col min="9999" max="10243" width="9.140625" style="302"/>
    <col min="10244" max="10244" width="6.7109375" style="302" customWidth="1"/>
    <col min="10245" max="10245" width="11.85546875" style="302" customWidth="1"/>
    <col min="10246" max="10246" width="42.28515625" style="302" bestFit="1" customWidth="1"/>
    <col min="10247" max="10247" width="18.5703125" style="302" bestFit="1" customWidth="1"/>
    <col min="10248" max="10248" width="19.140625" style="302" bestFit="1" customWidth="1"/>
    <col min="10249" max="10249" width="19.42578125" style="302" bestFit="1" customWidth="1"/>
    <col min="10250" max="10250" width="9.140625" style="302"/>
    <col min="10251" max="10251" width="38.28515625" style="302" bestFit="1" customWidth="1"/>
    <col min="10252" max="10252" width="1.42578125" style="302" customWidth="1"/>
    <col min="10253" max="10254" width="18.85546875" style="302" bestFit="1" customWidth="1"/>
    <col min="10255" max="10499" width="9.140625" style="302"/>
    <col min="10500" max="10500" width="6.7109375" style="302" customWidth="1"/>
    <col min="10501" max="10501" width="11.85546875" style="302" customWidth="1"/>
    <col min="10502" max="10502" width="42.28515625" style="302" bestFit="1" customWidth="1"/>
    <col min="10503" max="10503" width="18.5703125" style="302" bestFit="1" customWidth="1"/>
    <col min="10504" max="10504" width="19.140625" style="302" bestFit="1" customWidth="1"/>
    <col min="10505" max="10505" width="19.42578125" style="302" bestFit="1" customWidth="1"/>
    <col min="10506" max="10506" width="9.140625" style="302"/>
    <col min="10507" max="10507" width="38.28515625" style="302" bestFit="1" customWidth="1"/>
    <col min="10508" max="10508" width="1.42578125" style="302" customWidth="1"/>
    <col min="10509" max="10510" width="18.85546875" style="302" bestFit="1" customWidth="1"/>
    <col min="10511" max="10755" width="9.140625" style="302"/>
    <col min="10756" max="10756" width="6.7109375" style="302" customWidth="1"/>
    <col min="10757" max="10757" width="11.85546875" style="302" customWidth="1"/>
    <col min="10758" max="10758" width="42.28515625" style="302" bestFit="1" customWidth="1"/>
    <col min="10759" max="10759" width="18.5703125" style="302" bestFit="1" customWidth="1"/>
    <col min="10760" max="10760" width="19.140625" style="302" bestFit="1" customWidth="1"/>
    <col min="10761" max="10761" width="19.42578125" style="302" bestFit="1" customWidth="1"/>
    <col min="10762" max="10762" width="9.140625" style="302"/>
    <col min="10763" max="10763" width="38.28515625" style="302" bestFit="1" customWidth="1"/>
    <col min="10764" max="10764" width="1.42578125" style="302" customWidth="1"/>
    <col min="10765" max="10766" width="18.85546875" style="302" bestFit="1" customWidth="1"/>
    <col min="10767" max="11011" width="9.140625" style="302"/>
    <col min="11012" max="11012" width="6.7109375" style="302" customWidth="1"/>
    <col min="11013" max="11013" width="11.85546875" style="302" customWidth="1"/>
    <col min="11014" max="11014" width="42.28515625" style="302" bestFit="1" customWidth="1"/>
    <col min="11015" max="11015" width="18.5703125" style="302" bestFit="1" customWidth="1"/>
    <col min="11016" max="11016" width="19.140625" style="302" bestFit="1" customWidth="1"/>
    <col min="11017" max="11017" width="19.42578125" style="302" bestFit="1" customWidth="1"/>
    <col min="11018" max="11018" width="9.140625" style="302"/>
    <col min="11019" max="11019" width="38.28515625" style="302" bestFit="1" customWidth="1"/>
    <col min="11020" max="11020" width="1.42578125" style="302" customWidth="1"/>
    <col min="11021" max="11022" width="18.85546875" style="302" bestFit="1" customWidth="1"/>
    <col min="11023" max="11267" width="9.140625" style="302"/>
    <col min="11268" max="11268" width="6.7109375" style="302" customWidth="1"/>
    <col min="11269" max="11269" width="11.85546875" style="302" customWidth="1"/>
    <col min="11270" max="11270" width="42.28515625" style="302" bestFit="1" customWidth="1"/>
    <col min="11271" max="11271" width="18.5703125" style="302" bestFit="1" customWidth="1"/>
    <col min="11272" max="11272" width="19.140625" style="302" bestFit="1" customWidth="1"/>
    <col min="11273" max="11273" width="19.42578125" style="302" bestFit="1" customWidth="1"/>
    <col min="11274" max="11274" width="9.140625" style="302"/>
    <col min="11275" max="11275" width="38.28515625" style="302" bestFit="1" customWidth="1"/>
    <col min="11276" max="11276" width="1.42578125" style="302" customWidth="1"/>
    <col min="11277" max="11278" width="18.85546875" style="302" bestFit="1" customWidth="1"/>
    <col min="11279" max="11523" width="9.140625" style="302"/>
    <col min="11524" max="11524" width="6.7109375" style="302" customWidth="1"/>
    <col min="11525" max="11525" width="11.85546875" style="302" customWidth="1"/>
    <col min="11526" max="11526" width="42.28515625" style="302" bestFit="1" customWidth="1"/>
    <col min="11527" max="11527" width="18.5703125" style="302" bestFit="1" customWidth="1"/>
    <col min="11528" max="11528" width="19.140625" style="302" bestFit="1" customWidth="1"/>
    <col min="11529" max="11529" width="19.42578125" style="302" bestFit="1" customWidth="1"/>
    <col min="11530" max="11530" width="9.140625" style="302"/>
    <col min="11531" max="11531" width="38.28515625" style="302" bestFit="1" customWidth="1"/>
    <col min="11532" max="11532" width="1.42578125" style="302" customWidth="1"/>
    <col min="11533" max="11534" width="18.85546875" style="302" bestFit="1" customWidth="1"/>
    <col min="11535" max="11779" width="9.140625" style="302"/>
    <col min="11780" max="11780" width="6.7109375" style="302" customWidth="1"/>
    <col min="11781" max="11781" width="11.85546875" style="302" customWidth="1"/>
    <col min="11782" max="11782" width="42.28515625" style="302" bestFit="1" customWidth="1"/>
    <col min="11783" max="11783" width="18.5703125" style="302" bestFit="1" customWidth="1"/>
    <col min="11784" max="11784" width="19.140625" style="302" bestFit="1" customWidth="1"/>
    <col min="11785" max="11785" width="19.42578125" style="302" bestFit="1" customWidth="1"/>
    <col min="11786" max="11786" width="9.140625" style="302"/>
    <col min="11787" max="11787" width="38.28515625" style="302" bestFit="1" customWidth="1"/>
    <col min="11788" max="11788" width="1.42578125" style="302" customWidth="1"/>
    <col min="11789" max="11790" width="18.85546875" style="302" bestFit="1" customWidth="1"/>
    <col min="11791" max="12035" width="9.140625" style="302"/>
    <col min="12036" max="12036" width="6.7109375" style="302" customWidth="1"/>
    <col min="12037" max="12037" width="11.85546875" style="302" customWidth="1"/>
    <col min="12038" max="12038" width="42.28515625" style="302" bestFit="1" customWidth="1"/>
    <col min="12039" max="12039" width="18.5703125" style="302" bestFit="1" customWidth="1"/>
    <col min="12040" max="12040" width="19.140625" style="302" bestFit="1" customWidth="1"/>
    <col min="12041" max="12041" width="19.42578125" style="302" bestFit="1" customWidth="1"/>
    <col min="12042" max="12042" width="9.140625" style="302"/>
    <col min="12043" max="12043" width="38.28515625" style="302" bestFit="1" customWidth="1"/>
    <col min="12044" max="12044" width="1.42578125" style="302" customWidth="1"/>
    <col min="12045" max="12046" width="18.85546875" style="302" bestFit="1" customWidth="1"/>
    <col min="12047" max="12291" width="9.140625" style="302"/>
    <col min="12292" max="12292" width="6.7109375" style="302" customWidth="1"/>
    <col min="12293" max="12293" width="11.85546875" style="302" customWidth="1"/>
    <col min="12294" max="12294" width="42.28515625" style="302" bestFit="1" customWidth="1"/>
    <col min="12295" max="12295" width="18.5703125" style="302" bestFit="1" customWidth="1"/>
    <col min="12296" max="12296" width="19.140625" style="302" bestFit="1" customWidth="1"/>
    <col min="12297" max="12297" width="19.42578125" style="302" bestFit="1" customWidth="1"/>
    <col min="12298" max="12298" width="9.140625" style="302"/>
    <col min="12299" max="12299" width="38.28515625" style="302" bestFit="1" customWidth="1"/>
    <col min="12300" max="12300" width="1.42578125" style="302" customWidth="1"/>
    <col min="12301" max="12302" width="18.85546875" style="302" bestFit="1" customWidth="1"/>
    <col min="12303" max="12547" width="9.140625" style="302"/>
    <col min="12548" max="12548" width="6.7109375" style="302" customWidth="1"/>
    <col min="12549" max="12549" width="11.85546875" style="302" customWidth="1"/>
    <col min="12550" max="12550" width="42.28515625" style="302" bestFit="1" customWidth="1"/>
    <col min="12551" max="12551" width="18.5703125" style="302" bestFit="1" customWidth="1"/>
    <col min="12552" max="12552" width="19.140625" style="302" bestFit="1" customWidth="1"/>
    <col min="12553" max="12553" width="19.42578125" style="302" bestFit="1" customWidth="1"/>
    <col min="12554" max="12554" width="9.140625" style="302"/>
    <col min="12555" max="12555" width="38.28515625" style="302" bestFit="1" customWidth="1"/>
    <col min="12556" max="12556" width="1.42578125" style="302" customWidth="1"/>
    <col min="12557" max="12558" width="18.85546875" style="302" bestFit="1" customWidth="1"/>
    <col min="12559" max="12803" width="9.140625" style="302"/>
    <col min="12804" max="12804" width="6.7109375" style="302" customWidth="1"/>
    <col min="12805" max="12805" width="11.85546875" style="302" customWidth="1"/>
    <col min="12806" max="12806" width="42.28515625" style="302" bestFit="1" customWidth="1"/>
    <col min="12807" max="12807" width="18.5703125" style="302" bestFit="1" customWidth="1"/>
    <col min="12808" max="12808" width="19.140625" style="302" bestFit="1" customWidth="1"/>
    <col min="12809" max="12809" width="19.42578125" style="302" bestFit="1" customWidth="1"/>
    <col min="12810" max="12810" width="9.140625" style="302"/>
    <col min="12811" max="12811" width="38.28515625" style="302" bestFit="1" customWidth="1"/>
    <col min="12812" max="12812" width="1.42578125" style="302" customWidth="1"/>
    <col min="12813" max="12814" width="18.85546875" style="302" bestFit="1" customWidth="1"/>
    <col min="12815" max="13059" width="9.140625" style="302"/>
    <col min="13060" max="13060" width="6.7109375" style="302" customWidth="1"/>
    <col min="13061" max="13061" width="11.85546875" style="302" customWidth="1"/>
    <col min="13062" max="13062" width="42.28515625" style="302" bestFit="1" customWidth="1"/>
    <col min="13063" max="13063" width="18.5703125" style="302" bestFit="1" customWidth="1"/>
    <col min="13064" max="13064" width="19.140625" style="302" bestFit="1" customWidth="1"/>
    <col min="13065" max="13065" width="19.42578125" style="302" bestFit="1" customWidth="1"/>
    <col min="13066" max="13066" width="9.140625" style="302"/>
    <col min="13067" max="13067" width="38.28515625" style="302" bestFit="1" customWidth="1"/>
    <col min="13068" max="13068" width="1.42578125" style="302" customWidth="1"/>
    <col min="13069" max="13070" width="18.85546875" style="302" bestFit="1" customWidth="1"/>
    <col min="13071" max="13315" width="9.140625" style="302"/>
    <col min="13316" max="13316" width="6.7109375" style="302" customWidth="1"/>
    <col min="13317" max="13317" width="11.85546875" style="302" customWidth="1"/>
    <col min="13318" max="13318" width="42.28515625" style="302" bestFit="1" customWidth="1"/>
    <col min="13319" max="13319" width="18.5703125" style="302" bestFit="1" customWidth="1"/>
    <col min="13320" max="13320" width="19.140625" style="302" bestFit="1" customWidth="1"/>
    <col min="13321" max="13321" width="19.42578125" style="302" bestFit="1" customWidth="1"/>
    <col min="13322" max="13322" width="9.140625" style="302"/>
    <col min="13323" max="13323" width="38.28515625" style="302" bestFit="1" customWidth="1"/>
    <col min="13324" max="13324" width="1.42578125" style="302" customWidth="1"/>
    <col min="13325" max="13326" width="18.85546875" style="302" bestFit="1" customWidth="1"/>
    <col min="13327" max="13571" width="9.140625" style="302"/>
    <col min="13572" max="13572" width="6.7109375" style="302" customWidth="1"/>
    <col min="13573" max="13573" width="11.85546875" style="302" customWidth="1"/>
    <col min="13574" max="13574" width="42.28515625" style="302" bestFit="1" customWidth="1"/>
    <col min="13575" max="13575" width="18.5703125" style="302" bestFit="1" customWidth="1"/>
    <col min="13576" max="13576" width="19.140625" style="302" bestFit="1" customWidth="1"/>
    <col min="13577" max="13577" width="19.42578125" style="302" bestFit="1" customWidth="1"/>
    <col min="13578" max="13578" width="9.140625" style="302"/>
    <col min="13579" max="13579" width="38.28515625" style="302" bestFit="1" customWidth="1"/>
    <col min="13580" max="13580" width="1.42578125" style="302" customWidth="1"/>
    <col min="13581" max="13582" width="18.85546875" style="302" bestFit="1" customWidth="1"/>
    <col min="13583" max="13827" width="9.140625" style="302"/>
    <col min="13828" max="13828" width="6.7109375" style="302" customWidth="1"/>
    <col min="13829" max="13829" width="11.85546875" style="302" customWidth="1"/>
    <col min="13830" max="13830" width="42.28515625" style="302" bestFit="1" customWidth="1"/>
    <col min="13831" max="13831" width="18.5703125" style="302" bestFit="1" customWidth="1"/>
    <col min="13832" max="13832" width="19.140625" style="302" bestFit="1" customWidth="1"/>
    <col min="13833" max="13833" width="19.42578125" style="302" bestFit="1" customWidth="1"/>
    <col min="13834" max="13834" width="9.140625" style="302"/>
    <col min="13835" max="13835" width="38.28515625" style="302" bestFit="1" customWidth="1"/>
    <col min="13836" max="13836" width="1.42578125" style="302" customWidth="1"/>
    <col min="13837" max="13838" width="18.85546875" style="302" bestFit="1" customWidth="1"/>
    <col min="13839" max="14083" width="9.140625" style="302"/>
    <col min="14084" max="14084" width="6.7109375" style="302" customWidth="1"/>
    <col min="14085" max="14085" width="11.85546875" style="302" customWidth="1"/>
    <col min="14086" max="14086" width="42.28515625" style="302" bestFit="1" customWidth="1"/>
    <col min="14087" max="14087" width="18.5703125" style="302" bestFit="1" customWidth="1"/>
    <col min="14088" max="14088" width="19.140625" style="302" bestFit="1" customWidth="1"/>
    <col min="14089" max="14089" width="19.42578125" style="302" bestFit="1" customWidth="1"/>
    <col min="14090" max="14090" width="9.140625" style="302"/>
    <col min="14091" max="14091" width="38.28515625" style="302" bestFit="1" customWidth="1"/>
    <col min="14092" max="14092" width="1.42578125" style="302" customWidth="1"/>
    <col min="14093" max="14094" width="18.85546875" style="302" bestFit="1" customWidth="1"/>
    <col min="14095" max="14339" width="9.140625" style="302"/>
    <col min="14340" max="14340" width="6.7109375" style="302" customWidth="1"/>
    <col min="14341" max="14341" width="11.85546875" style="302" customWidth="1"/>
    <col min="14342" max="14342" width="42.28515625" style="302" bestFit="1" customWidth="1"/>
    <col min="14343" max="14343" width="18.5703125" style="302" bestFit="1" customWidth="1"/>
    <col min="14344" max="14344" width="19.140625" style="302" bestFit="1" customWidth="1"/>
    <col min="14345" max="14345" width="19.42578125" style="302" bestFit="1" customWidth="1"/>
    <col min="14346" max="14346" width="9.140625" style="302"/>
    <col min="14347" max="14347" width="38.28515625" style="302" bestFit="1" customWidth="1"/>
    <col min="14348" max="14348" width="1.42578125" style="302" customWidth="1"/>
    <col min="14349" max="14350" width="18.85546875" style="302" bestFit="1" customWidth="1"/>
    <col min="14351" max="14595" width="9.140625" style="302"/>
    <col min="14596" max="14596" width="6.7109375" style="302" customWidth="1"/>
    <col min="14597" max="14597" width="11.85546875" style="302" customWidth="1"/>
    <col min="14598" max="14598" width="42.28515625" style="302" bestFit="1" customWidth="1"/>
    <col min="14599" max="14599" width="18.5703125" style="302" bestFit="1" customWidth="1"/>
    <col min="14600" max="14600" width="19.140625" style="302" bestFit="1" customWidth="1"/>
    <col min="14601" max="14601" width="19.42578125" style="302" bestFit="1" customWidth="1"/>
    <col min="14602" max="14602" width="9.140625" style="302"/>
    <col min="14603" max="14603" width="38.28515625" style="302" bestFit="1" customWidth="1"/>
    <col min="14604" max="14604" width="1.42578125" style="302" customWidth="1"/>
    <col min="14605" max="14606" width="18.85546875" style="302" bestFit="1" customWidth="1"/>
    <col min="14607" max="14851" width="9.140625" style="302"/>
    <col min="14852" max="14852" width="6.7109375" style="302" customWidth="1"/>
    <col min="14853" max="14853" width="11.85546875" style="302" customWidth="1"/>
    <col min="14854" max="14854" width="42.28515625" style="302" bestFit="1" customWidth="1"/>
    <col min="14855" max="14855" width="18.5703125" style="302" bestFit="1" customWidth="1"/>
    <col min="14856" max="14856" width="19.140625" style="302" bestFit="1" customWidth="1"/>
    <col min="14857" max="14857" width="19.42578125" style="302" bestFit="1" customWidth="1"/>
    <col min="14858" max="14858" width="9.140625" style="302"/>
    <col min="14859" max="14859" width="38.28515625" style="302" bestFit="1" customWidth="1"/>
    <col min="14860" max="14860" width="1.42578125" style="302" customWidth="1"/>
    <col min="14861" max="14862" width="18.85546875" style="302" bestFit="1" customWidth="1"/>
    <col min="14863" max="15107" width="9.140625" style="302"/>
    <col min="15108" max="15108" width="6.7109375" style="302" customWidth="1"/>
    <col min="15109" max="15109" width="11.85546875" style="302" customWidth="1"/>
    <col min="15110" max="15110" width="42.28515625" style="302" bestFit="1" customWidth="1"/>
    <col min="15111" max="15111" width="18.5703125" style="302" bestFit="1" customWidth="1"/>
    <col min="15112" max="15112" width="19.140625" style="302" bestFit="1" customWidth="1"/>
    <col min="15113" max="15113" width="19.42578125" style="302" bestFit="1" customWidth="1"/>
    <col min="15114" max="15114" width="9.140625" style="302"/>
    <col min="15115" max="15115" width="38.28515625" style="302" bestFit="1" customWidth="1"/>
    <col min="15116" max="15116" width="1.42578125" style="302" customWidth="1"/>
    <col min="15117" max="15118" width="18.85546875" style="302" bestFit="1" customWidth="1"/>
    <col min="15119" max="15363" width="9.140625" style="302"/>
    <col min="15364" max="15364" width="6.7109375" style="302" customWidth="1"/>
    <col min="15365" max="15365" width="11.85546875" style="302" customWidth="1"/>
    <col min="15366" max="15366" width="42.28515625" style="302" bestFit="1" customWidth="1"/>
    <col min="15367" max="15367" width="18.5703125" style="302" bestFit="1" customWidth="1"/>
    <col min="15368" max="15368" width="19.140625" style="302" bestFit="1" customWidth="1"/>
    <col min="15369" max="15369" width="19.42578125" style="302" bestFit="1" customWidth="1"/>
    <col min="15370" max="15370" width="9.140625" style="302"/>
    <col min="15371" max="15371" width="38.28515625" style="302" bestFit="1" customWidth="1"/>
    <col min="15372" max="15372" width="1.42578125" style="302" customWidth="1"/>
    <col min="15373" max="15374" width="18.85546875" style="302" bestFit="1" customWidth="1"/>
    <col min="15375" max="15619" width="9.140625" style="302"/>
    <col min="15620" max="15620" width="6.7109375" style="302" customWidth="1"/>
    <col min="15621" max="15621" width="11.85546875" style="302" customWidth="1"/>
    <col min="15622" max="15622" width="42.28515625" style="302" bestFit="1" customWidth="1"/>
    <col min="15623" max="15623" width="18.5703125" style="302" bestFit="1" customWidth="1"/>
    <col min="15624" max="15624" width="19.140625" style="302" bestFit="1" customWidth="1"/>
    <col min="15625" max="15625" width="19.42578125" style="302" bestFit="1" customWidth="1"/>
    <col min="15626" max="15626" width="9.140625" style="302"/>
    <col min="15627" max="15627" width="38.28515625" style="302" bestFit="1" customWidth="1"/>
    <col min="15628" max="15628" width="1.42578125" style="302" customWidth="1"/>
    <col min="15629" max="15630" width="18.85546875" style="302" bestFit="1" customWidth="1"/>
    <col min="15631" max="15875" width="9.140625" style="302"/>
    <col min="15876" max="15876" width="6.7109375" style="302" customWidth="1"/>
    <col min="15877" max="15877" width="11.85546875" style="302" customWidth="1"/>
    <col min="15878" max="15878" width="42.28515625" style="302" bestFit="1" customWidth="1"/>
    <col min="15879" max="15879" width="18.5703125" style="302" bestFit="1" customWidth="1"/>
    <col min="15880" max="15880" width="19.140625" style="302" bestFit="1" customWidth="1"/>
    <col min="15881" max="15881" width="19.42578125" style="302" bestFit="1" customWidth="1"/>
    <col min="15882" max="15882" width="9.140625" style="302"/>
    <col min="15883" max="15883" width="38.28515625" style="302" bestFit="1" customWidth="1"/>
    <col min="15884" max="15884" width="1.42578125" style="302" customWidth="1"/>
    <col min="15885" max="15886" width="18.85546875" style="302" bestFit="1" customWidth="1"/>
    <col min="15887" max="16131" width="9.140625" style="302"/>
    <col min="16132" max="16132" width="6.7109375" style="302" customWidth="1"/>
    <col min="16133" max="16133" width="11.85546875" style="302" customWidth="1"/>
    <col min="16134" max="16134" width="42.28515625" style="302" bestFit="1" customWidth="1"/>
    <col min="16135" max="16135" width="18.5703125" style="302" bestFit="1" customWidth="1"/>
    <col min="16136" max="16136" width="19.140625" style="302" bestFit="1" customWidth="1"/>
    <col min="16137" max="16137" width="19.42578125" style="302" bestFit="1" customWidth="1"/>
    <col min="16138" max="16138" width="9.140625" style="302"/>
    <col min="16139" max="16139" width="38.28515625" style="302" bestFit="1" customWidth="1"/>
    <col min="16140" max="16140" width="1.42578125" style="302" customWidth="1"/>
    <col min="16141" max="16142" width="18.85546875" style="302" bestFit="1" customWidth="1"/>
    <col min="16143" max="16384" width="9.140625" style="302"/>
  </cols>
  <sheetData>
    <row r="1" spans="1:15" ht="18" x14ac:dyDescent="0.25">
      <c r="A1" s="303" t="s">
        <v>238</v>
      </c>
    </row>
    <row r="2" spans="1:15" ht="15.75" x14ac:dyDescent="0.25">
      <c r="A2" s="307" t="s">
        <v>300</v>
      </c>
    </row>
    <row r="3" spans="1:15" ht="15.75" x14ac:dyDescent="0.25">
      <c r="A3" s="307" t="s">
        <v>298</v>
      </c>
    </row>
    <row r="4" spans="1:15" s="264" customFormat="1" ht="15.75" x14ac:dyDescent="0.25">
      <c r="A4" s="276" t="s">
        <v>32</v>
      </c>
      <c r="B4" s="277" t="s">
        <v>33</v>
      </c>
      <c r="C4" s="818" t="s">
        <v>297</v>
      </c>
      <c r="D4" s="819"/>
      <c r="E4" s="819"/>
      <c r="F4" s="820"/>
      <c r="G4" s="276" t="s">
        <v>34</v>
      </c>
      <c r="H4" s="276" t="s">
        <v>35</v>
      </c>
      <c r="I4" s="276" t="s">
        <v>36</v>
      </c>
      <c r="J4" s="687" t="s">
        <v>50</v>
      </c>
      <c r="K4" s="263"/>
      <c r="L4" s="263"/>
      <c r="M4" s="263"/>
      <c r="N4" s="263"/>
      <c r="O4" s="263"/>
    </row>
    <row r="5" spans="1:15" x14ac:dyDescent="0.25">
      <c r="A5" s="315"/>
      <c r="B5" s="278"/>
      <c r="C5" s="821" t="s">
        <v>388</v>
      </c>
      <c r="D5" s="822"/>
      <c r="E5" s="822"/>
      <c r="F5" s="823"/>
      <c r="G5" s="279"/>
      <c r="H5" s="279"/>
      <c r="I5" s="279"/>
      <c r="J5" s="688"/>
    </row>
    <row r="6" spans="1:15" x14ac:dyDescent="0.25">
      <c r="A6" s="280">
        <v>1</v>
      </c>
      <c r="B6" s="281"/>
      <c r="C6" s="265" t="s">
        <v>318</v>
      </c>
      <c r="D6" s="261"/>
      <c r="E6" s="261"/>
      <c r="F6" s="259"/>
      <c r="G6" s="282"/>
      <c r="H6" s="282"/>
      <c r="I6" s="282">
        <v>397494476.88</v>
      </c>
      <c r="J6" s="300"/>
      <c r="K6" s="308"/>
    </row>
    <row r="7" spans="1:15" x14ac:dyDescent="0.25">
      <c r="A7" s="280">
        <v>2</v>
      </c>
      <c r="B7" s="281">
        <v>44562</v>
      </c>
      <c r="C7" s="265" t="s">
        <v>1367</v>
      </c>
      <c r="D7" s="260" t="s">
        <v>1368</v>
      </c>
      <c r="E7" s="260"/>
      <c r="F7" s="259"/>
      <c r="G7" s="285"/>
      <c r="H7" s="285">
        <v>382283.37</v>
      </c>
      <c r="I7" s="282">
        <f>I6-G7+H7</f>
        <v>397876760.25</v>
      </c>
      <c r="J7" s="300"/>
    </row>
    <row r="8" spans="1:15" x14ac:dyDescent="0.25">
      <c r="A8" s="280">
        <v>3</v>
      </c>
      <c r="B8" s="281"/>
      <c r="C8" s="265" t="s">
        <v>1369</v>
      </c>
      <c r="D8" s="260" t="s">
        <v>1370</v>
      </c>
      <c r="E8" s="260"/>
      <c r="F8" s="259"/>
      <c r="G8" s="285">
        <v>76456.67</v>
      </c>
      <c r="H8" s="285"/>
      <c r="I8" s="282">
        <f t="shared" ref="I8:I26" si="0">I7-G8+H8</f>
        <v>397800303.57999998</v>
      </c>
      <c r="J8" s="300"/>
      <c r="M8" s="309"/>
      <c r="N8" s="309"/>
    </row>
    <row r="9" spans="1:15" x14ac:dyDescent="0.25">
      <c r="A9" s="280">
        <v>4</v>
      </c>
      <c r="B9" s="290"/>
      <c r="C9" s="291" t="s">
        <v>1371</v>
      </c>
      <c r="D9" s="292" t="s">
        <v>1372</v>
      </c>
      <c r="E9" s="292"/>
      <c r="F9" s="259"/>
      <c r="G9" s="293">
        <v>50000</v>
      </c>
      <c r="H9" s="293"/>
      <c r="I9" s="282">
        <f t="shared" si="0"/>
        <v>397750303.57999998</v>
      </c>
      <c r="J9" s="300"/>
      <c r="N9" s="310"/>
    </row>
    <row r="10" spans="1:15" x14ac:dyDescent="0.25">
      <c r="A10" s="280">
        <v>5</v>
      </c>
      <c r="B10" s="281">
        <v>44564</v>
      </c>
      <c r="C10" s="265" t="s">
        <v>1373</v>
      </c>
      <c r="D10" s="261" t="s">
        <v>1374</v>
      </c>
      <c r="E10" s="261" t="s">
        <v>1375</v>
      </c>
      <c r="F10" s="259" t="s">
        <v>1376</v>
      </c>
      <c r="G10" s="282">
        <v>267623000</v>
      </c>
      <c r="H10" s="282"/>
      <c r="I10" s="282">
        <f t="shared" si="0"/>
        <v>130127303.57999998</v>
      </c>
      <c r="J10" s="300" t="s">
        <v>1388</v>
      </c>
      <c r="N10" s="310"/>
    </row>
    <row r="11" spans="1:15" x14ac:dyDescent="0.25">
      <c r="A11" s="280">
        <v>6</v>
      </c>
      <c r="B11" s="281"/>
      <c r="C11" s="265" t="s">
        <v>1377</v>
      </c>
      <c r="D11" s="261" t="s">
        <v>1378</v>
      </c>
      <c r="E11" s="261"/>
      <c r="F11" s="259"/>
      <c r="G11" s="282">
        <v>10000</v>
      </c>
      <c r="H11" s="282"/>
      <c r="I11" s="282">
        <f t="shared" si="0"/>
        <v>130117303.57999998</v>
      </c>
      <c r="J11" s="300"/>
      <c r="M11" s="310"/>
    </row>
    <row r="12" spans="1:15" x14ac:dyDescent="0.25">
      <c r="A12" s="280">
        <v>7</v>
      </c>
      <c r="B12" s="281">
        <v>44571</v>
      </c>
      <c r="C12" s="265" t="s">
        <v>1379</v>
      </c>
      <c r="D12" s="261" t="s">
        <v>1380</v>
      </c>
      <c r="E12" s="261" t="s">
        <v>1381</v>
      </c>
      <c r="F12" s="259"/>
      <c r="G12" s="282"/>
      <c r="H12" s="282">
        <v>6737893</v>
      </c>
      <c r="I12" s="282">
        <f t="shared" si="0"/>
        <v>136855196.57999998</v>
      </c>
      <c r="J12" s="300"/>
    </row>
    <row r="13" spans="1:15" x14ac:dyDescent="0.25">
      <c r="A13" s="280">
        <v>8</v>
      </c>
      <c r="B13" s="281"/>
      <c r="C13" s="265" t="s">
        <v>1382</v>
      </c>
      <c r="D13" s="261" t="s">
        <v>1383</v>
      </c>
      <c r="E13" s="261" t="s">
        <v>1384</v>
      </c>
      <c r="F13" s="259"/>
      <c r="G13" s="282"/>
      <c r="H13" s="282">
        <v>3257280</v>
      </c>
      <c r="I13" s="282">
        <f t="shared" si="0"/>
        <v>140112476.57999998</v>
      </c>
      <c r="J13" s="300" t="s">
        <v>1389</v>
      </c>
      <c r="K13" s="308"/>
      <c r="L13" s="308"/>
      <c r="M13" s="311"/>
      <c r="N13" s="311"/>
    </row>
    <row r="14" spans="1:15" x14ac:dyDescent="0.25">
      <c r="A14" s="280">
        <v>9</v>
      </c>
      <c r="B14" s="281"/>
      <c r="C14" s="265" t="s">
        <v>1382</v>
      </c>
      <c r="D14" s="262" t="s">
        <v>1385</v>
      </c>
      <c r="E14" s="262" t="s">
        <v>1384</v>
      </c>
      <c r="F14" s="259"/>
      <c r="G14" s="282"/>
      <c r="H14" s="282">
        <v>2510820</v>
      </c>
      <c r="I14" s="282">
        <f t="shared" si="0"/>
        <v>142623296.57999998</v>
      </c>
      <c r="J14" s="300" t="s">
        <v>1389</v>
      </c>
    </row>
    <row r="15" spans="1:15" x14ac:dyDescent="0.25">
      <c r="A15" s="280">
        <v>10</v>
      </c>
      <c r="B15" s="281">
        <v>44572</v>
      </c>
      <c r="C15" s="265" t="s">
        <v>1382</v>
      </c>
      <c r="D15" s="261" t="s">
        <v>1386</v>
      </c>
      <c r="E15" s="261" t="s">
        <v>1387</v>
      </c>
      <c r="F15" s="259"/>
      <c r="G15" s="282"/>
      <c r="H15" s="282">
        <v>3069100</v>
      </c>
      <c r="I15" s="282">
        <f t="shared" si="0"/>
        <v>145692396.57999998</v>
      </c>
      <c r="J15" s="300" t="s">
        <v>1390</v>
      </c>
    </row>
    <row r="16" spans="1:15" x14ac:dyDescent="0.25">
      <c r="A16" s="280">
        <v>11</v>
      </c>
      <c r="B16" s="281"/>
      <c r="C16" s="265" t="s">
        <v>1382</v>
      </c>
      <c r="D16" s="261" t="s">
        <v>1391</v>
      </c>
      <c r="E16" s="261" t="s">
        <v>1384</v>
      </c>
      <c r="F16" s="259"/>
      <c r="G16" s="282"/>
      <c r="H16" s="282">
        <v>5035212</v>
      </c>
      <c r="I16" s="282">
        <f t="shared" si="0"/>
        <v>150727608.57999998</v>
      </c>
      <c r="J16" s="300" t="s">
        <v>1389</v>
      </c>
      <c r="K16" s="312"/>
    </row>
    <row r="17" spans="1:15" x14ac:dyDescent="0.25">
      <c r="A17" s="280">
        <v>12</v>
      </c>
      <c r="B17" s="281"/>
      <c r="C17" s="265" t="s">
        <v>1382</v>
      </c>
      <c r="D17" s="261" t="s">
        <v>1392</v>
      </c>
      <c r="E17" s="261" t="s">
        <v>1384</v>
      </c>
      <c r="F17" s="259"/>
      <c r="G17" s="282"/>
      <c r="H17" s="282">
        <v>1334232</v>
      </c>
      <c r="I17" s="282">
        <f t="shared" si="0"/>
        <v>152061840.57999998</v>
      </c>
      <c r="J17" s="300" t="s">
        <v>1389</v>
      </c>
      <c r="N17" s="302"/>
      <c r="O17" s="302"/>
    </row>
    <row r="18" spans="1:15" x14ac:dyDescent="0.25">
      <c r="A18" s="280">
        <v>13</v>
      </c>
      <c r="B18" s="281"/>
      <c r="C18" s="265" t="s">
        <v>1382</v>
      </c>
      <c r="D18" s="262" t="s">
        <v>1393</v>
      </c>
      <c r="E18" s="261" t="s">
        <v>1384</v>
      </c>
      <c r="F18" s="259"/>
      <c r="G18" s="282"/>
      <c r="H18" s="282">
        <v>6954780</v>
      </c>
      <c r="I18" s="282">
        <f t="shared" si="0"/>
        <v>159016620.57999998</v>
      </c>
      <c r="J18" s="300" t="s">
        <v>1389</v>
      </c>
      <c r="K18" s="309"/>
      <c r="L18" s="309"/>
      <c r="M18" s="309"/>
      <c r="N18" s="302"/>
      <c r="O18" s="302"/>
    </row>
    <row r="19" spans="1:15" x14ac:dyDescent="0.25">
      <c r="A19" s="280">
        <v>14</v>
      </c>
      <c r="B19" s="281">
        <v>44580</v>
      </c>
      <c r="C19" s="265" t="s">
        <v>1394</v>
      </c>
      <c r="D19" s="261" t="s">
        <v>1395</v>
      </c>
      <c r="E19" s="262"/>
      <c r="F19" s="259"/>
      <c r="G19" s="282"/>
      <c r="H19" s="282">
        <v>1489900</v>
      </c>
      <c r="I19" s="282">
        <f t="shared" si="0"/>
        <v>160506520.57999998</v>
      </c>
      <c r="J19" s="300"/>
      <c r="M19" s="310"/>
      <c r="N19" s="302"/>
      <c r="O19" s="302"/>
    </row>
    <row r="20" spans="1:15" x14ac:dyDescent="0.25">
      <c r="A20" s="280">
        <v>15</v>
      </c>
      <c r="B20" s="281">
        <v>44585</v>
      </c>
      <c r="C20" s="265" t="s">
        <v>1382</v>
      </c>
      <c r="D20" s="261" t="s">
        <v>1396</v>
      </c>
      <c r="E20" s="261"/>
      <c r="F20" s="259"/>
      <c r="G20" s="282"/>
      <c r="H20" s="282">
        <v>112073000</v>
      </c>
      <c r="I20" s="282">
        <f t="shared" si="0"/>
        <v>272579520.57999998</v>
      </c>
      <c r="J20" s="300" t="s">
        <v>1397</v>
      </c>
      <c r="N20" s="302"/>
      <c r="O20" s="302"/>
    </row>
    <row r="21" spans="1:15" x14ac:dyDescent="0.25">
      <c r="A21" s="280">
        <v>16</v>
      </c>
      <c r="B21" s="281"/>
      <c r="C21" s="265" t="s">
        <v>1382</v>
      </c>
      <c r="D21" s="261" t="s">
        <v>1398</v>
      </c>
      <c r="E21" s="261" t="s">
        <v>1387</v>
      </c>
      <c r="F21" s="259"/>
      <c r="G21" s="282"/>
      <c r="H21" s="282">
        <v>977300</v>
      </c>
      <c r="I21" s="282">
        <f t="shared" si="0"/>
        <v>273556820.57999998</v>
      </c>
      <c r="J21" s="300" t="s">
        <v>1390</v>
      </c>
      <c r="K21" s="309"/>
      <c r="L21" s="309"/>
      <c r="M21" s="309"/>
      <c r="N21" s="302"/>
      <c r="O21" s="302"/>
    </row>
    <row r="22" spans="1:15" x14ac:dyDescent="0.25">
      <c r="A22" s="280">
        <v>17</v>
      </c>
      <c r="B22" s="281">
        <v>44587</v>
      </c>
      <c r="C22" s="265" t="s">
        <v>1382</v>
      </c>
      <c r="D22" s="261" t="s">
        <v>1399</v>
      </c>
      <c r="E22" s="261"/>
      <c r="F22" s="259"/>
      <c r="G22" s="282"/>
      <c r="H22" s="282">
        <v>12384000</v>
      </c>
      <c r="I22" s="282">
        <f t="shared" si="0"/>
        <v>285940820.57999998</v>
      </c>
      <c r="J22" s="300" t="s">
        <v>1400</v>
      </c>
      <c r="M22" s="310"/>
      <c r="N22" s="302"/>
      <c r="O22" s="302"/>
    </row>
    <row r="23" spans="1:15" x14ac:dyDescent="0.25">
      <c r="A23" s="280">
        <v>18</v>
      </c>
      <c r="B23" s="281"/>
      <c r="C23" s="265" t="s">
        <v>1401</v>
      </c>
      <c r="D23" s="261" t="s">
        <v>1402</v>
      </c>
      <c r="E23" s="261" t="s">
        <v>1403</v>
      </c>
      <c r="F23" s="259"/>
      <c r="G23" s="282"/>
      <c r="H23" s="282">
        <v>6708975</v>
      </c>
      <c r="I23" s="282">
        <f t="shared" si="0"/>
        <v>292649795.57999998</v>
      </c>
      <c r="J23" s="300" t="s">
        <v>1404</v>
      </c>
      <c r="N23" s="302"/>
      <c r="O23" s="302"/>
    </row>
    <row r="24" spans="1:15" x14ac:dyDescent="0.25">
      <c r="A24" s="280">
        <v>19</v>
      </c>
      <c r="B24" s="281">
        <v>44592</v>
      </c>
      <c r="C24" s="265" t="s">
        <v>1405</v>
      </c>
      <c r="D24" s="261" t="s">
        <v>1406</v>
      </c>
      <c r="E24" s="261"/>
      <c r="F24" s="259"/>
      <c r="G24" s="282"/>
      <c r="H24" s="282">
        <v>63370000</v>
      </c>
      <c r="I24" s="282">
        <f t="shared" si="0"/>
        <v>356019795.57999998</v>
      </c>
      <c r="J24" s="300"/>
      <c r="M24" s="310"/>
      <c r="N24" s="302"/>
      <c r="O24" s="302"/>
    </row>
    <row r="25" spans="1:15" x14ac:dyDescent="0.25">
      <c r="A25" s="280">
        <v>20</v>
      </c>
      <c r="B25" s="281">
        <v>44593</v>
      </c>
      <c r="C25" s="265" t="s">
        <v>1367</v>
      </c>
      <c r="D25" s="260" t="s">
        <v>1368</v>
      </c>
      <c r="E25" s="261"/>
      <c r="F25" s="259"/>
      <c r="G25" s="282"/>
      <c r="H25" s="282"/>
      <c r="I25" s="282">
        <f t="shared" si="0"/>
        <v>356019795.57999998</v>
      </c>
      <c r="J25" s="300"/>
      <c r="M25" s="310"/>
      <c r="N25" s="302"/>
      <c r="O25" s="302"/>
    </row>
    <row r="26" spans="1:15" x14ac:dyDescent="0.25">
      <c r="A26" s="280">
        <v>21</v>
      </c>
      <c r="B26" s="281"/>
      <c r="C26" s="265" t="s">
        <v>1369</v>
      </c>
      <c r="D26" s="260" t="s">
        <v>1370</v>
      </c>
      <c r="E26" s="262"/>
      <c r="F26" s="259"/>
      <c r="G26" s="282"/>
      <c r="H26" s="282"/>
      <c r="I26" s="282">
        <f t="shared" si="0"/>
        <v>356019795.57999998</v>
      </c>
      <c r="J26" s="300"/>
      <c r="N26" s="302"/>
      <c r="O26" s="302"/>
    </row>
    <row r="27" spans="1:15" x14ac:dyDescent="0.25">
      <c r="A27" s="280">
        <v>22</v>
      </c>
      <c r="B27" s="281"/>
      <c r="C27" s="291" t="s">
        <v>1371</v>
      </c>
      <c r="D27" s="292" t="s">
        <v>1372</v>
      </c>
      <c r="E27" s="261"/>
      <c r="F27" s="259"/>
      <c r="G27" s="282"/>
      <c r="H27" s="282"/>
      <c r="I27" s="282">
        <f>I26-G27+H27</f>
        <v>356019795.57999998</v>
      </c>
      <c r="J27" s="300"/>
      <c r="M27" s="310"/>
      <c r="N27" s="302"/>
      <c r="O27" s="302"/>
    </row>
    <row r="28" spans="1:15" ht="13.5" thickBot="1" x14ac:dyDescent="0.3">
      <c r="A28" s="283"/>
      <c r="B28" s="286" t="s">
        <v>38</v>
      </c>
      <c r="C28" s="289"/>
      <c r="D28" s="287"/>
      <c r="E28" s="287"/>
      <c r="F28" s="288"/>
      <c r="G28" s="284">
        <f>SUM(G6:G27)</f>
        <v>267759456.66999999</v>
      </c>
      <c r="H28" s="284">
        <f>SUM(H5:H26)</f>
        <v>226284775.37</v>
      </c>
      <c r="I28" s="284">
        <f>I27</f>
        <v>356019795.57999998</v>
      </c>
      <c r="J28" s="689"/>
      <c r="N28" s="302"/>
      <c r="O28" s="302"/>
    </row>
    <row r="29" spans="1:15" x14ac:dyDescent="0.25">
      <c r="A29" s="315" t="s">
        <v>307</v>
      </c>
      <c r="B29" s="278"/>
      <c r="C29" s="821" t="s">
        <v>1926</v>
      </c>
      <c r="D29" s="822"/>
      <c r="E29" s="822"/>
      <c r="F29" s="823"/>
      <c r="G29" s="279"/>
      <c r="H29" s="279"/>
      <c r="I29" s="279">
        <f>I28-G29+H29</f>
        <v>356019795.57999998</v>
      </c>
      <c r="J29" s="688"/>
    </row>
    <row r="30" spans="1:15" x14ac:dyDescent="0.25">
      <c r="A30" s="280">
        <v>1</v>
      </c>
      <c r="B30" s="281"/>
      <c r="C30" s="265" t="s">
        <v>318</v>
      </c>
      <c r="D30" s="261"/>
      <c r="E30" s="261"/>
      <c r="F30" s="259"/>
      <c r="G30" s="282"/>
      <c r="H30" s="282"/>
      <c r="I30" s="282">
        <f>I29-G30+H30</f>
        <v>356019795.57999998</v>
      </c>
      <c r="J30" s="300"/>
      <c r="K30" s="308"/>
    </row>
    <row r="31" spans="1:15" x14ac:dyDescent="0.25">
      <c r="A31" s="280">
        <v>2</v>
      </c>
      <c r="B31" s="281">
        <v>44593</v>
      </c>
      <c r="C31" s="265" t="s">
        <v>1367</v>
      </c>
      <c r="D31" s="260" t="s">
        <v>1368</v>
      </c>
      <c r="E31" s="260"/>
      <c r="F31" s="259"/>
      <c r="G31" s="285"/>
      <c r="H31" s="285">
        <v>344657.22</v>
      </c>
      <c r="I31" s="282">
        <f>I30-G31+H31</f>
        <v>356364452.80000001</v>
      </c>
      <c r="J31" s="300"/>
    </row>
    <row r="32" spans="1:15" x14ac:dyDescent="0.25">
      <c r="A32" s="280">
        <v>3</v>
      </c>
      <c r="B32" s="281"/>
      <c r="C32" s="265" t="s">
        <v>1369</v>
      </c>
      <c r="D32" s="260" t="s">
        <v>1370</v>
      </c>
      <c r="E32" s="260"/>
      <c r="F32" s="259"/>
      <c r="G32" s="285">
        <v>68931.44</v>
      </c>
      <c r="H32" s="285"/>
      <c r="I32" s="282">
        <f t="shared" ref="I32:I50" si="1">I31-G32+H32</f>
        <v>356295521.36000001</v>
      </c>
      <c r="J32" s="300"/>
      <c r="M32" s="309"/>
      <c r="N32" s="309"/>
    </row>
    <row r="33" spans="1:15" x14ac:dyDescent="0.25">
      <c r="A33" s="280">
        <v>4</v>
      </c>
      <c r="B33" s="290"/>
      <c r="C33" s="291" t="s">
        <v>1371</v>
      </c>
      <c r="D33" s="292" t="s">
        <v>1372</v>
      </c>
      <c r="E33" s="292"/>
      <c r="F33" s="259"/>
      <c r="G33" s="293">
        <v>50000</v>
      </c>
      <c r="H33" s="293"/>
      <c r="I33" s="282">
        <f t="shared" si="1"/>
        <v>356245521.36000001</v>
      </c>
      <c r="J33" s="300"/>
      <c r="N33" s="310"/>
    </row>
    <row r="34" spans="1:15" x14ac:dyDescent="0.25">
      <c r="A34" s="280">
        <v>5</v>
      </c>
      <c r="B34" s="281">
        <v>44603</v>
      </c>
      <c r="C34" s="265" t="s">
        <v>1382</v>
      </c>
      <c r="D34" s="261" t="s">
        <v>1923</v>
      </c>
      <c r="E34" s="261"/>
      <c r="F34" s="259"/>
      <c r="G34" s="282"/>
      <c r="H34" s="282">
        <v>2948400</v>
      </c>
      <c r="I34" s="282">
        <f t="shared" si="1"/>
        <v>359193921.36000001</v>
      </c>
      <c r="J34" s="300" t="s">
        <v>1933</v>
      </c>
      <c r="N34" s="310"/>
    </row>
    <row r="35" spans="1:15" x14ac:dyDescent="0.25">
      <c r="A35" s="280">
        <v>6</v>
      </c>
      <c r="B35" s="281">
        <v>44606</v>
      </c>
      <c r="C35" s="265" t="s">
        <v>1373</v>
      </c>
      <c r="D35" s="261" t="s">
        <v>1374</v>
      </c>
      <c r="E35" s="261" t="s">
        <v>1924</v>
      </c>
      <c r="F35" s="259" t="s">
        <v>1925</v>
      </c>
      <c r="G35" s="282">
        <v>210827000</v>
      </c>
      <c r="H35" s="282"/>
      <c r="I35" s="282">
        <f t="shared" si="1"/>
        <v>148366921.36000001</v>
      </c>
      <c r="J35" s="300" t="s">
        <v>1388</v>
      </c>
      <c r="M35" s="310"/>
    </row>
    <row r="36" spans="1:15" x14ac:dyDescent="0.25">
      <c r="A36" s="280">
        <v>7</v>
      </c>
      <c r="B36" s="281"/>
      <c r="C36" s="265" t="s">
        <v>1382</v>
      </c>
      <c r="D36" s="261" t="s">
        <v>1927</v>
      </c>
      <c r="E36" s="261"/>
      <c r="F36" s="259"/>
      <c r="G36" s="282"/>
      <c r="H36" s="282">
        <v>3563172</v>
      </c>
      <c r="I36" s="282">
        <f t="shared" si="1"/>
        <v>151930093.36000001</v>
      </c>
      <c r="J36" s="300" t="s">
        <v>1389</v>
      </c>
    </row>
    <row r="37" spans="1:15" x14ac:dyDescent="0.25">
      <c r="A37" s="280">
        <v>8</v>
      </c>
      <c r="B37" s="281"/>
      <c r="C37" s="265" t="s">
        <v>1382</v>
      </c>
      <c r="D37" s="261" t="s">
        <v>1927</v>
      </c>
      <c r="E37" s="261"/>
      <c r="F37" s="259"/>
      <c r="G37" s="282"/>
      <c r="H37" s="282">
        <v>11012286</v>
      </c>
      <c r="I37" s="282">
        <f t="shared" si="1"/>
        <v>162942379.36000001</v>
      </c>
      <c r="J37" s="300" t="s">
        <v>1389</v>
      </c>
      <c r="K37" s="308"/>
      <c r="L37" s="308"/>
      <c r="M37" s="311"/>
      <c r="N37" s="311"/>
    </row>
    <row r="38" spans="1:15" x14ac:dyDescent="0.25">
      <c r="A38" s="280">
        <v>9</v>
      </c>
      <c r="B38" s="281">
        <v>44607</v>
      </c>
      <c r="C38" s="265" t="s">
        <v>1394</v>
      </c>
      <c r="D38" s="262" t="s">
        <v>1395</v>
      </c>
      <c r="E38" s="262"/>
      <c r="F38" s="259"/>
      <c r="G38" s="282"/>
      <c r="H38" s="282">
        <v>1687000</v>
      </c>
      <c r="I38" s="282">
        <f t="shared" si="1"/>
        <v>164629379.36000001</v>
      </c>
      <c r="J38" s="300"/>
    </row>
    <row r="39" spans="1:15" x14ac:dyDescent="0.25">
      <c r="A39" s="280">
        <v>10</v>
      </c>
      <c r="B39" s="281"/>
      <c r="C39" s="265" t="s">
        <v>1394</v>
      </c>
      <c r="D39" s="262" t="s">
        <v>1395</v>
      </c>
      <c r="E39" s="261"/>
      <c r="F39" s="259"/>
      <c r="G39" s="282"/>
      <c r="H39" s="282">
        <v>811000</v>
      </c>
      <c r="I39" s="282">
        <f t="shared" si="1"/>
        <v>165440379.36000001</v>
      </c>
      <c r="J39" s="300"/>
    </row>
    <row r="40" spans="1:15" x14ac:dyDescent="0.25">
      <c r="A40" s="280">
        <v>11</v>
      </c>
      <c r="B40" s="281"/>
      <c r="C40" s="265" t="s">
        <v>1382</v>
      </c>
      <c r="D40" s="261" t="s">
        <v>1928</v>
      </c>
      <c r="E40" s="261"/>
      <c r="F40" s="259"/>
      <c r="G40" s="282"/>
      <c r="H40" s="282">
        <v>3773115</v>
      </c>
      <c r="I40" s="282">
        <f t="shared" si="1"/>
        <v>169213494.36000001</v>
      </c>
      <c r="J40" s="300" t="s">
        <v>1932</v>
      </c>
      <c r="K40" s="312"/>
    </row>
    <row r="41" spans="1:15" x14ac:dyDescent="0.25">
      <c r="A41" s="280">
        <v>12</v>
      </c>
      <c r="B41" s="281">
        <v>44608</v>
      </c>
      <c r="C41" s="265" t="s">
        <v>1382</v>
      </c>
      <c r="D41" s="261" t="s">
        <v>1927</v>
      </c>
      <c r="E41" s="261"/>
      <c r="F41" s="259"/>
      <c r="G41" s="282"/>
      <c r="H41" s="282">
        <v>3958848</v>
      </c>
      <c r="I41" s="282">
        <f t="shared" si="1"/>
        <v>173172342.36000001</v>
      </c>
      <c r="J41" s="300" t="s">
        <v>1389</v>
      </c>
      <c r="N41" s="302"/>
      <c r="O41" s="302"/>
    </row>
    <row r="42" spans="1:15" x14ac:dyDescent="0.25">
      <c r="A42" s="280">
        <v>13</v>
      </c>
      <c r="B42" s="281"/>
      <c r="C42" s="265" t="s">
        <v>1382</v>
      </c>
      <c r="D42" s="261" t="s">
        <v>1927</v>
      </c>
      <c r="E42" s="261"/>
      <c r="F42" s="259"/>
      <c r="G42" s="282"/>
      <c r="H42" s="282">
        <v>2463840</v>
      </c>
      <c r="I42" s="282">
        <f t="shared" si="1"/>
        <v>175636182.36000001</v>
      </c>
      <c r="J42" s="300" t="s">
        <v>1389</v>
      </c>
      <c r="K42" s="309"/>
      <c r="L42" s="309"/>
      <c r="M42" s="309"/>
      <c r="N42" s="302"/>
      <c r="O42" s="302"/>
    </row>
    <row r="43" spans="1:15" x14ac:dyDescent="0.25">
      <c r="A43" s="280">
        <v>14</v>
      </c>
      <c r="B43" s="281">
        <v>44609</v>
      </c>
      <c r="C43" s="265" t="s">
        <v>1382</v>
      </c>
      <c r="D43" s="261" t="s">
        <v>1927</v>
      </c>
      <c r="E43" s="262"/>
      <c r="F43" s="259"/>
      <c r="G43" s="282"/>
      <c r="H43" s="282">
        <v>3257280</v>
      </c>
      <c r="I43" s="282">
        <f t="shared" si="1"/>
        <v>178893462.36000001</v>
      </c>
      <c r="J43" s="300" t="s">
        <v>1389</v>
      </c>
      <c r="M43" s="310"/>
      <c r="N43" s="302"/>
      <c r="O43" s="302"/>
    </row>
    <row r="44" spans="1:15" x14ac:dyDescent="0.25">
      <c r="A44" s="280">
        <v>15</v>
      </c>
      <c r="B44" s="281"/>
      <c r="C44" s="265" t="s">
        <v>1382</v>
      </c>
      <c r="D44" s="261" t="s">
        <v>1927</v>
      </c>
      <c r="E44" s="261"/>
      <c r="F44" s="259"/>
      <c r="G44" s="282"/>
      <c r="H44" s="282">
        <v>5844632</v>
      </c>
      <c r="I44" s="282">
        <f t="shared" si="1"/>
        <v>184738094.36000001</v>
      </c>
      <c r="J44" s="300" t="s">
        <v>1389</v>
      </c>
      <c r="N44" s="302"/>
      <c r="O44" s="302"/>
    </row>
    <row r="45" spans="1:15" x14ac:dyDescent="0.25">
      <c r="A45" s="280">
        <v>16</v>
      </c>
      <c r="B45" s="281"/>
      <c r="C45" s="265" t="s">
        <v>1382</v>
      </c>
      <c r="D45" s="261" t="s">
        <v>1927</v>
      </c>
      <c r="E45" s="261"/>
      <c r="F45" s="259"/>
      <c r="G45" s="282"/>
      <c r="H45" s="282">
        <v>3804597</v>
      </c>
      <c r="I45" s="282">
        <f t="shared" si="1"/>
        <v>188542691.36000001</v>
      </c>
      <c r="J45" s="300" t="s">
        <v>1389</v>
      </c>
      <c r="K45" s="309"/>
      <c r="L45" s="309"/>
      <c r="M45" s="309"/>
      <c r="N45" s="302"/>
      <c r="O45" s="302"/>
    </row>
    <row r="46" spans="1:15" x14ac:dyDescent="0.25">
      <c r="A46" s="280">
        <v>17</v>
      </c>
      <c r="B46" s="281">
        <v>44610</v>
      </c>
      <c r="C46" s="265" t="s">
        <v>1373</v>
      </c>
      <c r="D46" s="261" t="s">
        <v>1374</v>
      </c>
      <c r="E46" s="261" t="s">
        <v>1929</v>
      </c>
      <c r="F46" s="259" t="s">
        <v>1376</v>
      </c>
      <c r="G46" s="282">
        <v>148075000</v>
      </c>
      <c r="H46" s="282"/>
      <c r="I46" s="282">
        <f t="shared" si="1"/>
        <v>40467691.360000014</v>
      </c>
      <c r="J46" s="300" t="s">
        <v>1388</v>
      </c>
      <c r="M46" s="310"/>
      <c r="N46" s="302"/>
      <c r="O46" s="302"/>
    </row>
    <row r="47" spans="1:15" x14ac:dyDescent="0.25">
      <c r="A47" s="280">
        <v>18</v>
      </c>
      <c r="B47" s="281">
        <v>44613</v>
      </c>
      <c r="C47" s="265" t="s">
        <v>1405</v>
      </c>
      <c r="D47" s="261" t="s">
        <v>1930</v>
      </c>
      <c r="E47" s="261"/>
      <c r="F47" s="259"/>
      <c r="G47" s="282"/>
      <c r="H47" s="282">
        <v>67201000</v>
      </c>
      <c r="I47" s="282">
        <f t="shared" si="1"/>
        <v>107668691.36000001</v>
      </c>
      <c r="J47" s="300"/>
      <c r="N47" s="302"/>
      <c r="O47" s="302"/>
    </row>
    <row r="48" spans="1:15" x14ac:dyDescent="0.25">
      <c r="A48" s="280">
        <v>19</v>
      </c>
      <c r="B48" s="281"/>
      <c r="C48" s="265" t="s">
        <v>1382</v>
      </c>
      <c r="D48" s="261" t="s">
        <v>1923</v>
      </c>
      <c r="E48" s="261"/>
      <c r="F48" s="259"/>
      <c r="G48" s="282"/>
      <c r="H48" s="282">
        <v>2721600</v>
      </c>
      <c r="I48" s="282">
        <f t="shared" si="1"/>
        <v>110390291.36000001</v>
      </c>
      <c r="J48" s="300" t="s">
        <v>1933</v>
      </c>
      <c r="M48" s="310"/>
      <c r="N48" s="302"/>
      <c r="O48" s="302"/>
    </row>
    <row r="49" spans="1:15" x14ac:dyDescent="0.25">
      <c r="A49" s="280">
        <v>20</v>
      </c>
      <c r="B49" s="281">
        <v>44614</v>
      </c>
      <c r="C49" s="265" t="s">
        <v>1382</v>
      </c>
      <c r="D49" s="261" t="s">
        <v>1927</v>
      </c>
      <c r="E49" s="261"/>
      <c r="F49" s="259"/>
      <c r="G49" s="282"/>
      <c r="H49" s="282">
        <v>7139916</v>
      </c>
      <c r="I49" s="282">
        <f t="shared" si="1"/>
        <v>117530207.36000001</v>
      </c>
      <c r="J49" s="300" t="s">
        <v>1389</v>
      </c>
      <c r="M49" s="310"/>
      <c r="N49" s="302"/>
      <c r="O49" s="302"/>
    </row>
    <row r="50" spans="1:15" x14ac:dyDescent="0.25">
      <c r="A50" s="280">
        <v>21</v>
      </c>
      <c r="B50" s="281">
        <v>44621</v>
      </c>
      <c r="C50" s="265" t="s">
        <v>1405</v>
      </c>
      <c r="D50" s="262" t="s">
        <v>1931</v>
      </c>
      <c r="E50" s="262"/>
      <c r="F50" s="259"/>
      <c r="G50" s="282"/>
      <c r="H50" s="282"/>
      <c r="I50" s="282">
        <f t="shared" si="1"/>
        <v>117530207.36000001</v>
      </c>
      <c r="J50" s="300"/>
      <c r="N50" s="302"/>
      <c r="O50" s="302"/>
    </row>
    <row r="51" spans="1:15" x14ac:dyDescent="0.25">
      <c r="A51" s="280">
        <v>22</v>
      </c>
      <c r="B51" s="281"/>
      <c r="C51" s="265" t="s">
        <v>1367</v>
      </c>
      <c r="D51" s="261" t="s">
        <v>1368</v>
      </c>
      <c r="E51" s="261"/>
      <c r="F51" s="259"/>
      <c r="G51" s="282"/>
      <c r="H51" s="282"/>
      <c r="I51" s="282">
        <f>I50-G51+H51</f>
        <v>117530207.36000001</v>
      </c>
      <c r="J51" s="300"/>
      <c r="N51" s="302"/>
      <c r="O51" s="302"/>
    </row>
    <row r="52" spans="1:15" x14ac:dyDescent="0.25">
      <c r="A52" s="280">
        <v>23</v>
      </c>
      <c r="B52" s="281"/>
      <c r="C52" s="265" t="s">
        <v>1369</v>
      </c>
      <c r="D52" s="261" t="s">
        <v>1370</v>
      </c>
      <c r="E52" s="261"/>
      <c r="F52" s="259"/>
      <c r="G52" s="282"/>
      <c r="H52" s="282"/>
      <c r="I52" s="282">
        <f>I51-G52+H52</f>
        <v>117530207.36000001</v>
      </c>
      <c r="J52" s="300"/>
      <c r="M52" s="310"/>
      <c r="N52" s="302"/>
      <c r="O52" s="302"/>
    </row>
    <row r="53" spans="1:15" ht="13.5" thickBot="1" x14ac:dyDescent="0.3">
      <c r="A53" s="283"/>
      <c r="B53" s="286" t="s">
        <v>38</v>
      </c>
      <c r="C53" s="289"/>
      <c r="D53" s="287"/>
      <c r="E53" s="287"/>
      <c r="F53" s="288"/>
      <c r="G53" s="284">
        <f>SUM(G29:G52)</f>
        <v>359020931.44</v>
      </c>
      <c r="H53" s="284">
        <f>SUM(H29:H52)</f>
        <v>120531343.22</v>
      </c>
      <c r="I53" s="284">
        <f>I52</f>
        <v>117530207.36000001</v>
      </c>
      <c r="J53" s="689"/>
      <c r="N53" s="302"/>
      <c r="O53" s="302"/>
    </row>
    <row r="54" spans="1:15" x14ac:dyDescent="0.25">
      <c r="A54" s="315" t="s">
        <v>308</v>
      </c>
      <c r="B54" s="278"/>
      <c r="C54" s="821" t="s">
        <v>2599</v>
      </c>
      <c r="D54" s="822"/>
      <c r="E54" s="822"/>
      <c r="F54" s="823"/>
      <c r="G54" s="279"/>
      <c r="H54" s="279"/>
      <c r="I54" s="279">
        <f>I53-G54+H54</f>
        <v>117530207.36000001</v>
      </c>
      <c r="J54" s="688"/>
    </row>
    <row r="55" spans="1:15" x14ac:dyDescent="0.25">
      <c r="A55" s="280">
        <v>1</v>
      </c>
      <c r="B55" s="281"/>
      <c r="C55" s="265" t="s">
        <v>318</v>
      </c>
      <c r="D55" s="261"/>
      <c r="E55" s="261"/>
      <c r="F55" s="259"/>
      <c r="G55" s="282"/>
      <c r="H55" s="282"/>
      <c r="I55" s="282">
        <f>I54-G55+H55</f>
        <v>117530207.36000001</v>
      </c>
      <c r="J55" s="300"/>
      <c r="K55" s="308"/>
    </row>
    <row r="56" spans="1:15" x14ac:dyDescent="0.25">
      <c r="A56" s="280">
        <v>2</v>
      </c>
      <c r="B56" s="281">
        <v>44621</v>
      </c>
      <c r="C56" s="265" t="s">
        <v>1405</v>
      </c>
      <c r="D56" s="262" t="s">
        <v>1931</v>
      </c>
      <c r="E56" s="260"/>
      <c r="F56" s="259"/>
      <c r="G56" s="285"/>
      <c r="H56" s="285">
        <v>7000000</v>
      </c>
      <c r="I56" s="282">
        <f>I55-G56+H56</f>
        <v>124530207.36000001</v>
      </c>
      <c r="J56" s="300"/>
    </row>
    <row r="57" spans="1:15" x14ac:dyDescent="0.25">
      <c r="A57" s="280">
        <v>3</v>
      </c>
      <c r="B57" s="281"/>
      <c r="C57" s="265" t="s">
        <v>1367</v>
      </c>
      <c r="D57" s="261" t="s">
        <v>1368</v>
      </c>
      <c r="E57" s="260"/>
      <c r="F57" s="259"/>
      <c r="G57" s="285"/>
      <c r="H57" s="285">
        <v>346858.86</v>
      </c>
      <c r="I57" s="282">
        <f t="shared" ref="I57:I86" si="2">I56-G57+H57</f>
        <v>124877066.22000001</v>
      </c>
      <c r="J57" s="300"/>
      <c r="M57" s="309"/>
      <c r="N57" s="309"/>
    </row>
    <row r="58" spans="1:15" x14ac:dyDescent="0.25">
      <c r="A58" s="280">
        <v>4</v>
      </c>
      <c r="B58" s="290"/>
      <c r="C58" s="265" t="s">
        <v>1369</v>
      </c>
      <c r="D58" s="261" t="s">
        <v>1370</v>
      </c>
      <c r="E58" s="292"/>
      <c r="F58" s="259"/>
      <c r="G58" s="293">
        <v>69371.77</v>
      </c>
      <c r="H58" s="293"/>
      <c r="I58" s="282">
        <f t="shared" si="2"/>
        <v>124807694.45000002</v>
      </c>
      <c r="J58" s="300"/>
      <c r="N58" s="310"/>
    </row>
    <row r="59" spans="1:15" x14ac:dyDescent="0.25">
      <c r="A59" s="280">
        <v>5</v>
      </c>
      <c r="B59" s="281"/>
      <c r="C59" s="265" t="s">
        <v>1371</v>
      </c>
      <c r="D59" s="261" t="s">
        <v>1372</v>
      </c>
      <c r="E59" s="261"/>
      <c r="F59" s="259"/>
      <c r="G59" s="282">
        <v>50000</v>
      </c>
      <c r="H59" s="282"/>
      <c r="I59" s="282">
        <f t="shared" si="2"/>
        <v>124757694.45000002</v>
      </c>
      <c r="J59" s="300"/>
      <c r="N59" s="310"/>
    </row>
    <row r="60" spans="1:15" x14ac:dyDescent="0.25">
      <c r="A60" s="280">
        <v>6</v>
      </c>
      <c r="B60" s="281">
        <v>44624</v>
      </c>
      <c r="C60" s="265" t="s">
        <v>1382</v>
      </c>
      <c r="D60" s="261" t="s">
        <v>1927</v>
      </c>
      <c r="E60" s="261"/>
      <c r="F60" s="259"/>
      <c r="G60" s="282"/>
      <c r="H60" s="282">
        <v>2406420</v>
      </c>
      <c r="I60" s="282">
        <f t="shared" si="2"/>
        <v>127164114.45000002</v>
      </c>
      <c r="J60" s="300" t="s">
        <v>1389</v>
      </c>
      <c r="M60" s="310"/>
    </row>
    <row r="61" spans="1:15" x14ac:dyDescent="0.25">
      <c r="A61" s="280">
        <v>7</v>
      </c>
      <c r="B61" s="281"/>
      <c r="C61" s="265" t="s">
        <v>1382</v>
      </c>
      <c r="D61" s="261" t="s">
        <v>1927</v>
      </c>
      <c r="E61" s="261"/>
      <c r="F61" s="259"/>
      <c r="G61" s="282"/>
      <c r="H61" s="282">
        <v>3132000</v>
      </c>
      <c r="I61" s="282">
        <f t="shared" si="2"/>
        <v>130296114.45000002</v>
      </c>
      <c r="J61" s="300" t="s">
        <v>1389</v>
      </c>
    </row>
    <row r="62" spans="1:15" x14ac:dyDescent="0.25">
      <c r="A62" s="280">
        <v>8</v>
      </c>
      <c r="B62" s="281">
        <v>44627</v>
      </c>
      <c r="C62" s="265" t="s">
        <v>1382</v>
      </c>
      <c r="D62" s="715" t="s">
        <v>2600</v>
      </c>
      <c r="E62" s="261" t="s">
        <v>2601</v>
      </c>
      <c r="F62" s="259"/>
      <c r="G62" s="282"/>
      <c r="H62" s="282">
        <v>213480925</v>
      </c>
      <c r="I62" s="282">
        <f t="shared" si="2"/>
        <v>343777039.45000005</v>
      </c>
      <c r="J62" s="300" t="s">
        <v>1397</v>
      </c>
      <c r="K62" s="308"/>
      <c r="L62" s="308"/>
      <c r="M62" s="311"/>
      <c r="N62" s="311"/>
    </row>
    <row r="63" spans="1:15" x14ac:dyDescent="0.25">
      <c r="A63" s="280">
        <v>9</v>
      </c>
      <c r="B63" s="281"/>
      <c r="C63" s="265" t="s">
        <v>1405</v>
      </c>
      <c r="D63" s="261" t="s">
        <v>2602</v>
      </c>
      <c r="E63" s="262"/>
      <c r="F63" s="259"/>
      <c r="G63" s="282"/>
      <c r="H63" s="282">
        <v>6430000</v>
      </c>
      <c r="I63" s="282">
        <f t="shared" si="2"/>
        <v>350207039.45000005</v>
      </c>
      <c r="J63" s="300"/>
    </row>
    <row r="64" spans="1:15" x14ac:dyDescent="0.25">
      <c r="A64" s="280">
        <v>10</v>
      </c>
      <c r="B64" s="281">
        <v>44628</v>
      </c>
      <c r="C64" s="265" t="s">
        <v>1401</v>
      </c>
      <c r="D64" s="261" t="s">
        <v>2603</v>
      </c>
      <c r="E64" s="261" t="s">
        <v>1403</v>
      </c>
      <c r="F64" s="259"/>
      <c r="G64" s="282"/>
      <c r="H64" s="282">
        <v>20383450</v>
      </c>
      <c r="I64" s="282">
        <f t="shared" si="2"/>
        <v>370590489.45000005</v>
      </c>
      <c r="J64" s="300" t="s">
        <v>1404</v>
      </c>
    </row>
    <row r="65" spans="1:15" x14ac:dyDescent="0.25">
      <c r="A65" s="280">
        <v>11</v>
      </c>
      <c r="B65" s="281">
        <v>44631</v>
      </c>
      <c r="C65" s="265" t="s">
        <v>1382</v>
      </c>
      <c r="D65" s="261" t="s">
        <v>1927</v>
      </c>
      <c r="E65" s="261"/>
      <c r="F65" s="259"/>
      <c r="G65" s="282"/>
      <c r="H65" s="282">
        <v>6179088</v>
      </c>
      <c r="I65" s="282">
        <f t="shared" si="2"/>
        <v>376769577.45000005</v>
      </c>
      <c r="J65" s="300" t="s">
        <v>1389</v>
      </c>
      <c r="K65" s="312"/>
    </row>
    <row r="66" spans="1:15" x14ac:dyDescent="0.25">
      <c r="A66" s="280">
        <v>12</v>
      </c>
      <c r="B66" s="281"/>
      <c r="C66" s="265" t="s">
        <v>1382</v>
      </c>
      <c r="D66" s="261" t="s">
        <v>1927</v>
      </c>
      <c r="E66" s="261"/>
      <c r="F66" s="259"/>
      <c r="G66" s="282"/>
      <c r="H66" s="282">
        <v>1463688</v>
      </c>
      <c r="I66" s="282">
        <f t="shared" si="2"/>
        <v>378233265.45000005</v>
      </c>
      <c r="J66" s="300" t="s">
        <v>1389</v>
      </c>
      <c r="N66" s="302"/>
      <c r="O66" s="302"/>
    </row>
    <row r="67" spans="1:15" x14ac:dyDescent="0.25">
      <c r="A67" s="280">
        <v>13</v>
      </c>
      <c r="B67" s="281"/>
      <c r="C67" s="265" t="s">
        <v>1379</v>
      </c>
      <c r="D67" s="261" t="s">
        <v>2604</v>
      </c>
      <c r="E67" s="261" t="s">
        <v>1381</v>
      </c>
      <c r="F67" s="259"/>
      <c r="G67" s="282"/>
      <c r="H67" s="282">
        <v>5663520</v>
      </c>
      <c r="I67" s="282">
        <f t="shared" si="2"/>
        <v>383896785.45000005</v>
      </c>
      <c r="J67" s="300"/>
      <c r="K67" s="309"/>
      <c r="L67" s="309"/>
      <c r="M67" s="309"/>
      <c r="N67" s="302"/>
      <c r="O67" s="302"/>
    </row>
    <row r="68" spans="1:15" x14ac:dyDescent="0.25">
      <c r="A68" s="280">
        <v>14</v>
      </c>
      <c r="B68" s="281">
        <v>44636</v>
      </c>
      <c r="C68" s="265" t="s">
        <v>1401</v>
      </c>
      <c r="D68" s="261" t="s">
        <v>2605</v>
      </c>
      <c r="E68" s="262" t="s">
        <v>1403</v>
      </c>
      <c r="F68" s="259"/>
      <c r="G68" s="282"/>
      <c r="H68" s="282">
        <v>5753500</v>
      </c>
      <c r="I68" s="282">
        <f t="shared" si="2"/>
        <v>389650285.45000005</v>
      </c>
      <c r="J68" s="300" t="s">
        <v>1404</v>
      </c>
      <c r="M68" s="310"/>
      <c r="N68" s="302"/>
      <c r="O68" s="302"/>
    </row>
    <row r="69" spans="1:15" x14ac:dyDescent="0.25">
      <c r="A69" s="280">
        <v>15</v>
      </c>
      <c r="B69" s="281">
        <v>44637</v>
      </c>
      <c r="C69" s="265" t="s">
        <v>1382</v>
      </c>
      <c r="D69" s="261" t="s">
        <v>1927</v>
      </c>
      <c r="E69" s="261"/>
      <c r="F69" s="259"/>
      <c r="G69" s="282"/>
      <c r="H69" s="282">
        <v>1879200</v>
      </c>
      <c r="I69" s="282">
        <f t="shared" si="2"/>
        <v>391529485.45000005</v>
      </c>
      <c r="J69" s="300" t="s">
        <v>1389</v>
      </c>
      <c r="N69" s="302"/>
      <c r="O69" s="302"/>
    </row>
    <row r="70" spans="1:15" x14ac:dyDescent="0.25">
      <c r="A70" s="280">
        <v>16</v>
      </c>
      <c r="B70" s="281">
        <v>44638</v>
      </c>
      <c r="C70" s="265" t="s">
        <v>1382</v>
      </c>
      <c r="D70" s="261" t="s">
        <v>1399</v>
      </c>
      <c r="E70" s="261"/>
      <c r="F70" s="259"/>
      <c r="G70" s="282"/>
      <c r="H70" s="282">
        <v>77097000</v>
      </c>
      <c r="I70" s="282">
        <f t="shared" si="2"/>
        <v>468626485.45000005</v>
      </c>
      <c r="J70" s="300" t="s">
        <v>1400</v>
      </c>
      <c r="K70" s="309"/>
      <c r="L70" s="309"/>
      <c r="M70" s="309"/>
      <c r="N70" s="302"/>
      <c r="O70" s="302"/>
    </row>
    <row r="71" spans="1:15" x14ac:dyDescent="0.25">
      <c r="A71" s="280">
        <v>17</v>
      </c>
      <c r="B71" s="281"/>
      <c r="C71" s="265" t="s">
        <v>1382</v>
      </c>
      <c r="D71" s="261" t="s">
        <v>2606</v>
      </c>
      <c r="E71" s="261" t="s">
        <v>1384</v>
      </c>
      <c r="F71" s="259"/>
      <c r="G71" s="282"/>
      <c r="H71" s="282">
        <v>4865910</v>
      </c>
      <c r="I71" s="282">
        <f t="shared" si="2"/>
        <v>473492395.45000005</v>
      </c>
      <c r="J71" s="300" t="s">
        <v>1389</v>
      </c>
      <c r="M71" s="310"/>
      <c r="N71" s="302"/>
      <c r="O71" s="302"/>
    </row>
    <row r="72" spans="1:15" x14ac:dyDescent="0.25">
      <c r="A72" s="280">
        <v>18</v>
      </c>
      <c r="B72" s="281">
        <v>44641</v>
      </c>
      <c r="C72" s="716" t="s">
        <v>1379</v>
      </c>
      <c r="D72" s="261" t="s">
        <v>2607</v>
      </c>
      <c r="E72" s="261" t="s">
        <v>1381</v>
      </c>
      <c r="F72" s="259"/>
      <c r="G72" s="282"/>
      <c r="H72" s="282">
        <v>6671505</v>
      </c>
      <c r="I72" s="282">
        <f t="shared" si="2"/>
        <v>480163900.45000005</v>
      </c>
      <c r="J72" s="300"/>
      <c r="N72" s="302"/>
      <c r="O72" s="302"/>
    </row>
    <row r="73" spans="1:15" x14ac:dyDescent="0.25">
      <c r="A73" s="280">
        <v>19</v>
      </c>
      <c r="B73" s="281">
        <v>44645</v>
      </c>
      <c r="C73" s="265" t="s">
        <v>1394</v>
      </c>
      <c r="D73" s="261" t="s">
        <v>1395</v>
      </c>
      <c r="E73" s="261"/>
      <c r="F73" s="259"/>
      <c r="G73" s="282"/>
      <c r="H73" s="282">
        <v>1785400</v>
      </c>
      <c r="I73" s="282">
        <f t="shared" si="2"/>
        <v>481949300.45000005</v>
      </c>
      <c r="J73" s="300"/>
      <c r="M73" s="310"/>
      <c r="N73" s="302"/>
      <c r="O73" s="302"/>
    </row>
    <row r="74" spans="1:15" x14ac:dyDescent="0.25">
      <c r="A74" s="280">
        <v>20</v>
      </c>
      <c r="B74" s="281">
        <v>44648</v>
      </c>
      <c r="C74" s="265" t="s">
        <v>1382</v>
      </c>
      <c r="D74" s="261" t="s">
        <v>1927</v>
      </c>
      <c r="E74" s="261"/>
      <c r="F74" s="259"/>
      <c r="G74" s="282"/>
      <c r="H74" s="282">
        <v>7197162</v>
      </c>
      <c r="I74" s="282">
        <f t="shared" si="2"/>
        <v>489146462.45000005</v>
      </c>
      <c r="J74" s="300" t="s">
        <v>1389</v>
      </c>
      <c r="M74" s="310"/>
      <c r="N74" s="302"/>
      <c r="O74" s="302"/>
    </row>
    <row r="75" spans="1:15" x14ac:dyDescent="0.25">
      <c r="A75" s="280">
        <v>21</v>
      </c>
      <c r="B75" s="281"/>
      <c r="C75" s="265" t="s">
        <v>1382</v>
      </c>
      <c r="D75" s="261" t="s">
        <v>1927</v>
      </c>
      <c r="E75" s="262"/>
      <c r="F75" s="259"/>
      <c r="G75" s="282"/>
      <c r="H75" s="282">
        <v>8676771</v>
      </c>
      <c r="I75" s="282">
        <f t="shared" si="2"/>
        <v>497823233.45000005</v>
      </c>
      <c r="J75" s="300" t="s">
        <v>1389</v>
      </c>
      <c r="N75" s="302"/>
      <c r="O75" s="302"/>
    </row>
    <row r="76" spans="1:15" ht="13.5" thickBot="1" x14ac:dyDescent="0.3">
      <c r="A76" s="283"/>
      <c r="B76" s="286"/>
      <c r="C76" s="289"/>
      <c r="D76" s="287"/>
      <c r="E76" s="287"/>
      <c r="F76" s="288"/>
      <c r="G76" s="284"/>
      <c r="H76" s="284"/>
      <c r="I76" s="284"/>
      <c r="J76" s="689"/>
      <c r="N76" s="302"/>
      <c r="O76" s="302"/>
    </row>
    <row r="77" spans="1:15" x14ac:dyDescent="0.25">
      <c r="A77" s="280"/>
      <c r="B77" s="281"/>
      <c r="C77" s="265" t="s">
        <v>2608</v>
      </c>
      <c r="D77" s="261"/>
      <c r="E77" s="261"/>
      <c r="F77" s="259"/>
      <c r="G77" s="282"/>
      <c r="H77" s="282"/>
      <c r="I77" s="282">
        <f>I75</f>
        <v>497823233.45000005</v>
      </c>
      <c r="J77" s="300"/>
      <c r="N77" s="302"/>
      <c r="O77" s="302"/>
    </row>
    <row r="78" spans="1:15" x14ac:dyDescent="0.25">
      <c r="A78" s="280">
        <v>1</v>
      </c>
      <c r="B78" s="281">
        <v>44649</v>
      </c>
      <c r="C78" s="265" t="s">
        <v>1382</v>
      </c>
      <c r="D78" s="261" t="s">
        <v>2600</v>
      </c>
      <c r="E78" s="261" t="s">
        <v>2601</v>
      </c>
      <c r="F78" s="259"/>
      <c r="G78" s="282"/>
      <c r="H78" s="282">
        <v>213434025</v>
      </c>
      <c r="I78" s="282">
        <f>I77-G78+H78</f>
        <v>711257258.45000005</v>
      </c>
      <c r="J78" s="300" t="s">
        <v>1397</v>
      </c>
      <c r="M78" s="310"/>
      <c r="N78" s="302"/>
      <c r="O78" s="302"/>
    </row>
    <row r="79" spans="1:15" x14ac:dyDescent="0.25">
      <c r="A79" s="280">
        <v>2</v>
      </c>
      <c r="B79" s="281">
        <v>44650</v>
      </c>
      <c r="C79" s="265" t="s">
        <v>1382</v>
      </c>
      <c r="D79" s="261" t="s">
        <v>1927</v>
      </c>
      <c r="E79" s="261"/>
      <c r="F79" s="259"/>
      <c r="G79" s="282"/>
      <c r="H79" s="282">
        <v>9151617</v>
      </c>
      <c r="I79" s="282">
        <f t="shared" ref="I79" si="3">I78-G79+H79</f>
        <v>720408875.45000005</v>
      </c>
      <c r="J79" s="300" t="s">
        <v>1389</v>
      </c>
      <c r="M79" s="310"/>
      <c r="N79" s="302"/>
      <c r="O79" s="302"/>
    </row>
    <row r="80" spans="1:15" x14ac:dyDescent="0.25">
      <c r="A80" s="280">
        <v>3</v>
      </c>
      <c r="B80" s="281"/>
      <c r="C80" s="265" t="s">
        <v>1382</v>
      </c>
      <c r="D80" s="261" t="s">
        <v>1927</v>
      </c>
      <c r="E80" s="261"/>
      <c r="F80" s="259"/>
      <c r="G80" s="282"/>
      <c r="H80" s="282">
        <v>17105853</v>
      </c>
      <c r="I80" s="282">
        <f>I79-G80+H80</f>
        <v>737514728.45000005</v>
      </c>
      <c r="J80" s="300" t="s">
        <v>1389</v>
      </c>
      <c r="M80" s="310"/>
      <c r="N80" s="302"/>
      <c r="O80" s="302"/>
    </row>
    <row r="81" spans="1:15" x14ac:dyDescent="0.25">
      <c r="A81" s="280">
        <v>4</v>
      </c>
      <c r="B81" s="281"/>
      <c r="C81" s="265" t="s">
        <v>1405</v>
      </c>
      <c r="D81" s="261" t="s">
        <v>2609</v>
      </c>
      <c r="E81" s="261"/>
      <c r="F81" s="259"/>
      <c r="G81" s="282"/>
      <c r="H81" s="282">
        <v>49695000</v>
      </c>
      <c r="I81" s="282">
        <f t="shared" ref="I81" si="4">I80-G81+H81</f>
        <v>787209728.45000005</v>
      </c>
      <c r="J81" s="300"/>
      <c r="M81" s="310"/>
      <c r="N81" s="302"/>
      <c r="O81" s="302"/>
    </row>
    <row r="82" spans="1:15" x14ac:dyDescent="0.25">
      <c r="A82" s="280">
        <v>5</v>
      </c>
      <c r="B82" s="281">
        <v>44652</v>
      </c>
      <c r="C82" s="265" t="s">
        <v>1367</v>
      </c>
      <c r="D82" s="261" t="s">
        <v>1368</v>
      </c>
      <c r="E82" s="261"/>
      <c r="F82" s="259"/>
      <c r="G82" s="282"/>
      <c r="H82" s="282"/>
      <c r="I82" s="282">
        <f>I81-G82+H82</f>
        <v>787209728.45000005</v>
      </c>
      <c r="J82" s="300"/>
      <c r="M82" s="310"/>
      <c r="N82" s="302"/>
      <c r="O82" s="302"/>
    </row>
    <row r="83" spans="1:15" x14ac:dyDescent="0.25">
      <c r="A83" s="280">
        <v>6</v>
      </c>
      <c r="B83" s="281"/>
      <c r="C83" s="265" t="s">
        <v>1369</v>
      </c>
      <c r="D83" s="261" t="s">
        <v>1370</v>
      </c>
      <c r="E83" s="261"/>
      <c r="F83" s="259"/>
      <c r="G83" s="282"/>
      <c r="H83" s="282"/>
      <c r="I83" s="282">
        <f t="shared" ref="I83" si="5">I82-G83+H83</f>
        <v>787209728.45000005</v>
      </c>
      <c r="J83" s="300"/>
      <c r="M83" s="310"/>
      <c r="N83" s="302"/>
      <c r="O83" s="302"/>
    </row>
    <row r="84" spans="1:15" x14ac:dyDescent="0.25">
      <c r="A84" s="280">
        <v>7</v>
      </c>
      <c r="B84" s="281"/>
      <c r="C84" s="265" t="s">
        <v>1371</v>
      </c>
      <c r="D84" s="261" t="s">
        <v>1372</v>
      </c>
      <c r="E84" s="261"/>
      <c r="F84" s="259"/>
      <c r="G84" s="282"/>
      <c r="H84" s="282"/>
      <c r="I84" s="282">
        <f>I83-G84+H84</f>
        <v>787209728.45000005</v>
      </c>
      <c r="J84" s="300"/>
      <c r="M84" s="310"/>
      <c r="N84" s="302"/>
      <c r="O84" s="302"/>
    </row>
    <row r="85" spans="1:15" x14ac:dyDescent="0.25">
      <c r="A85" s="280">
        <v>8</v>
      </c>
      <c r="B85" s="281">
        <v>44655</v>
      </c>
      <c r="C85" s="265" t="s">
        <v>1373</v>
      </c>
      <c r="D85" s="261" t="s">
        <v>1374</v>
      </c>
      <c r="E85" s="261" t="s">
        <v>2610</v>
      </c>
      <c r="F85" s="259" t="s">
        <v>1376</v>
      </c>
      <c r="G85" s="282"/>
      <c r="H85" s="282"/>
      <c r="I85" s="282">
        <f t="shared" si="2"/>
        <v>787209728.45000005</v>
      </c>
      <c r="J85" s="300"/>
      <c r="M85" s="310"/>
      <c r="N85" s="302"/>
      <c r="O85" s="302"/>
    </row>
    <row r="86" spans="1:15" x14ac:dyDescent="0.25">
      <c r="A86" s="280">
        <v>9</v>
      </c>
      <c r="B86" s="281"/>
      <c r="C86" s="265" t="s">
        <v>1373</v>
      </c>
      <c r="D86" s="262" t="s">
        <v>1374</v>
      </c>
      <c r="E86" s="261" t="s">
        <v>2611</v>
      </c>
      <c r="F86" s="259" t="s">
        <v>1376</v>
      </c>
      <c r="G86" s="282"/>
      <c r="H86" s="282"/>
      <c r="I86" s="282">
        <f t="shared" si="2"/>
        <v>787209728.45000005</v>
      </c>
      <c r="J86" s="300"/>
      <c r="N86" s="302"/>
      <c r="O86" s="302"/>
    </row>
    <row r="87" spans="1:15" ht="13.5" thickBot="1" x14ac:dyDescent="0.3">
      <c r="A87" s="283"/>
      <c r="B87" s="286" t="s">
        <v>38</v>
      </c>
      <c r="C87" s="289"/>
      <c r="D87" s="287"/>
      <c r="E87" s="287"/>
      <c r="F87" s="288"/>
      <c r="G87" s="284">
        <f>SUM(G54:G86)</f>
        <v>119371.77</v>
      </c>
      <c r="H87" s="284">
        <f>SUM(H54:H86)</f>
        <v>669798892.86000001</v>
      </c>
      <c r="I87" s="284">
        <f>I86</f>
        <v>787209728.45000005</v>
      </c>
      <c r="J87" s="689"/>
      <c r="N87" s="302"/>
      <c r="O87" s="302"/>
    </row>
    <row r="88" spans="1:15" x14ac:dyDescent="0.25">
      <c r="A88" s="315" t="s">
        <v>309</v>
      </c>
      <c r="B88" s="278"/>
      <c r="C88" s="821" t="s">
        <v>3054</v>
      </c>
      <c r="D88" s="822"/>
      <c r="E88" s="822"/>
      <c r="F88" s="823"/>
      <c r="G88" s="279"/>
      <c r="H88" s="279"/>
      <c r="I88" s="279">
        <f>I87-G88+H88</f>
        <v>787209728.45000005</v>
      </c>
      <c r="J88" s="688"/>
    </row>
    <row r="89" spans="1:15" x14ac:dyDescent="0.25">
      <c r="A89" s="280">
        <v>1</v>
      </c>
      <c r="B89" s="281"/>
      <c r="C89" s="265" t="s">
        <v>318</v>
      </c>
      <c r="D89" s="261"/>
      <c r="E89" s="261"/>
      <c r="F89" s="259"/>
      <c r="G89" s="282"/>
      <c r="H89" s="282"/>
      <c r="I89" s="282">
        <f>I88-G89+H89</f>
        <v>787209728.45000005</v>
      </c>
      <c r="J89" s="300"/>
      <c r="K89" s="308"/>
    </row>
    <row r="90" spans="1:15" x14ac:dyDescent="0.25">
      <c r="A90" s="280">
        <v>2</v>
      </c>
      <c r="B90" s="281">
        <v>44652</v>
      </c>
      <c r="C90" s="265" t="s">
        <v>1367</v>
      </c>
      <c r="D90" s="261" t="s">
        <v>1368</v>
      </c>
      <c r="E90" s="261"/>
      <c r="F90" s="259"/>
      <c r="G90" s="282"/>
      <c r="H90" s="282">
        <v>700492.83</v>
      </c>
      <c r="I90" s="282">
        <f>I89-G90+H90</f>
        <v>787910221.28000009</v>
      </c>
      <c r="J90" s="300"/>
    </row>
    <row r="91" spans="1:15" x14ac:dyDescent="0.25">
      <c r="A91" s="280">
        <v>3</v>
      </c>
      <c r="B91" s="281"/>
      <c r="C91" s="265" t="s">
        <v>1369</v>
      </c>
      <c r="D91" s="261" t="s">
        <v>1370</v>
      </c>
      <c r="E91" s="261"/>
      <c r="F91" s="259"/>
      <c r="G91" s="282">
        <v>140098.56</v>
      </c>
      <c r="H91" s="282"/>
      <c r="I91" s="282">
        <f t="shared" ref="I91:I113" si="6">I90-G91+H91</f>
        <v>787770122.72000015</v>
      </c>
      <c r="J91" s="300"/>
      <c r="M91" s="309"/>
      <c r="N91" s="309"/>
    </row>
    <row r="92" spans="1:15" x14ac:dyDescent="0.25">
      <c r="A92" s="280">
        <v>4</v>
      </c>
      <c r="B92" s="281"/>
      <c r="C92" s="265" t="s">
        <v>1371</v>
      </c>
      <c r="D92" s="261" t="s">
        <v>1372</v>
      </c>
      <c r="E92" s="261"/>
      <c r="F92" s="259"/>
      <c r="G92" s="282">
        <v>50000</v>
      </c>
      <c r="H92" s="282"/>
      <c r="I92" s="282">
        <f t="shared" si="6"/>
        <v>787720122.72000015</v>
      </c>
      <c r="J92" s="300"/>
      <c r="N92" s="310"/>
    </row>
    <row r="93" spans="1:15" x14ac:dyDescent="0.25">
      <c r="A93" s="280">
        <v>5</v>
      </c>
      <c r="B93" s="281">
        <v>44655</v>
      </c>
      <c r="C93" s="265" t="s">
        <v>1373</v>
      </c>
      <c r="D93" s="261" t="s">
        <v>1374</v>
      </c>
      <c r="E93" s="261" t="s">
        <v>2610</v>
      </c>
      <c r="F93" s="259" t="s">
        <v>1376</v>
      </c>
      <c r="G93" s="282">
        <v>263539000</v>
      </c>
      <c r="H93" s="282"/>
      <c r="I93" s="282">
        <f t="shared" si="6"/>
        <v>524181122.72000015</v>
      </c>
      <c r="J93" s="300" t="s">
        <v>1388</v>
      </c>
      <c r="N93" s="310"/>
    </row>
    <row r="94" spans="1:15" x14ac:dyDescent="0.25">
      <c r="A94" s="280">
        <v>6</v>
      </c>
      <c r="B94" s="281"/>
      <c r="C94" s="265" t="s">
        <v>1373</v>
      </c>
      <c r="D94" s="262" t="s">
        <v>1374</v>
      </c>
      <c r="E94" s="261" t="s">
        <v>2611</v>
      </c>
      <c r="F94" s="259" t="s">
        <v>1376</v>
      </c>
      <c r="G94" s="282">
        <v>235465000</v>
      </c>
      <c r="H94" s="282"/>
      <c r="I94" s="282">
        <f t="shared" si="6"/>
        <v>288716122.72000015</v>
      </c>
      <c r="J94" s="300" t="s">
        <v>1388</v>
      </c>
      <c r="M94" s="310"/>
    </row>
    <row r="95" spans="1:15" x14ac:dyDescent="0.25">
      <c r="A95" s="280">
        <v>7</v>
      </c>
      <c r="B95" s="281">
        <v>44658</v>
      </c>
      <c r="C95" s="265" t="s">
        <v>1382</v>
      </c>
      <c r="D95" s="261" t="s">
        <v>1928</v>
      </c>
      <c r="E95" s="261"/>
      <c r="F95" s="259"/>
      <c r="G95" s="282"/>
      <c r="H95" s="282">
        <v>6037155</v>
      </c>
      <c r="I95" s="282">
        <f t="shared" si="6"/>
        <v>294753277.72000015</v>
      </c>
      <c r="J95" s="300" t="s">
        <v>1932</v>
      </c>
    </row>
    <row r="96" spans="1:15" x14ac:dyDescent="0.25">
      <c r="A96" s="280">
        <v>8</v>
      </c>
      <c r="B96" s="281">
        <v>44659</v>
      </c>
      <c r="C96" s="265" t="s">
        <v>1382</v>
      </c>
      <c r="D96" s="261" t="s">
        <v>1927</v>
      </c>
      <c r="E96" s="261"/>
      <c r="F96" s="259"/>
      <c r="G96" s="282"/>
      <c r="H96" s="282">
        <v>3288600</v>
      </c>
      <c r="I96" s="282">
        <f t="shared" si="6"/>
        <v>298041877.72000015</v>
      </c>
      <c r="J96" s="300" t="s">
        <v>1389</v>
      </c>
      <c r="K96" s="308"/>
      <c r="L96" s="308"/>
      <c r="M96" s="311"/>
      <c r="N96" s="311"/>
    </row>
    <row r="97" spans="1:15" x14ac:dyDescent="0.25">
      <c r="A97" s="280">
        <v>9</v>
      </c>
      <c r="B97" s="281">
        <v>44662</v>
      </c>
      <c r="C97" s="265" t="s">
        <v>1382</v>
      </c>
      <c r="D97" s="261" t="s">
        <v>3056</v>
      </c>
      <c r="E97" s="262"/>
      <c r="F97" s="259"/>
      <c r="G97" s="282"/>
      <c r="H97" s="282">
        <v>106022350</v>
      </c>
      <c r="I97" s="282">
        <f t="shared" si="6"/>
        <v>404064227.72000015</v>
      </c>
      <c r="J97" s="300" t="s">
        <v>1397</v>
      </c>
    </row>
    <row r="98" spans="1:15" x14ac:dyDescent="0.25">
      <c r="A98" s="280">
        <v>10</v>
      </c>
      <c r="B98" s="281"/>
      <c r="C98" s="265" t="s">
        <v>1382</v>
      </c>
      <c r="D98" s="261" t="s">
        <v>3057</v>
      </c>
      <c r="E98" s="261"/>
      <c r="F98" s="259"/>
      <c r="G98" s="282"/>
      <c r="H98" s="282">
        <v>3286400</v>
      </c>
      <c r="I98" s="282">
        <f t="shared" si="6"/>
        <v>407350627.72000015</v>
      </c>
      <c r="J98" s="300" t="s">
        <v>1390</v>
      </c>
    </row>
    <row r="99" spans="1:15" x14ac:dyDescent="0.25">
      <c r="A99" s="280">
        <v>11</v>
      </c>
      <c r="B99" s="281"/>
      <c r="C99" s="265" t="s">
        <v>1373</v>
      </c>
      <c r="D99" s="261" t="s">
        <v>1374</v>
      </c>
      <c r="E99" s="261" t="s">
        <v>3058</v>
      </c>
      <c r="F99" s="259" t="s">
        <v>1925</v>
      </c>
      <c r="G99" s="282">
        <v>93150000</v>
      </c>
      <c r="H99" s="282"/>
      <c r="I99" s="282">
        <f t="shared" si="6"/>
        <v>314200627.72000015</v>
      </c>
      <c r="J99" s="744" t="s">
        <v>3063</v>
      </c>
      <c r="K99" s="312"/>
    </row>
    <row r="100" spans="1:15" x14ac:dyDescent="0.25">
      <c r="A100" s="280">
        <v>12</v>
      </c>
      <c r="B100" s="281"/>
      <c r="C100" s="265" t="s">
        <v>1373</v>
      </c>
      <c r="D100" s="261" t="s">
        <v>1374</v>
      </c>
      <c r="E100" s="261" t="s">
        <v>3059</v>
      </c>
      <c r="F100" s="259" t="s">
        <v>1376</v>
      </c>
      <c r="G100" s="282">
        <v>134511000</v>
      </c>
      <c r="H100" s="282"/>
      <c r="I100" s="282">
        <f t="shared" si="6"/>
        <v>179689627.72000015</v>
      </c>
      <c r="J100" s="744" t="s">
        <v>3064</v>
      </c>
      <c r="N100" s="302"/>
      <c r="O100" s="302"/>
    </row>
    <row r="101" spans="1:15" x14ac:dyDescent="0.25">
      <c r="A101" s="280">
        <v>13</v>
      </c>
      <c r="B101" s="281">
        <v>44663</v>
      </c>
      <c r="C101" s="265" t="s">
        <v>1394</v>
      </c>
      <c r="D101" s="262" t="s">
        <v>1395</v>
      </c>
      <c r="E101" s="261"/>
      <c r="F101" s="259"/>
      <c r="G101" s="282"/>
      <c r="H101" s="282">
        <v>4100200</v>
      </c>
      <c r="I101" s="282">
        <f t="shared" si="6"/>
        <v>183789827.72000015</v>
      </c>
      <c r="J101" s="300"/>
      <c r="K101" s="309"/>
      <c r="L101" s="309"/>
      <c r="M101" s="309"/>
      <c r="N101" s="302"/>
      <c r="O101" s="302"/>
    </row>
    <row r="102" spans="1:15" x14ac:dyDescent="0.25">
      <c r="A102" s="280">
        <v>14</v>
      </c>
      <c r="B102" s="281">
        <v>44664</v>
      </c>
      <c r="C102" s="265" t="s">
        <v>1401</v>
      </c>
      <c r="D102" s="261" t="s">
        <v>3060</v>
      </c>
      <c r="E102" s="261" t="s">
        <v>1403</v>
      </c>
      <c r="F102" s="259"/>
      <c r="G102" s="282"/>
      <c r="H102" s="282">
        <v>3269500</v>
      </c>
      <c r="I102" s="282">
        <f t="shared" si="6"/>
        <v>187059327.72000015</v>
      </c>
      <c r="J102" s="300" t="s">
        <v>1404</v>
      </c>
      <c r="M102" s="310"/>
      <c r="N102" s="302"/>
      <c r="O102" s="302"/>
    </row>
    <row r="103" spans="1:15" x14ac:dyDescent="0.25">
      <c r="A103" s="280">
        <v>15</v>
      </c>
      <c r="B103" s="281">
        <v>44670</v>
      </c>
      <c r="C103" s="265" t="s">
        <v>1394</v>
      </c>
      <c r="D103" s="261" t="s">
        <v>1395</v>
      </c>
      <c r="E103" s="261"/>
      <c r="F103" s="259"/>
      <c r="G103" s="282"/>
      <c r="H103" s="282">
        <v>3200000</v>
      </c>
      <c r="I103" s="282">
        <f t="shared" si="6"/>
        <v>190259327.72000015</v>
      </c>
      <c r="J103" s="300"/>
      <c r="N103" s="302"/>
      <c r="O103" s="302"/>
    </row>
    <row r="104" spans="1:15" x14ac:dyDescent="0.25">
      <c r="A104" s="280">
        <v>16</v>
      </c>
      <c r="B104" s="281">
        <v>44671</v>
      </c>
      <c r="C104" s="265" t="s">
        <v>1382</v>
      </c>
      <c r="D104" s="261" t="s">
        <v>3061</v>
      </c>
      <c r="E104" s="261" t="s">
        <v>1384</v>
      </c>
      <c r="F104" s="259"/>
      <c r="G104" s="282"/>
      <c r="H104" s="282">
        <v>18304278</v>
      </c>
      <c r="I104" s="282">
        <f t="shared" si="6"/>
        <v>208563605.72000015</v>
      </c>
      <c r="J104" s="300" t="s">
        <v>1389</v>
      </c>
      <c r="K104" s="309"/>
      <c r="L104" s="309"/>
      <c r="M104" s="309"/>
      <c r="N104" s="302"/>
      <c r="O104" s="302"/>
    </row>
    <row r="105" spans="1:15" x14ac:dyDescent="0.25">
      <c r="A105" s="280">
        <v>17</v>
      </c>
      <c r="B105" s="281">
        <v>44677</v>
      </c>
      <c r="C105" s="265" t="s">
        <v>1382</v>
      </c>
      <c r="D105" s="261" t="s">
        <v>1927</v>
      </c>
      <c r="E105" s="261"/>
      <c r="F105" s="259"/>
      <c r="G105" s="282"/>
      <c r="H105" s="282">
        <v>756900</v>
      </c>
      <c r="I105" s="282">
        <f t="shared" si="6"/>
        <v>209320505.72000015</v>
      </c>
      <c r="J105" s="300" t="s">
        <v>1389</v>
      </c>
      <c r="M105" s="310"/>
      <c r="N105" s="302"/>
      <c r="O105" s="302"/>
    </row>
    <row r="106" spans="1:15" x14ac:dyDescent="0.25">
      <c r="A106" s="280">
        <v>18</v>
      </c>
      <c r="B106" s="281"/>
      <c r="C106" s="265" t="s">
        <v>1382</v>
      </c>
      <c r="D106" s="261" t="s">
        <v>1927</v>
      </c>
      <c r="E106" s="261"/>
      <c r="F106" s="259"/>
      <c r="G106" s="282"/>
      <c r="H106" s="282">
        <v>5631510</v>
      </c>
      <c r="I106" s="282">
        <f t="shared" si="6"/>
        <v>214952015.72000015</v>
      </c>
      <c r="J106" s="300" t="s">
        <v>1389</v>
      </c>
      <c r="N106" s="302"/>
      <c r="O106" s="302"/>
    </row>
    <row r="107" spans="1:15" x14ac:dyDescent="0.25">
      <c r="A107" s="280">
        <v>19</v>
      </c>
      <c r="B107" s="281"/>
      <c r="C107" s="265" t="s">
        <v>1394</v>
      </c>
      <c r="D107" s="261" t="s">
        <v>1395</v>
      </c>
      <c r="E107" s="261"/>
      <c r="F107" s="259"/>
      <c r="G107" s="282"/>
      <c r="H107" s="282">
        <v>1667100</v>
      </c>
      <c r="I107" s="282">
        <f t="shared" si="6"/>
        <v>216619115.72000015</v>
      </c>
      <c r="J107" s="300"/>
      <c r="M107" s="310"/>
      <c r="N107" s="302"/>
      <c r="O107" s="302"/>
    </row>
    <row r="108" spans="1:15" x14ac:dyDescent="0.25">
      <c r="A108" s="280">
        <v>20</v>
      </c>
      <c r="B108" s="281">
        <v>44678</v>
      </c>
      <c r="C108" s="265" t="s">
        <v>1382</v>
      </c>
      <c r="D108" s="261" t="s">
        <v>1399</v>
      </c>
      <c r="E108" s="261"/>
      <c r="F108" s="259"/>
      <c r="G108" s="282"/>
      <c r="H108" s="282">
        <v>27837000</v>
      </c>
      <c r="I108" s="282">
        <f t="shared" si="6"/>
        <v>244456115.72000015</v>
      </c>
      <c r="J108" s="300" t="s">
        <v>1400</v>
      </c>
      <c r="M108" s="310"/>
      <c r="N108" s="302"/>
      <c r="O108" s="302"/>
    </row>
    <row r="109" spans="1:15" x14ac:dyDescent="0.25">
      <c r="A109" s="280">
        <v>21</v>
      </c>
      <c r="B109" s="281"/>
      <c r="C109" s="265" t="s">
        <v>1382</v>
      </c>
      <c r="D109" s="262" t="s">
        <v>3062</v>
      </c>
      <c r="E109" s="262" t="s">
        <v>1384</v>
      </c>
      <c r="F109" s="259"/>
      <c r="G109" s="282"/>
      <c r="H109" s="282">
        <v>601344</v>
      </c>
      <c r="I109" s="282">
        <f t="shared" si="6"/>
        <v>245057459.72000015</v>
      </c>
      <c r="J109" s="300" t="s">
        <v>1389</v>
      </c>
      <c r="N109" s="302"/>
      <c r="O109" s="302"/>
    </row>
    <row r="110" spans="1:15" x14ac:dyDescent="0.25">
      <c r="A110" s="280">
        <v>22</v>
      </c>
      <c r="B110" s="281">
        <v>44682</v>
      </c>
      <c r="C110" s="265" t="s">
        <v>1367</v>
      </c>
      <c r="D110" s="261" t="s">
        <v>1368</v>
      </c>
      <c r="E110" s="261"/>
      <c r="F110" s="259"/>
      <c r="G110" s="282"/>
      <c r="H110" s="282"/>
      <c r="I110" s="282">
        <f t="shared" si="6"/>
        <v>245057459.72000015</v>
      </c>
      <c r="J110" s="300"/>
      <c r="N110" s="302"/>
      <c r="O110" s="302"/>
    </row>
    <row r="111" spans="1:15" x14ac:dyDescent="0.25">
      <c r="A111" s="280">
        <v>23</v>
      </c>
      <c r="B111" s="281"/>
      <c r="C111" s="265" t="s">
        <v>1369</v>
      </c>
      <c r="D111" s="261" t="s">
        <v>1370</v>
      </c>
      <c r="E111" s="261"/>
      <c r="F111" s="259"/>
      <c r="G111" s="282"/>
      <c r="H111" s="282"/>
      <c r="I111" s="282">
        <f t="shared" si="6"/>
        <v>245057459.72000015</v>
      </c>
      <c r="J111" s="300"/>
      <c r="M111" s="310"/>
      <c r="N111" s="302"/>
      <c r="O111" s="302"/>
    </row>
    <row r="112" spans="1:15" x14ac:dyDescent="0.25">
      <c r="A112" s="280">
        <v>24</v>
      </c>
      <c r="B112" s="281"/>
      <c r="C112" s="265" t="s">
        <v>1371</v>
      </c>
      <c r="D112" s="261" t="s">
        <v>1372</v>
      </c>
      <c r="E112" s="261"/>
      <c r="F112" s="259"/>
      <c r="G112" s="282"/>
      <c r="H112" s="282"/>
      <c r="I112" s="282">
        <f t="shared" si="6"/>
        <v>245057459.72000015</v>
      </c>
      <c r="J112" s="300"/>
      <c r="M112" s="310"/>
      <c r="N112" s="302"/>
      <c r="O112" s="302"/>
    </row>
    <row r="113" spans="1:15" x14ac:dyDescent="0.25">
      <c r="A113" s="280">
        <v>25</v>
      </c>
      <c r="B113" s="281"/>
      <c r="C113" s="265"/>
      <c r="D113" s="262"/>
      <c r="E113" s="262"/>
      <c r="F113" s="259"/>
      <c r="G113" s="282"/>
      <c r="H113" s="282"/>
      <c r="I113" s="282">
        <f t="shared" si="6"/>
        <v>245057459.72000015</v>
      </c>
      <c r="J113" s="300"/>
      <c r="N113" s="302"/>
      <c r="O113" s="302"/>
    </row>
    <row r="114" spans="1:15" ht="13.5" thickBot="1" x14ac:dyDescent="0.3">
      <c r="A114" s="283"/>
      <c r="B114" s="286" t="s">
        <v>38</v>
      </c>
      <c r="C114" s="289"/>
      <c r="D114" s="287"/>
      <c r="E114" s="287"/>
      <c r="F114" s="288"/>
      <c r="G114" s="284">
        <f>SUM(G88:G113)</f>
        <v>726855098.55999994</v>
      </c>
      <c r="H114" s="284">
        <f>SUM(H88:H113)</f>
        <v>184702829.82999998</v>
      </c>
      <c r="I114" s="284">
        <f>I113</f>
        <v>245057459.72000015</v>
      </c>
      <c r="J114" s="689"/>
      <c r="N114" s="302"/>
      <c r="O114" s="302"/>
    </row>
    <row r="115" spans="1:15" x14ac:dyDescent="0.25">
      <c r="A115" s="315" t="s">
        <v>102</v>
      </c>
      <c r="B115" s="278"/>
      <c r="C115" s="821" t="s">
        <v>3560</v>
      </c>
      <c r="D115" s="822"/>
      <c r="E115" s="822"/>
      <c r="F115" s="823"/>
      <c r="G115" s="279"/>
      <c r="H115" s="279"/>
      <c r="I115" s="279">
        <f>I114-G115+H115</f>
        <v>245057459.72000015</v>
      </c>
      <c r="J115" s="688"/>
    </row>
    <row r="116" spans="1:15" x14ac:dyDescent="0.25">
      <c r="A116" s="280">
        <v>1</v>
      </c>
      <c r="B116" s="281"/>
      <c r="C116" s="265" t="s">
        <v>318</v>
      </c>
      <c r="D116" s="261"/>
      <c r="E116" s="261"/>
      <c r="F116" s="259"/>
      <c r="G116" s="282"/>
      <c r="H116" s="282"/>
      <c r="I116" s="282">
        <f>I115-G116+H116</f>
        <v>245057459.72000015</v>
      </c>
      <c r="J116" s="300"/>
      <c r="K116" s="308"/>
    </row>
    <row r="117" spans="1:15" x14ac:dyDescent="0.25">
      <c r="A117" s="280">
        <v>2</v>
      </c>
      <c r="B117" s="281">
        <v>44682</v>
      </c>
      <c r="C117" s="265" t="s">
        <v>1367</v>
      </c>
      <c r="D117" s="261" t="s">
        <v>1368</v>
      </c>
      <c r="E117" s="260"/>
      <c r="F117" s="259"/>
      <c r="G117" s="285"/>
      <c r="H117" s="285">
        <v>259939.04</v>
      </c>
      <c r="I117" s="282">
        <f>I116-G117+H117</f>
        <v>245317398.76000014</v>
      </c>
      <c r="J117" s="300"/>
    </row>
    <row r="118" spans="1:15" x14ac:dyDescent="0.25">
      <c r="A118" s="280">
        <v>3</v>
      </c>
      <c r="B118" s="281"/>
      <c r="C118" s="265" t="s">
        <v>1369</v>
      </c>
      <c r="D118" s="261" t="s">
        <v>1370</v>
      </c>
      <c r="E118" s="260"/>
      <c r="F118" s="259"/>
      <c r="G118" s="285">
        <v>51987.8</v>
      </c>
      <c r="H118" s="285"/>
      <c r="I118" s="282">
        <f t="shared" ref="I118:I133" si="7">I117-G118+H118</f>
        <v>245265410.96000013</v>
      </c>
      <c r="J118" s="300"/>
      <c r="M118" s="309"/>
      <c r="N118" s="309"/>
    </row>
    <row r="119" spans="1:15" x14ac:dyDescent="0.25">
      <c r="A119" s="280">
        <v>4</v>
      </c>
      <c r="B119" s="281"/>
      <c r="C119" s="265" t="s">
        <v>1371</v>
      </c>
      <c r="D119" s="261" t="s">
        <v>1372</v>
      </c>
      <c r="E119" s="292"/>
      <c r="F119" s="259"/>
      <c r="G119" s="293">
        <v>50000</v>
      </c>
      <c r="H119" s="293"/>
      <c r="I119" s="282">
        <f t="shared" si="7"/>
        <v>245215410.96000013</v>
      </c>
      <c r="J119" s="300"/>
      <c r="N119" s="310"/>
    </row>
    <row r="120" spans="1:15" x14ac:dyDescent="0.25">
      <c r="A120" s="280">
        <v>5</v>
      </c>
      <c r="B120" s="281">
        <v>44691</v>
      </c>
      <c r="C120" s="265" t="s">
        <v>1373</v>
      </c>
      <c r="D120" s="261" t="s">
        <v>1374</v>
      </c>
      <c r="E120" s="261" t="s">
        <v>3561</v>
      </c>
      <c r="F120" s="259" t="s">
        <v>1376</v>
      </c>
      <c r="G120" s="282">
        <v>216225000</v>
      </c>
      <c r="H120" s="282"/>
      <c r="I120" s="282">
        <f t="shared" si="7"/>
        <v>28990410.960000128</v>
      </c>
      <c r="J120" s="300" t="s">
        <v>1388</v>
      </c>
      <c r="N120" s="310"/>
    </row>
    <row r="121" spans="1:15" x14ac:dyDescent="0.25">
      <c r="A121" s="280">
        <v>6</v>
      </c>
      <c r="B121" s="281">
        <v>44692</v>
      </c>
      <c r="C121" s="265" t="s">
        <v>1382</v>
      </c>
      <c r="D121" s="261" t="s">
        <v>3562</v>
      </c>
      <c r="E121" s="261" t="s">
        <v>1384</v>
      </c>
      <c r="F121" s="259"/>
      <c r="G121" s="282"/>
      <c r="H121" s="282">
        <v>986100</v>
      </c>
      <c r="I121" s="282">
        <f t="shared" si="7"/>
        <v>29976510.960000128</v>
      </c>
      <c r="J121" s="300" t="s">
        <v>1389</v>
      </c>
      <c r="M121" s="310"/>
    </row>
    <row r="122" spans="1:15" x14ac:dyDescent="0.25">
      <c r="A122" s="280">
        <v>7</v>
      </c>
      <c r="B122" s="281">
        <v>44698</v>
      </c>
      <c r="C122" s="265" t="s">
        <v>1405</v>
      </c>
      <c r="D122" s="261" t="s">
        <v>3563</v>
      </c>
      <c r="E122" s="261"/>
      <c r="F122" s="259"/>
      <c r="G122" s="282"/>
      <c r="H122" s="282">
        <v>59257000</v>
      </c>
      <c r="I122" s="282">
        <f t="shared" si="7"/>
        <v>89233510.960000128</v>
      </c>
      <c r="J122" s="300"/>
    </row>
    <row r="123" spans="1:15" x14ac:dyDescent="0.25">
      <c r="A123" s="280">
        <v>8</v>
      </c>
      <c r="B123" s="281">
        <v>44699</v>
      </c>
      <c r="C123" s="265" t="s">
        <v>1382</v>
      </c>
      <c r="D123" s="261" t="s">
        <v>1923</v>
      </c>
      <c r="E123" s="261"/>
      <c r="F123" s="259"/>
      <c r="G123" s="282"/>
      <c r="H123" s="282">
        <v>3099600</v>
      </c>
      <c r="I123" s="282">
        <f t="shared" si="7"/>
        <v>92333110.960000128</v>
      </c>
      <c r="J123" s="300" t="s">
        <v>1933</v>
      </c>
      <c r="K123" s="308"/>
      <c r="L123" s="308"/>
      <c r="M123" s="311"/>
      <c r="N123" s="311"/>
    </row>
    <row r="124" spans="1:15" x14ac:dyDescent="0.25">
      <c r="A124" s="280">
        <v>9</v>
      </c>
      <c r="B124" s="281"/>
      <c r="C124" s="265" t="s">
        <v>1382</v>
      </c>
      <c r="D124" s="262" t="s">
        <v>1928</v>
      </c>
      <c r="E124" s="262"/>
      <c r="F124" s="259"/>
      <c r="G124" s="282"/>
      <c r="H124" s="282">
        <v>3141099</v>
      </c>
      <c r="I124" s="282">
        <f t="shared" si="7"/>
        <v>95474209.960000128</v>
      </c>
      <c r="J124" s="300" t="s">
        <v>1932</v>
      </c>
    </row>
    <row r="125" spans="1:15" x14ac:dyDescent="0.25">
      <c r="A125" s="280">
        <v>10</v>
      </c>
      <c r="B125" s="281">
        <v>44701</v>
      </c>
      <c r="C125" s="265" t="s">
        <v>1382</v>
      </c>
      <c r="D125" s="261" t="s">
        <v>3057</v>
      </c>
      <c r="E125" s="261"/>
      <c r="F125" s="259"/>
      <c r="G125" s="282"/>
      <c r="H125" s="282">
        <v>4513700</v>
      </c>
      <c r="I125" s="282">
        <f t="shared" si="7"/>
        <v>99987909.960000128</v>
      </c>
      <c r="J125" s="300" t="s">
        <v>1390</v>
      </c>
    </row>
    <row r="126" spans="1:15" x14ac:dyDescent="0.25">
      <c r="A126" s="280">
        <v>11</v>
      </c>
      <c r="B126" s="281">
        <v>44704</v>
      </c>
      <c r="C126" s="265" t="s">
        <v>1382</v>
      </c>
      <c r="D126" s="261" t="s">
        <v>3564</v>
      </c>
      <c r="E126" s="261" t="s">
        <v>1384</v>
      </c>
      <c r="F126" s="259"/>
      <c r="G126" s="282"/>
      <c r="H126" s="282">
        <v>4457880</v>
      </c>
      <c r="I126" s="282">
        <f t="shared" si="7"/>
        <v>104445789.96000013</v>
      </c>
      <c r="J126" s="300" t="s">
        <v>1389</v>
      </c>
      <c r="K126" s="312"/>
    </row>
    <row r="127" spans="1:15" x14ac:dyDescent="0.25">
      <c r="A127" s="280">
        <v>12</v>
      </c>
      <c r="B127" s="281"/>
      <c r="C127" s="265" t="s">
        <v>1382</v>
      </c>
      <c r="D127" s="261" t="s">
        <v>3565</v>
      </c>
      <c r="E127" s="261" t="s">
        <v>1384</v>
      </c>
      <c r="F127" s="259"/>
      <c r="G127" s="282"/>
      <c r="H127" s="282">
        <v>778500</v>
      </c>
      <c r="I127" s="282">
        <f t="shared" si="7"/>
        <v>105224289.96000013</v>
      </c>
      <c r="J127" s="300" t="s">
        <v>1389</v>
      </c>
      <c r="N127" s="302"/>
      <c r="O127" s="302"/>
    </row>
    <row r="128" spans="1:15" x14ac:dyDescent="0.25">
      <c r="A128" s="280">
        <v>13</v>
      </c>
      <c r="B128" s="281">
        <v>44708</v>
      </c>
      <c r="C128" s="265" t="s">
        <v>1382</v>
      </c>
      <c r="D128" s="261" t="s">
        <v>3056</v>
      </c>
      <c r="E128" s="261"/>
      <c r="F128" s="259"/>
      <c r="G128" s="282"/>
      <c r="H128" s="282">
        <v>268454200</v>
      </c>
      <c r="I128" s="282">
        <f t="shared" si="7"/>
        <v>373678489.96000016</v>
      </c>
      <c r="J128" s="300" t="s">
        <v>1397</v>
      </c>
      <c r="K128" s="309"/>
      <c r="L128" s="309"/>
      <c r="M128" s="309"/>
      <c r="N128" s="302"/>
      <c r="O128" s="302"/>
    </row>
    <row r="129" spans="1:15" x14ac:dyDescent="0.25">
      <c r="A129" s="280">
        <v>14</v>
      </c>
      <c r="B129" s="281"/>
      <c r="C129" s="265" t="s">
        <v>1382</v>
      </c>
      <c r="D129" s="261" t="s">
        <v>3566</v>
      </c>
      <c r="E129" s="262" t="s">
        <v>1384</v>
      </c>
      <c r="F129" s="259"/>
      <c r="G129" s="282"/>
      <c r="H129" s="282">
        <v>12334208</v>
      </c>
      <c r="I129" s="282">
        <f t="shared" si="7"/>
        <v>386012697.96000016</v>
      </c>
      <c r="J129" s="300" t="s">
        <v>1389</v>
      </c>
      <c r="M129" s="310"/>
      <c r="N129" s="302"/>
      <c r="O129" s="302"/>
    </row>
    <row r="130" spans="1:15" x14ac:dyDescent="0.25">
      <c r="A130" s="280">
        <v>15</v>
      </c>
      <c r="B130" s="281">
        <v>44713</v>
      </c>
      <c r="C130" s="265" t="s">
        <v>3567</v>
      </c>
      <c r="D130" s="261" t="s">
        <v>1368</v>
      </c>
      <c r="E130" s="261"/>
      <c r="F130" s="259"/>
      <c r="G130" s="282"/>
      <c r="H130" s="282"/>
      <c r="I130" s="282">
        <f t="shared" si="7"/>
        <v>386012697.96000016</v>
      </c>
      <c r="J130" s="300"/>
      <c r="N130" s="302"/>
      <c r="O130" s="302"/>
    </row>
    <row r="131" spans="1:15" x14ac:dyDescent="0.25">
      <c r="A131" s="280">
        <v>16</v>
      </c>
      <c r="B131" s="281"/>
      <c r="C131" s="265" t="s">
        <v>1369</v>
      </c>
      <c r="D131" s="261" t="s">
        <v>1370</v>
      </c>
      <c r="E131" s="261"/>
      <c r="F131" s="259"/>
      <c r="G131" s="282"/>
      <c r="H131" s="282"/>
      <c r="I131" s="282">
        <f t="shared" si="7"/>
        <v>386012697.96000016</v>
      </c>
      <c r="J131" s="300"/>
      <c r="K131" s="309"/>
      <c r="L131" s="309"/>
      <c r="M131" s="309"/>
      <c r="N131" s="302"/>
      <c r="O131" s="302"/>
    </row>
    <row r="132" spans="1:15" x14ac:dyDescent="0.25">
      <c r="A132" s="280">
        <v>17</v>
      </c>
      <c r="B132" s="281"/>
      <c r="C132" s="265" t="s">
        <v>1371</v>
      </c>
      <c r="D132" s="261" t="s">
        <v>1372</v>
      </c>
      <c r="E132" s="261"/>
      <c r="F132" s="259"/>
      <c r="G132" s="282"/>
      <c r="H132" s="282"/>
      <c r="I132" s="282">
        <f t="shared" si="7"/>
        <v>386012697.96000016</v>
      </c>
      <c r="J132" s="300"/>
      <c r="M132" s="310"/>
      <c r="N132" s="302"/>
      <c r="O132" s="302"/>
    </row>
    <row r="133" spans="1:15" x14ac:dyDescent="0.25">
      <c r="A133" s="280">
        <v>18</v>
      </c>
      <c r="B133" s="281"/>
      <c r="C133" s="265"/>
      <c r="D133" s="262"/>
      <c r="E133" s="262"/>
      <c r="F133" s="259"/>
      <c r="G133" s="282"/>
      <c r="H133" s="282"/>
      <c r="I133" s="282">
        <f t="shared" si="7"/>
        <v>386012697.96000016</v>
      </c>
      <c r="J133" s="300"/>
      <c r="N133" s="302"/>
      <c r="O133" s="302"/>
    </row>
    <row r="134" spans="1:15" ht="13.5" thickBot="1" x14ac:dyDescent="0.3">
      <c r="A134" s="283"/>
      <c r="B134" s="286" t="s">
        <v>38</v>
      </c>
      <c r="C134" s="289"/>
      <c r="D134" s="287"/>
      <c r="E134" s="287"/>
      <c r="F134" s="288"/>
      <c r="G134" s="284">
        <f>SUM(G115:G133)</f>
        <v>216326987.80000001</v>
      </c>
      <c r="H134" s="284">
        <f>SUM(H115:H133)</f>
        <v>357282226.03999996</v>
      </c>
      <c r="I134" s="284">
        <f>I133</f>
        <v>386012697.96000016</v>
      </c>
      <c r="J134" s="689"/>
      <c r="N134" s="302"/>
      <c r="O134" s="302"/>
    </row>
    <row r="135" spans="1:15" x14ac:dyDescent="0.25">
      <c r="A135" s="315" t="s">
        <v>310</v>
      </c>
      <c r="B135" s="278"/>
      <c r="C135" s="821" t="s">
        <v>4134</v>
      </c>
      <c r="D135" s="822"/>
      <c r="E135" s="822"/>
      <c r="F135" s="823"/>
      <c r="G135" s="279"/>
      <c r="H135" s="279"/>
      <c r="I135" s="279">
        <f>I134-G135+H135</f>
        <v>386012697.96000016</v>
      </c>
      <c r="J135" s="688"/>
    </row>
    <row r="136" spans="1:15" x14ac:dyDescent="0.25">
      <c r="A136" s="280">
        <v>1</v>
      </c>
      <c r="B136" s="281"/>
      <c r="C136" s="265" t="s">
        <v>318</v>
      </c>
      <c r="D136" s="261"/>
      <c r="E136" s="261"/>
      <c r="F136" s="259"/>
      <c r="G136" s="282"/>
      <c r="H136" s="282"/>
      <c r="I136" s="282">
        <f>I135-G136+H136</f>
        <v>386012697.96000016</v>
      </c>
      <c r="J136" s="300"/>
      <c r="K136" s="308"/>
    </row>
    <row r="137" spans="1:15" x14ac:dyDescent="0.25">
      <c r="A137" s="280">
        <v>2</v>
      </c>
      <c r="B137" s="281">
        <v>44713</v>
      </c>
      <c r="C137" s="265" t="s">
        <v>3567</v>
      </c>
      <c r="D137" s="261" t="s">
        <v>1368</v>
      </c>
      <c r="E137" s="261"/>
      <c r="F137" s="259"/>
      <c r="G137" s="282"/>
      <c r="H137" s="282">
        <v>137843.72</v>
      </c>
      <c r="I137" s="282">
        <f>I136-G137+H137</f>
        <v>386150541.68000019</v>
      </c>
      <c r="J137" s="300"/>
    </row>
    <row r="138" spans="1:15" x14ac:dyDescent="0.25">
      <c r="A138" s="280">
        <v>3</v>
      </c>
      <c r="B138" s="281"/>
      <c r="C138" s="265" t="s">
        <v>1369</v>
      </c>
      <c r="D138" s="261" t="s">
        <v>1370</v>
      </c>
      <c r="E138" s="261"/>
      <c r="F138" s="259"/>
      <c r="G138" s="282">
        <v>27568.74</v>
      </c>
      <c r="H138" s="282"/>
      <c r="I138" s="282">
        <f t="shared" ref="I138:I164" si="8">I137-G138+H138</f>
        <v>386122972.94000018</v>
      </c>
      <c r="J138" s="300"/>
      <c r="M138" s="309"/>
      <c r="N138" s="309"/>
    </row>
    <row r="139" spans="1:15" x14ac:dyDescent="0.25">
      <c r="A139" s="280">
        <v>4</v>
      </c>
      <c r="B139" s="281"/>
      <c r="C139" s="265" t="s">
        <v>1371</v>
      </c>
      <c r="D139" s="261" t="s">
        <v>1372</v>
      </c>
      <c r="E139" s="261"/>
      <c r="F139" s="259"/>
      <c r="G139" s="282">
        <v>50000</v>
      </c>
      <c r="H139" s="282"/>
      <c r="I139" s="282">
        <f t="shared" si="8"/>
        <v>386072972.94000018</v>
      </c>
      <c r="J139" s="300"/>
      <c r="N139" s="310"/>
    </row>
    <row r="140" spans="1:15" x14ac:dyDescent="0.25">
      <c r="A140" s="280">
        <v>5</v>
      </c>
      <c r="B140" s="281">
        <v>44715</v>
      </c>
      <c r="C140" s="265" t="s">
        <v>1379</v>
      </c>
      <c r="D140" s="261" t="s">
        <v>4135</v>
      </c>
      <c r="E140" s="261" t="s">
        <v>1381</v>
      </c>
      <c r="F140" s="259"/>
      <c r="G140" s="282"/>
      <c r="H140" s="282">
        <v>1848852</v>
      </c>
      <c r="I140" s="282">
        <f t="shared" si="8"/>
        <v>387921824.94000018</v>
      </c>
      <c r="J140" s="300" t="s">
        <v>4886</v>
      </c>
      <c r="N140" s="310"/>
    </row>
    <row r="141" spans="1:15" x14ac:dyDescent="0.25">
      <c r="A141" s="280">
        <v>6</v>
      </c>
      <c r="B141" s="281">
        <v>44719</v>
      </c>
      <c r="C141" s="265" t="s">
        <v>1405</v>
      </c>
      <c r="D141" s="261" t="s">
        <v>4136</v>
      </c>
      <c r="E141" s="261"/>
      <c r="F141" s="259"/>
      <c r="G141" s="282"/>
      <c r="H141" s="282">
        <v>35829000</v>
      </c>
      <c r="I141" s="282">
        <f t="shared" si="8"/>
        <v>423750824.94000018</v>
      </c>
      <c r="J141" s="300"/>
      <c r="M141" s="310"/>
    </row>
    <row r="142" spans="1:15" x14ac:dyDescent="0.25">
      <c r="A142" s="280">
        <v>7</v>
      </c>
      <c r="B142" s="281"/>
      <c r="C142" s="265" t="s">
        <v>1373</v>
      </c>
      <c r="D142" s="261" t="s">
        <v>1374</v>
      </c>
      <c r="E142" s="261" t="s">
        <v>4137</v>
      </c>
      <c r="F142" s="259" t="s">
        <v>1376</v>
      </c>
      <c r="G142" s="282">
        <v>160391000</v>
      </c>
      <c r="H142" s="282"/>
      <c r="I142" s="282">
        <f t="shared" si="8"/>
        <v>263359824.94000018</v>
      </c>
      <c r="J142" s="300" t="s">
        <v>1388</v>
      </c>
    </row>
    <row r="143" spans="1:15" x14ac:dyDescent="0.25">
      <c r="A143" s="280">
        <v>8</v>
      </c>
      <c r="B143" s="281">
        <v>44720</v>
      </c>
      <c r="C143" s="265" t="s">
        <v>1382</v>
      </c>
      <c r="D143" s="261" t="s">
        <v>4138</v>
      </c>
      <c r="E143" s="261" t="s">
        <v>1384</v>
      </c>
      <c r="F143" s="259"/>
      <c r="G143" s="282"/>
      <c r="H143" s="282">
        <v>2720664</v>
      </c>
      <c r="I143" s="282">
        <f t="shared" si="8"/>
        <v>266080488.94000018</v>
      </c>
      <c r="J143" s="300" t="s">
        <v>1389</v>
      </c>
      <c r="K143" s="308"/>
      <c r="L143" s="308"/>
      <c r="M143" s="311"/>
      <c r="N143" s="311"/>
    </row>
    <row r="144" spans="1:15" x14ac:dyDescent="0.25">
      <c r="A144" s="280">
        <v>9</v>
      </c>
      <c r="B144" s="281"/>
      <c r="C144" s="265" t="s">
        <v>1382</v>
      </c>
      <c r="D144" s="262" t="s">
        <v>4139</v>
      </c>
      <c r="E144" s="262" t="s">
        <v>1384</v>
      </c>
      <c r="F144" s="259"/>
      <c r="G144" s="282"/>
      <c r="H144" s="282">
        <v>3967200</v>
      </c>
      <c r="I144" s="282">
        <f t="shared" si="8"/>
        <v>270047688.94000018</v>
      </c>
      <c r="J144" s="300" t="s">
        <v>1389</v>
      </c>
    </row>
    <row r="145" spans="1:15" x14ac:dyDescent="0.25">
      <c r="A145" s="280">
        <v>10</v>
      </c>
      <c r="B145" s="281"/>
      <c r="C145" s="265" t="s">
        <v>1382</v>
      </c>
      <c r="D145" s="261" t="s">
        <v>4140</v>
      </c>
      <c r="E145" s="261" t="s">
        <v>1384</v>
      </c>
      <c r="F145" s="259"/>
      <c r="G145" s="282"/>
      <c r="H145" s="282">
        <v>1678752</v>
      </c>
      <c r="I145" s="282">
        <f t="shared" si="8"/>
        <v>271726440.94000018</v>
      </c>
      <c r="J145" s="300" t="s">
        <v>1389</v>
      </c>
    </row>
    <row r="146" spans="1:15" x14ac:dyDescent="0.25">
      <c r="A146" s="280">
        <v>11</v>
      </c>
      <c r="B146" s="281"/>
      <c r="C146" s="265" t="s">
        <v>1394</v>
      </c>
      <c r="D146" s="261" t="s">
        <v>1395</v>
      </c>
      <c r="E146" s="261"/>
      <c r="F146" s="259"/>
      <c r="G146" s="282"/>
      <c r="H146" s="282">
        <v>2445500</v>
      </c>
      <c r="I146" s="282">
        <f t="shared" si="8"/>
        <v>274171940.94000018</v>
      </c>
      <c r="J146" s="300"/>
      <c r="K146" s="312"/>
    </row>
    <row r="147" spans="1:15" x14ac:dyDescent="0.25">
      <c r="A147" s="280">
        <v>12</v>
      </c>
      <c r="B147" s="281"/>
      <c r="C147" s="265" t="s">
        <v>1394</v>
      </c>
      <c r="D147" s="261" t="s">
        <v>1395</v>
      </c>
      <c r="E147" s="261"/>
      <c r="F147" s="259"/>
      <c r="G147" s="282"/>
      <c r="H147" s="282">
        <v>3898600</v>
      </c>
      <c r="I147" s="282">
        <f t="shared" si="8"/>
        <v>278070540.94000018</v>
      </c>
      <c r="J147" s="300"/>
      <c r="N147" s="302"/>
      <c r="O147" s="302"/>
    </row>
    <row r="148" spans="1:15" x14ac:dyDescent="0.25">
      <c r="A148" s="280">
        <v>13</v>
      </c>
      <c r="B148" s="281">
        <v>44721</v>
      </c>
      <c r="C148" s="265" t="s">
        <v>1382</v>
      </c>
      <c r="D148" s="262" t="s">
        <v>1399</v>
      </c>
      <c r="E148" s="261"/>
      <c r="F148" s="259"/>
      <c r="G148" s="282"/>
      <c r="H148" s="282">
        <v>9717000</v>
      </c>
      <c r="I148" s="282">
        <f t="shared" si="8"/>
        <v>287787540.94000018</v>
      </c>
      <c r="J148" s="300" t="s">
        <v>1400</v>
      </c>
      <c r="K148" s="309"/>
      <c r="L148" s="309"/>
      <c r="M148" s="309"/>
      <c r="N148" s="302"/>
      <c r="O148" s="302"/>
    </row>
    <row r="149" spans="1:15" x14ac:dyDescent="0.25">
      <c r="A149" s="280">
        <v>14</v>
      </c>
      <c r="B149" s="281">
        <v>44722</v>
      </c>
      <c r="C149" s="265" t="s">
        <v>1382</v>
      </c>
      <c r="D149" s="261" t="s">
        <v>4141</v>
      </c>
      <c r="E149" s="262" t="s">
        <v>1384</v>
      </c>
      <c r="F149" s="259"/>
      <c r="G149" s="282"/>
      <c r="H149" s="282">
        <v>6614784</v>
      </c>
      <c r="I149" s="282">
        <f t="shared" si="8"/>
        <v>294402324.94000018</v>
      </c>
      <c r="J149" s="300" t="s">
        <v>1389</v>
      </c>
      <c r="M149" s="310"/>
      <c r="N149" s="302"/>
      <c r="O149" s="302"/>
    </row>
    <row r="150" spans="1:15" x14ac:dyDescent="0.25">
      <c r="A150" s="280">
        <v>15</v>
      </c>
      <c r="B150" s="281"/>
      <c r="C150" s="265" t="s">
        <v>1377</v>
      </c>
      <c r="D150" s="261" t="s">
        <v>4142</v>
      </c>
      <c r="E150" s="261"/>
      <c r="F150" s="259"/>
      <c r="G150" s="282">
        <v>275000</v>
      </c>
      <c r="H150" s="282"/>
      <c r="I150" s="282">
        <f t="shared" si="8"/>
        <v>294127324.94000018</v>
      </c>
      <c r="J150" s="300"/>
      <c r="N150" s="302"/>
      <c r="O150" s="302"/>
    </row>
    <row r="151" spans="1:15" x14ac:dyDescent="0.25">
      <c r="A151" s="280">
        <v>16</v>
      </c>
      <c r="B151" s="281">
        <v>44725</v>
      </c>
      <c r="C151" s="265" t="s">
        <v>1373</v>
      </c>
      <c r="D151" s="261" t="s">
        <v>1374</v>
      </c>
      <c r="E151" s="261" t="s">
        <v>4143</v>
      </c>
      <c r="F151" s="259" t="s">
        <v>1376</v>
      </c>
      <c r="G151" s="282">
        <v>257133000</v>
      </c>
      <c r="H151" s="282"/>
      <c r="I151" s="282">
        <f t="shared" si="8"/>
        <v>36994324.940000176</v>
      </c>
      <c r="J151" s="300" t="s">
        <v>1388</v>
      </c>
      <c r="K151" s="309"/>
      <c r="L151" s="309"/>
      <c r="M151" s="309"/>
      <c r="N151" s="302"/>
      <c r="O151" s="302"/>
    </row>
    <row r="152" spans="1:15" x14ac:dyDescent="0.25">
      <c r="A152" s="280">
        <v>17</v>
      </c>
      <c r="B152" s="281">
        <v>44726</v>
      </c>
      <c r="C152" s="265" t="s">
        <v>1382</v>
      </c>
      <c r="D152" s="261" t="s">
        <v>1928</v>
      </c>
      <c r="E152" s="261"/>
      <c r="F152" s="259"/>
      <c r="G152" s="282"/>
      <c r="H152" s="282">
        <v>3725406</v>
      </c>
      <c r="I152" s="282">
        <f t="shared" si="8"/>
        <v>40719730.940000176</v>
      </c>
      <c r="J152" s="300" t="s">
        <v>1932</v>
      </c>
      <c r="M152" s="310"/>
      <c r="N152" s="302"/>
      <c r="O152" s="302"/>
    </row>
    <row r="153" spans="1:15" x14ac:dyDescent="0.25">
      <c r="A153" s="280">
        <v>18</v>
      </c>
      <c r="B153" s="281">
        <v>44729</v>
      </c>
      <c r="C153" s="265" t="s">
        <v>1379</v>
      </c>
      <c r="D153" s="261" t="s">
        <v>4144</v>
      </c>
      <c r="E153" s="261" t="s">
        <v>1381</v>
      </c>
      <c r="F153" s="259"/>
      <c r="G153" s="282"/>
      <c r="H153" s="282">
        <v>3600488</v>
      </c>
      <c r="I153" s="282">
        <f t="shared" si="8"/>
        <v>44320218.940000176</v>
      </c>
      <c r="J153" s="300" t="s">
        <v>4886</v>
      </c>
      <c r="N153" s="302"/>
      <c r="O153" s="302"/>
    </row>
    <row r="154" spans="1:15" x14ac:dyDescent="0.25">
      <c r="A154" s="280">
        <v>19</v>
      </c>
      <c r="B154" s="281">
        <v>44732</v>
      </c>
      <c r="C154" s="265" t="s">
        <v>1382</v>
      </c>
      <c r="D154" s="261" t="s">
        <v>4145</v>
      </c>
      <c r="E154" s="261" t="s">
        <v>1384</v>
      </c>
      <c r="F154" s="259"/>
      <c r="G154" s="282"/>
      <c r="H154" s="282">
        <v>10415466</v>
      </c>
      <c r="I154" s="282">
        <f t="shared" si="8"/>
        <v>54735684.940000176</v>
      </c>
      <c r="J154" s="300" t="s">
        <v>1389</v>
      </c>
      <c r="M154" s="310"/>
      <c r="N154" s="302"/>
      <c r="O154" s="302"/>
    </row>
    <row r="155" spans="1:15" x14ac:dyDescent="0.25">
      <c r="A155" s="280">
        <v>20</v>
      </c>
      <c r="B155" s="281">
        <v>44734</v>
      </c>
      <c r="C155" s="265" t="s">
        <v>1382</v>
      </c>
      <c r="D155" s="261" t="s">
        <v>1927</v>
      </c>
      <c r="E155" s="261"/>
      <c r="F155" s="259"/>
      <c r="G155" s="282"/>
      <c r="H155" s="282">
        <v>4089000</v>
      </c>
      <c r="I155" s="282">
        <f t="shared" si="8"/>
        <v>58824684.940000176</v>
      </c>
      <c r="J155" s="300" t="s">
        <v>1389</v>
      </c>
      <c r="M155" s="310"/>
      <c r="N155" s="302"/>
      <c r="O155" s="302"/>
    </row>
    <row r="156" spans="1:15" x14ac:dyDescent="0.25">
      <c r="A156" s="280">
        <v>21</v>
      </c>
      <c r="B156" s="281">
        <v>44735</v>
      </c>
      <c r="C156" s="265" t="s">
        <v>1382</v>
      </c>
      <c r="D156" s="262" t="s">
        <v>1384</v>
      </c>
      <c r="E156" s="262"/>
      <c r="F156" s="259"/>
      <c r="G156" s="282"/>
      <c r="H156" s="282">
        <v>5456988</v>
      </c>
      <c r="I156" s="282">
        <f t="shared" si="8"/>
        <v>64281672.940000176</v>
      </c>
      <c r="J156" s="300" t="s">
        <v>1389</v>
      </c>
      <c r="N156" s="302"/>
      <c r="O156" s="302"/>
    </row>
    <row r="157" spans="1:15" ht="13.5" thickBot="1" x14ac:dyDescent="0.3">
      <c r="A157" s="283"/>
      <c r="B157" s="286"/>
      <c r="C157" s="289"/>
      <c r="D157" s="287"/>
      <c r="E157" s="287"/>
      <c r="F157" s="288"/>
      <c r="G157" s="284"/>
      <c r="H157" s="284"/>
      <c r="I157" s="284">
        <f>I156</f>
        <v>64281672.940000176</v>
      </c>
      <c r="J157" s="689"/>
      <c r="N157" s="302"/>
      <c r="O157" s="302"/>
    </row>
    <row r="158" spans="1:15" x14ac:dyDescent="0.25">
      <c r="A158" s="280"/>
      <c r="B158" s="281"/>
      <c r="C158" s="265" t="s">
        <v>2608</v>
      </c>
      <c r="D158" s="261"/>
      <c r="E158" s="261"/>
      <c r="F158" s="259"/>
      <c r="G158" s="282"/>
      <c r="H158" s="282"/>
      <c r="I158" s="282">
        <f>I156</f>
        <v>64281672.940000176</v>
      </c>
      <c r="J158" s="300"/>
      <c r="N158" s="302"/>
      <c r="O158" s="302"/>
    </row>
    <row r="159" spans="1:15" x14ac:dyDescent="0.25">
      <c r="A159" s="280">
        <v>1</v>
      </c>
      <c r="B159" s="281">
        <v>44739</v>
      </c>
      <c r="C159" s="265" t="s">
        <v>1405</v>
      </c>
      <c r="D159" s="261" t="s">
        <v>4146</v>
      </c>
      <c r="E159" s="261"/>
      <c r="F159" s="259"/>
      <c r="G159" s="282"/>
      <c r="H159" s="282">
        <v>20937000</v>
      </c>
      <c r="I159" s="282">
        <f>I156-G159+H159</f>
        <v>85218672.940000176</v>
      </c>
      <c r="J159" s="300"/>
      <c r="N159" s="302"/>
      <c r="O159" s="302"/>
    </row>
    <row r="160" spans="1:15" x14ac:dyDescent="0.25">
      <c r="A160" s="280">
        <v>2</v>
      </c>
      <c r="B160" s="281"/>
      <c r="C160" s="265" t="s">
        <v>1382</v>
      </c>
      <c r="D160" s="261" t="s">
        <v>4147</v>
      </c>
      <c r="E160" s="261"/>
      <c r="F160" s="259"/>
      <c r="G160" s="282"/>
      <c r="H160" s="282">
        <v>3386000</v>
      </c>
      <c r="I160" s="282">
        <f t="shared" si="8"/>
        <v>88604672.940000176</v>
      </c>
      <c r="J160" s="300" t="s">
        <v>1933</v>
      </c>
      <c r="M160" s="310"/>
      <c r="N160" s="302"/>
      <c r="O160" s="302"/>
    </row>
    <row r="161" spans="1:15" x14ac:dyDescent="0.25">
      <c r="A161" s="280">
        <v>3</v>
      </c>
      <c r="B161" s="281">
        <v>44743</v>
      </c>
      <c r="C161" s="265" t="s">
        <v>3567</v>
      </c>
      <c r="D161" s="261" t="s">
        <v>1368</v>
      </c>
      <c r="E161" s="261"/>
      <c r="F161" s="259"/>
      <c r="G161" s="282"/>
      <c r="H161" s="282"/>
      <c r="I161" s="282">
        <f t="shared" si="8"/>
        <v>88604672.940000176</v>
      </c>
      <c r="J161" s="300"/>
      <c r="M161" s="310"/>
      <c r="N161" s="302"/>
      <c r="O161" s="302"/>
    </row>
    <row r="162" spans="1:15" x14ac:dyDescent="0.25">
      <c r="A162" s="280">
        <v>4</v>
      </c>
      <c r="B162" s="281"/>
      <c r="C162" s="265" t="s">
        <v>1369</v>
      </c>
      <c r="D162" s="261" t="s">
        <v>1370</v>
      </c>
      <c r="E162" s="261"/>
      <c r="F162" s="259"/>
      <c r="G162" s="282"/>
      <c r="H162" s="282"/>
      <c r="I162" s="282">
        <f t="shared" si="8"/>
        <v>88604672.940000176</v>
      </c>
      <c r="J162" s="300"/>
      <c r="M162" s="310"/>
      <c r="N162" s="302"/>
      <c r="O162" s="302"/>
    </row>
    <row r="163" spans="1:15" x14ac:dyDescent="0.25">
      <c r="A163" s="280">
        <v>5</v>
      </c>
      <c r="B163" s="281"/>
      <c r="C163" s="265" t="s">
        <v>1371</v>
      </c>
      <c r="D163" s="261" t="s">
        <v>1372</v>
      </c>
      <c r="E163" s="261"/>
      <c r="F163" s="259"/>
      <c r="G163" s="282"/>
      <c r="H163" s="282"/>
      <c r="I163" s="282">
        <f t="shared" si="8"/>
        <v>88604672.940000176</v>
      </c>
      <c r="J163" s="300"/>
      <c r="M163" s="310"/>
      <c r="N163" s="302"/>
      <c r="O163" s="302"/>
    </row>
    <row r="164" spans="1:15" x14ac:dyDescent="0.25">
      <c r="A164" s="280">
        <v>6</v>
      </c>
      <c r="B164" s="281"/>
      <c r="C164" s="265"/>
      <c r="D164" s="262"/>
      <c r="E164" s="262"/>
      <c r="F164" s="259"/>
      <c r="G164" s="282"/>
      <c r="H164" s="282"/>
      <c r="I164" s="282">
        <f t="shared" si="8"/>
        <v>88604672.940000176</v>
      </c>
      <c r="J164" s="300"/>
      <c r="N164" s="302"/>
      <c r="O164" s="302"/>
    </row>
    <row r="165" spans="1:15" ht="13.5" thickBot="1" x14ac:dyDescent="0.3">
      <c r="A165" s="283"/>
      <c r="B165" s="286" t="s">
        <v>38</v>
      </c>
      <c r="C165" s="289"/>
      <c r="D165" s="287"/>
      <c r="E165" s="287"/>
      <c r="F165" s="288"/>
      <c r="G165" s="284">
        <f>SUM(G135:G164)</f>
        <v>417876568.74000001</v>
      </c>
      <c r="H165" s="284">
        <f>SUM(H135:H164)</f>
        <v>120468543.72</v>
      </c>
      <c r="I165" s="284">
        <f>I164</f>
        <v>88604672.940000176</v>
      </c>
      <c r="J165" s="689"/>
      <c r="N165" s="302"/>
      <c r="O165" s="302"/>
    </row>
    <row r="166" spans="1:15" x14ac:dyDescent="0.25">
      <c r="A166" s="315" t="s">
        <v>389</v>
      </c>
      <c r="B166" s="278"/>
      <c r="C166" s="821" t="s">
        <v>4880</v>
      </c>
      <c r="D166" s="822"/>
      <c r="E166" s="822"/>
      <c r="F166" s="823"/>
      <c r="G166" s="279"/>
      <c r="H166" s="279"/>
      <c r="I166" s="279">
        <f>I165-G166+H166</f>
        <v>88604672.940000176</v>
      </c>
      <c r="J166" s="688"/>
    </row>
    <row r="167" spans="1:15" x14ac:dyDescent="0.25">
      <c r="A167" s="280">
        <v>1</v>
      </c>
      <c r="B167" s="281"/>
      <c r="C167" s="265" t="s">
        <v>318</v>
      </c>
      <c r="D167" s="261"/>
      <c r="E167" s="261"/>
      <c r="F167" s="259"/>
      <c r="G167" s="282"/>
      <c r="H167" s="282"/>
      <c r="I167" s="282">
        <f>I166-G167+H167</f>
        <v>88604672.940000176</v>
      </c>
      <c r="J167" s="300"/>
      <c r="K167" s="308"/>
    </row>
    <row r="168" spans="1:15" x14ac:dyDescent="0.25">
      <c r="A168" s="280">
        <v>2</v>
      </c>
      <c r="B168" s="281">
        <v>44743</v>
      </c>
      <c r="C168" s="265" t="s">
        <v>3567</v>
      </c>
      <c r="D168" s="261" t="s">
        <v>1368</v>
      </c>
      <c r="E168" s="261"/>
      <c r="F168" s="259"/>
      <c r="G168" s="282"/>
      <c r="H168" s="282">
        <v>128181.05</v>
      </c>
      <c r="I168" s="282">
        <f>I167-G168+H168</f>
        <v>88732853.990000173</v>
      </c>
      <c r="J168" s="300"/>
    </row>
    <row r="169" spans="1:15" x14ac:dyDescent="0.25">
      <c r="A169" s="280">
        <v>3</v>
      </c>
      <c r="B169" s="281"/>
      <c r="C169" s="265" t="s">
        <v>1369</v>
      </c>
      <c r="D169" s="261" t="s">
        <v>1370</v>
      </c>
      <c r="E169" s="261"/>
      <c r="F169" s="259"/>
      <c r="G169" s="282">
        <v>25636.21</v>
      </c>
      <c r="H169" s="282"/>
      <c r="I169" s="282">
        <f t="shared" ref="I169:I188" si="9">I168-G169+H169</f>
        <v>88707217.78000018</v>
      </c>
      <c r="J169" s="300"/>
      <c r="M169" s="309"/>
      <c r="N169" s="309"/>
    </row>
    <row r="170" spans="1:15" x14ac:dyDescent="0.25">
      <c r="A170" s="280">
        <v>4</v>
      </c>
      <c r="B170" s="281"/>
      <c r="C170" s="265" t="s">
        <v>1371</v>
      </c>
      <c r="D170" s="261" t="s">
        <v>1372</v>
      </c>
      <c r="E170" s="261"/>
      <c r="F170" s="259"/>
      <c r="G170" s="282">
        <v>50000</v>
      </c>
      <c r="H170" s="282"/>
      <c r="I170" s="282">
        <f t="shared" si="9"/>
        <v>88657217.78000018</v>
      </c>
      <c r="J170" s="300"/>
      <c r="N170" s="310"/>
    </row>
    <row r="171" spans="1:15" x14ac:dyDescent="0.25">
      <c r="A171" s="280">
        <v>5</v>
      </c>
      <c r="B171" s="281">
        <v>44746</v>
      </c>
      <c r="C171" s="265" t="s">
        <v>1382</v>
      </c>
      <c r="D171" s="261" t="s">
        <v>4881</v>
      </c>
      <c r="E171" s="261" t="s">
        <v>1384</v>
      </c>
      <c r="F171" s="259"/>
      <c r="G171" s="282"/>
      <c r="H171" s="282">
        <v>5797680</v>
      </c>
      <c r="I171" s="282">
        <f t="shared" si="9"/>
        <v>94454897.78000018</v>
      </c>
      <c r="J171" s="300" t="s">
        <v>1389</v>
      </c>
      <c r="N171" s="310"/>
    </row>
    <row r="172" spans="1:15" x14ac:dyDescent="0.25">
      <c r="A172" s="280">
        <v>6</v>
      </c>
      <c r="B172" s="281"/>
      <c r="C172" s="265" t="s">
        <v>1382</v>
      </c>
      <c r="D172" s="261" t="s">
        <v>4882</v>
      </c>
      <c r="E172" s="261" t="s">
        <v>1384</v>
      </c>
      <c r="F172" s="259"/>
      <c r="G172" s="282"/>
      <c r="H172" s="282">
        <v>3135132</v>
      </c>
      <c r="I172" s="282">
        <f t="shared" si="9"/>
        <v>97590029.78000018</v>
      </c>
      <c r="J172" s="300" t="s">
        <v>1389</v>
      </c>
      <c r="M172" s="310"/>
    </row>
    <row r="173" spans="1:15" x14ac:dyDescent="0.25">
      <c r="A173" s="280">
        <v>7</v>
      </c>
      <c r="B173" s="281">
        <v>44747</v>
      </c>
      <c r="C173" s="265" t="s">
        <v>1382</v>
      </c>
      <c r="D173" s="261" t="s">
        <v>3057</v>
      </c>
      <c r="E173" s="261"/>
      <c r="F173" s="259"/>
      <c r="G173" s="282"/>
      <c r="H173" s="282">
        <v>5047500</v>
      </c>
      <c r="I173" s="282">
        <f t="shared" si="9"/>
        <v>102637529.78000018</v>
      </c>
      <c r="J173" s="300" t="s">
        <v>1390</v>
      </c>
    </row>
    <row r="174" spans="1:15" x14ac:dyDescent="0.25">
      <c r="A174" s="280">
        <v>8</v>
      </c>
      <c r="B174" s="281"/>
      <c r="C174" s="265" t="s">
        <v>1394</v>
      </c>
      <c r="D174" s="261" t="s">
        <v>1395</v>
      </c>
      <c r="E174" s="261"/>
      <c r="F174" s="259"/>
      <c r="G174" s="282"/>
      <c r="H174" s="282">
        <v>1996300</v>
      </c>
      <c r="I174" s="282">
        <f t="shared" si="9"/>
        <v>104633829.78000018</v>
      </c>
      <c r="J174" s="300"/>
      <c r="K174" s="308"/>
      <c r="L174" s="308"/>
      <c r="M174" s="311"/>
      <c r="N174" s="311"/>
    </row>
    <row r="175" spans="1:15" x14ac:dyDescent="0.25">
      <c r="A175" s="280">
        <v>9</v>
      </c>
      <c r="B175" s="281">
        <v>44748</v>
      </c>
      <c r="C175" s="265" t="s">
        <v>1379</v>
      </c>
      <c r="D175" s="261" t="s">
        <v>4883</v>
      </c>
      <c r="E175" s="262" t="s">
        <v>1381</v>
      </c>
      <c r="F175" s="259"/>
      <c r="G175" s="282"/>
      <c r="H175" s="282">
        <v>5183040</v>
      </c>
      <c r="I175" s="282">
        <f t="shared" si="9"/>
        <v>109816869.78000018</v>
      </c>
      <c r="J175" s="300" t="s">
        <v>4886</v>
      </c>
    </row>
    <row r="176" spans="1:15" x14ac:dyDescent="0.25">
      <c r="A176" s="280">
        <v>10</v>
      </c>
      <c r="B176" s="281">
        <v>44750</v>
      </c>
      <c r="C176" s="265" t="s">
        <v>1382</v>
      </c>
      <c r="D176" s="261" t="s">
        <v>3056</v>
      </c>
      <c r="E176" s="261"/>
      <c r="F176" s="259"/>
      <c r="G176" s="282"/>
      <c r="H176" s="282">
        <v>219805075</v>
      </c>
      <c r="I176" s="282">
        <f t="shared" si="9"/>
        <v>329621944.78000021</v>
      </c>
      <c r="J176" s="300" t="s">
        <v>1397</v>
      </c>
    </row>
    <row r="177" spans="1:15" x14ac:dyDescent="0.25">
      <c r="A177" s="280">
        <v>11</v>
      </c>
      <c r="B177" s="281">
        <v>44754</v>
      </c>
      <c r="C177" s="265" t="s">
        <v>1373</v>
      </c>
      <c r="D177" s="261" t="s">
        <v>1374</v>
      </c>
      <c r="E177" s="261" t="s">
        <v>4884</v>
      </c>
      <c r="F177" s="259" t="s">
        <v>1376</v>
      </c>
      <c r="G177" s="282">
        <v>216340000</v>
      </c>
      <c r="H177" s="282"/>
      <c r="I177" s="282">
        <f t="shared" si="9"/>
        <v>113281944.78000021</v>
      </c>
      <c r="J177" s="300" t="s">
        <v>1388</v>
      </c>
      <c r="K177" s="312"/>
    </row>
    <row r="178" spans="1:15" x14ac:dyDescent="0.25">
      <c r="A178" s="280">
        <v>12</v>
      </c>
      <c r="B178" s="281">
        <v>44755</v>
      </c>
      <c r="C178" s="265" t="s">
        <v>1382</v>
      </c>
      <c r="D178" s="261" t="s">
        <v>1927</v>
      </c>
      <c r="E178" s="261"/>
      <c r="F178" s="259"/>
      <c r="G178" s="282"/>
      <c r="H178" s="282">
        <v>2046240</v>
      </c>
      <c r="I178" s="282">
        <f t="shared" si="9"/>
        <v>115328184.78000021</v>
      </c>
      <c r="J178" s="300" t="s">
        <v>1389</v>
      </c>
      <c r="N178" s="302"/>
      <c r="O178" s="302"/>
    </row>
    <row r="179" spans="1:15" x14ac:dyDescent="0.25">
      <c r="A179" s="280">
        <v>13</v>
      </c>
      <c r="B179" s="281"/>
      <c r="C179" s="265" t="s">
        <v>1382</v>
      </c>
      <c r="D179" s="261" t="s">
        <v>1927</v>
      </c>
      <c r="E179" s="261"/>
      <c r="F179" s="259"/>
      <c r="G179" s="282"/>
      <c r="H179" s="282">
        <v>4074228</v>
      </c>
      <c r="I179" s="282">
        <f t="shared" si="9"/>
        <v>119402412.78000021</v>
      </c>
      <c r="J179" s="300" t="s">
        <v>1389</v>
      </c>
      <c r="K179" s="309"/>
      <c r="L179" s="309"/>
      <c r="M179" s="309"/>
      <c r="N179" s="302"/>
      <c r="O179" s="302"/>
    </row>
    <row r="180" spans="1:15" x14ac:dyDescent="0.25">
      <c r="A180" s="280">
        <v>14</v>
      </c>
      <c r="B180" s="281"/>
      <c r="C180" s="265" t="s">
        <v>1382</v>
      </c>
      <c r="D180" s="261" t="s">
        <v>1927</v>
      </c>
      <c r="E180" s="262"/>
      <c r="F180" s="259"/>
      <c r="G180" s="282"/>
      <c r="H180" s="282">
        <v>3659400</v>
      </c>
      <c r="I180" s="282">
        <f t="shared" si="9"/>
        <v>123061812.78000021</v>
      </c>
      <c r="J180" s="300" t="s">
        <v>1389</v>
      </c>
      <c r="M180" s="310"/>
      <c r="N180" s="302"/>
      <c r="O180" s="302"/>
    </row>
    <row r="181" spans="1:15" x14ac:dyDescent="0.25">
      <c r="A181" s="280">
        <v>15</v>
      </c>
      <c r="B181" s="281">
        <v>44756</v>
      </c>
      <c r="C181" s="265" t="s">
        <v>1382</v>
      </c>
      <c r="D181" s="261" t="s">
        <v>1927</v>
      </c>
      <c r="E181" s="261"/>
      <c r="F181" s="259"/>
      <c r="G181" s="282"/>
      <c r="H181" s="282">
        <v>1788372</v>
      </c>
      <c r="I181" s="282">
        <f t="shared" si="9"/>
        <v>124850184.78000021</v>
      </c>
      <c r="J181" s="300" t="s">
        <v>1389</v>
      </c>
      <c r="N181" s="302"/>
      <c r="O181" s="302"/>
    </row>
    <row r="182" spans="1:15" x14ac:dyDescent="0.25">
      <c r="A182" s="280">
        <v>16</v>
      </c>
      <c r="B182" s="281"/>
      <c r="C182" s="265" t="s">
        <v>1382</v>
      </c>
      <c r="D182" s="261" t="s">
        <v>1927</v>
      </c>
      <c r="E182" s="261"/>
      <c r="F182" s="259"/>
      <c r="G182" s="282"/>
      <c r="H182" s="282">
        <v>6765120</v>
      </c>
      <c r="I182" s="282">
        <f t="shared" si="9"/>
        <v>131615304.78000021</v>
      </c>
      <c r="J182" s="300" t="s">
        <v>1389</v>
      </c>
      <c r="K182" s="309"/>
      <c r="L182" s="309"/>
      <c r="M182" s="309"/>
      <c r="N182" s="302"/>
      <c r="O182" s="302"/>
    </row>
    <row r="183" spans="1:15" x14ac:dyDescent="0.25">
      <c r="A183" s="280">
        <v>17</v>
      </c>
      <c r="B183" s="281"/>
      <c r="C183" s="265" t="s">
        <v>1382</v>
      </c>
      <c r="D183" s="261" t="s">
        <v>1923</v>
      </c>
      <c r="E183" s="261"/>
      <c r="F183" s="259"/>
      <c r="G183" s="282"/>
      <c r="H183" s="282">
        <v>9897725</v>
      </c>
      <c r="I183" s="282">
        <f t="shared" si="9"/>
        <v>141513029.78000021</v>
      </c>
      <c r="J183" s="300" t="s">
        <v>1933</v>
      </c>
      <c r="M183" s="310"/>
      <c r="N183" s="302"/>
      <c r="O183" s="302"/>
    </row>
    <row r="184" spans="1:15" x14ac:dyDescent="0.25">
      <c r="A184" s="280">
        <v>18</v>
      </c>
      <c r="B184" s="281">
        <v>44761</v>
      </c>
      <c r="C184" s="265" t="s">
        <v>1382</v>
      </c>
      <c r="D184" s="261" t="s">
        <v>1399</v>
      </c>
      <c r="E184" s="261"/>
      <c r="F184" s="259"/>
      <c r="G184" s="282"/>
      <c r="H184" s="282">
        <v>3021000</v>
      </c>
      <c r="I184" s="282">
        <f t="shared" si="9"/>
        <v>144534029.78000021</v>
      </c>
      <c r="J184" s="300" t="s">
        <v>1400</v>
      </c>
      <c r="N184" s="302"/>
      <c r="O184" s="302"/>
    </row>
    <row r="185" spans="1:15" x14ac:dyDescent="0.25">
      <c r="A185" s="280">
        <v>19</v>
      </c>
      <c r="B185" s="281">
        <v>44762</v>
      </c>
      <c r="C185" s="265" t="s">
        <v>1382</v>
      </c>
      <c r="D185" s="261" t="s">
        <v>3057</v>
      </c>
      <c r="E185" s="261"/>
      <c r="F185" s="259"/>
      <c r="G185" s="282"/>
      <c r="H185" s="282">
        <v>10036400</v>
      </c>
      <c r="I185" s="282">
        <f t="shared" si="9"/>
        <v>154570429.78000021</v>
      </c>
      <c r="J185" s="300" t="s">
        <v>1390</v>
      </c>
      <c r="M185" s="310"/>
      <c r="N185" s="302"/>
      <c r="O185" s="302"/>
    </row>
    <row r="186" spans="1:15" x14ac:dyDescent="0.25">
      <c r="A186" s="280">
        <v>20</v>
      </c>
      <c r="B186" s="281">
        <v>44763</v>
      </c>
      <c r="C186" s="265" t="s">
        <v>1394</v>
      </c>
      <c r="D186" s="261" t="s">
        <v>1395</v>
      </c>
      <c r="E186" s="261"/>
      <c r="F186" s="259"/>
      <c r="G186" s="282"/>
      <c r="H186" s="282">
        <v>1373000</v>
      </c>
      <c r="I186" s="282">
        <f t="shared" si="9"/>
        <v>155943429.78000021</v>
      </c>
      <c r="J186" s="300"/>
      <c r="M186" s="310"/>
      <c r="N186" s="302"/>
      <c r="O186" s="302"/>
    </row>
    <row r="187" spans="1:15" x14ac:dyDescent="0.25">
      <c r="A187" s="280">
        <v>21</v>
      </c>
      <c r="B187" s="281">
        <v>44767</v>
      </c>
      <c r="C187" s="265" t="s">
        <v>1379</v>
      </c>
      <c r="D187" s="261" t="s">
        <v>4885</v>
      </c>
      <c r="E187" s="262" t="s">
        <v>1381</v>
      </c>
      <c r="F187" s="259"/>
      <c r="G187" s="282"/>
      <c r="H187" s="282">
        <v>9605610</v>
      </c>
      <c r="I187" s="282">
        <f t="shared" si="9"/>
        <v>165549039.78000021</v>
      </c>
      <c r="J187" s="300" t="s">
        <v>4886</v>
      </c>
      <c r="N187" s="302"/>
      <c r="O187" s="302"/>
    </row>
    <row r="188" spans="1:15" x14ac:dyDescent="0.25">
      <c r="A188" s="280">
        <v>22</v>
      </c>
      <c r="B188" s="281">
        <v>44769</v>
      </c>
      <c r="C188" s="265" t="s">
        <v>1382</v>
      </c>
      <c r="D188" s="261" t="s">
        <v>1923</v>
      </c>
      <c r="E188" s="261"/>
      <c r="F188" s="259"/>
      <c r="G188" s="282"/>
      <c r="H188" s="282">
        <v>7408800</v>
      </c>
      <c r="I188" s="282">
        <f t="shared" si="9"/>
        <v>172957839.78000021</v>
      </c>
      <c r="J188" s="300" t="s">
        <v>1933</v>
      </c>
      <c r="N188" s="302"/>
      <c r="O188" s="302"/>
    </row>
    <row r="189" spans="1:15" ht="13.5" thickBot="1" x14ac:dyDescent="0.3">
      <c r="A189" s="283"/>
      <c r="B189" s="286" t="s">
        <v>38</v>
      </c>
      <c r="C189" s="289"/>
      <c r="D189" s="287"/>
      <c r="E189" s="287"/>
      <c r="F189" s="288"/>
      <c r="G189" s="284">
        <f>SUM(G166:G188)</f>
        <v>216415636.21000001</v>
      </c>
      <c r="H189" s="284">
        <f>SUM(H166:H188)</f>
        <v>300768803.05000001</v>
      </c>
      <c r="I189" s="284">
        <f>I188</f>
        <v>172957839.78000021</v>
      </c>
      <c r="J189" s="689"/>
      <c r="N189" s="302"/>
      <c r="O189" s="302"/>
    </row>
    <row r="190" spans="1:15" x14ac:dyDescent="0.25">
      <c r="A190" s="315" t="s">
        <v>311</v>
      </c>
      <c r="B190" s="278"/>
      <c r="C190" s="821" t="s">
        <v>5622</v>
      </c>
      <c r="D190" s="822"/>
      <c r="E190" s="822"/>
      <c r="F190" s="823"/>
      <c r="G190" s="279"/>
      <c r="H190" s="279"/>
      <c r="I190" s="279">
        <f>I189-G190+H190</f>
        <v>172957839.78000021</v>
      </c>
      <c r="J190" s="688"/>
    </row>
    <row r="191" spans="1:15" x14ac:dyDescent="0.25">
      <c r="A191" s="280">
        <v>1</v>
      </c>
      <c r="B191" s="281"/>
      <c r="C191" s="265" t="s">
        <v>318</v>
      </c>
      <c r="D191" s="261"/>
      <c r="E191" s="261"/>
      <c r="F191" s="259"/>
      <c r="G191" s="282"/>
      <c r="H191" s="282"/>
      <c r="I191" s="282">
        <f>I190-G191+H191</f>
        <v>172957839.78000021</v>
      </c>
      <c r="J191" s="300"/>
      <c r="K191" s="308"/>
    </row>
    <row r="192" spans="1:15" x14ac:dyDescent="0.25">
      <c r="A192" s="280">
        <v>2</v>
      </c>
      <c r="B192" s="281">
        <v>44774</v>
      </c>
      <c r="C192" s="265" t="s">
        <v>1367</v>
      </c>
      <c r="D192" s="260" t="s">
        <v>1368</v>
      </c>
      <c r="E192" s="260"/>
      <c r="F192" s="259"/>
      <c r="G192" s="285"/>
      <c r="H192" s="285">
        <v>134892.24</v>
      </c>
      <c r="I192" s="282">
        <f>I191-G192+H192</f>
        <v>173092732.02000022</v>
      </c>
      <c r="J192" s="300"/>
    </row>
    <row r="193" spans="1:15" x14ac:dyDescent="0.25">
      <c r="A193" s="280">
        <v>3</v>
      </c>
      <c r="B193" s="281"/>
      <c r="C193" s="265" t="s">
        <v>1369</v>
      </c>
      <c r="D193" s="260" t="s">
        <v>1370</v>
      </c>
      <c r="E193" s="260"/>
      <c r="F193" s="259"/>
      <c r="G193" s="285">
        <v>26978.44</v>
      </c>
      <c r="H193" s="285"/>
      <c r="I193" s="282">
        <f t="shared" ref="I193:I213" si="10">I192-G193+H193</f>
        <v>173065753.58000022</v>
      </c>
      <c r="J193" s="300"/>
      <c r="M193" s="309"/>
      <c r="N193" s="309"/>
    </row>
    <row r="194" spans="1:15" x14ac:dyDescent="0.25">
      <c r="A194" s="280">
        <v>4</v>
      </c>
      <c r="B194" s="290"/>
      <c r="C194" s="291" t="s">
        <v>1371</v>
      </c>
      <c r="D194" s="292" t="s">
        <v>1372</v>
      </c>
      <c r="E194" s="292"/>
      <c r="F194" s="259"/>
      <c r="G194" s="293">
        <v>50000</v>
      </c>
      <c r="H194" s="293"/>
      <c r="I194" s="282">
        <f t="shared" si="10"/>
        <v>173015753.58000022</v>
      </c>
      <c r="J194" s="300"/>
      <c r="N194" s="310"/>
    </row>
    <row r="195" spans="1:15" x14ac:dyDescent="0.25">
      <c r="A195" s="280">
        <v>5</v>
      </c>
      <c r="B195" s="281"/>
      <c r="C195" s="265" t="s">
        <v>1405</v>
      </c>
      <c r="D195" s="261" t="s">
        <v>5623</v>
      </c>
      <c r="E195" s="261"/>
      <c r="F195" s="259"/>
      <c r="G195" s="282"/>
      <c r="H195" s="282">
        <v>42319000</v>
      </c>
      <c r="I195" s="282">
        <f t="shared" si="10"/>
        <v>215334753.58000022</v>
      </c>
      <c r="J195" s="300"/>
      <c r="N195" s="310"/>
    </row>
    <row r="196" spans="1:15" x14ac:dyDescent="0.25">
      <c r="A196" s="280">
        <v>6</v>
      </c>
      <c r="B196" s="281">
        <v>44778</v>
      </c>
      <c r="C196" s="265" t="s">
        <v>1382</v>
      </c>
      <c r="D196" s="261" t="s">
        <v>5624</v>
      </c>
      <c r="E196" s="261" t="s">
        <v>1384</v>
      </c>
      <c r="F196" s="259"/>
      <c r="G196" s="282"/>
      <c r="H196" s="282">
        <v>7203600</v>
      </c>
      <c r="I196" s="282">
        <f t="shared" si="10"/>
        <v>222538353.58000022</v>
      </c>
      <c r="J196" s="300" t="s">
        <v>1389</v>
      </c>
      <c r="M196" s="310"/>
    </row>
    <row r="197" spans="1:15" x14ac:dyDescent="0.25">
      <c r="A197" s="280">
        <v>7</v>
      </c>
      <c r="B197" s="281"/>
      <c r="C197" s="265" t="s">
        <v>1382</v>
      </c>
      <c r="D197" s="261" t="s">
        <v>5627</v>
      </c>
      <c r="E197" s="261" t="s">
        <v>1384</v>
      </c>
      <c r="F197" s="259"/>
      <c r="G197" s="282"/>
      <c r="H197" s="282">
        <v>511560</v>
      </c>
      <c r="I197" s="282">
        <f t="shared" si="10"/>
        <v>223049913.58000022</v>
      </c>
      <c r="J197" s="300" t="s">
        <v>1389</v>
      </c>
    </row>
    <row r="198" spans="1:15" x14ac:dyDescent="0.25">
      <c r="A198" s="280">
        <v>8</v>
      </c>
      <c r="B198" s="281"/>
      <c r="C198" s="265" t="s">
        <v>1382</v>
      </c>
      <c r="D198" s="261" t="s">
        <v>5628</v>
      </c>
      <c r="E198" s="261" t="s">
        <v>1384</v>
      </c>
      <c r="F198" s="259"/>
      <c r="G198" s="282"/>
      <c r="H198" s="282">
        <v>3307392</v>
      </c>
      <c r="I198" s="282">
        <f t="shared" si="10"/>
        <v>226357305.58000022</v>
      </c>
      <c r="J198" s="300" t="s">
        <v>1389</v>
      </c>
      <c r="K198" s="308"/>
      <c r="L198" s="308"/>
      <c r="M198" s="311"/>
      <c r="N198" s="311"/>
    </row>
    <row r="199" spans="1:15" x14ac:dyDescent="0.25">
      <c r="A199" s="280">
        <v>9</v>
      </c>
      <c r="B199" s="281"/>
      <c r="C199" s="265" t="s">
        <v>1382</v>
      </c>
      <c r="D199" s="262" t="s">
        <v>5629</v>
      </c>
      <c r="E199" s="261" t="s">
        <v>1384</v>
      </c>
      <c r="F199" s="259"/>
      <c r="G199" s="282"/>
      <c r="H199" s="282">
        <v>15018027</v>
      </c>
      <c r="I199" s="282">
        <f t="shared" si="10"/>
        <v>241375332.58000022</v>
      </c>
      <c r="J199" s="300" t="s">
        <v>1389</v>
      </c>
    </row>
    <row r="200" spans="1:15" x14ac:dyDescent="0.25">
      <c r="A200" s="280">
        <v>10</v>
      </c>
      <c r="B200" s="281">
        <v>44782</v>
      </c>
      <c r="C200" s="265" t="s">
        <v>1379</v>
      </c>
      <c r="D200" s="261" t="s">
        <v>5630</v>
      </c>
      <c r="E200" s="261" t="s">
        <v>1381</v>
      </c>
      <c r="F200" s="259"/>
      <c r="G200" s="282"/>
      <c r="H200" s="282">
        <v>4831092</v>
      </c>
      <c r="I200" s="282">
        <f t="shared" si="10"/>
        <v>246206424.58000022</v>
      </c>
      <c r="J200" s="300"/>
    </row>
    <row r="201" spans="1:15" x14ac:dyDescent="0.25">
      <c r="A201" s="280">
        <v>11</v>
      </c>
      <c r="B201" s="281"/>
      <c r="C201" s="265" t="s">
        <v>1382</v>
      </c>
      <c r="D201" s="261" t="s">
        <v>3056</v>
      </c>
      <c r="E201" s="261"/>
      <c r="F201" s="259"/>
      <c r="G201" s="282"/>
      <c r="H201" s="282">
        <v>131702200</v>
      </c>
      <c r="I201" s="282">
        <f t="shared" si="10"/>
        <v>377908624.58000022</v>
      </c>
      <c r="J201" s="300" t="s">
        <v>1397</v>
      </c>
      <c r="K201" s="312"/>
    </row>
    <row r="202" spans="1:15" x14ac:dyDescent="0.25">
      <c r="A202" s="280">
        <v>12</v>
      </c>
      <c r="B202" s="281"/>
      <c r="C202" s="265" t="s">
        <v>1394</v>
      </c>
      <c r="D202" s="261" t="s">
        <v>1395</v>
      </c>
      <c r="E202" s="261"/>
      <c r="F202" s="259"/>
      <c r="G202" s="282"/>
      <c r="H202" s="282">
        <v>1037200</v>
      </c>
      <c r="I202" s="282">
        <f t="shared" si="10"/>
        <v>378945824.58000022</v>
      </c>
      <c r="J202" s="300"/>
      <c r="N202" s="302"/>
      <c r="O202" s="302"/>
    </row>
    <row r="203" spans="1:15" x14ac:dyDescent="0.25">
      <c r="A203" s="280">
        <v>13</v>
      </c>
      <c r="B203" s="281"/>
      <c r="C203" s="265" t="s">
        <v>1382</v>
      </c>
      <c r="D203" s="262" t="s">
        <v>5626</v>
      </c>
      <c r="E203" s="261" t="s">
        <v>1384</v>
      </c>
      <c r="F203" s="259"/>
      <c r="G203" s="282"/>
      <c r="H203" s="282">
        <v>7454160</v>
      </c>
      <c r="I203" s="282">
        <f t="shared" si="10"/>
        <v>386399984.58000022</v>
      </c>
      <c r="J203" s="300" t="s">
        <v>1389</v>
      </c>
      <c r="K203" s="309"/>
      <c r="L203" s="309"/>
      <c r="M203" s="309"/>
      <c r="N203" s="302"/>
      <c r="O203" s="302"/>
    </row>
    <row r="204" spans="1:15" x14ac:dyDescent="0.25">
      <c r="A204" s="280">
        <v>14</v>
      </c>
      <c r="B204" s="281"/>
      <c r="C204" s="265" t="s">
        <v>1382</v>
      </c>
      <c r="D204" s="261" t="s">
        <v>5625</v>
      </c>
      <c r="E204" s="261" t="s">
        <v>1384</v>
      </c>
      <c r="F204" s="259"/>
      <c r="G204" s="282"/>
      <c r="H204" s="282">
        <v>1952280</v>
      </c>
      <c r="I204" s="282">
        <f t="shared" si="10"/>
        <v>388352264.58000022</v>
      </c>
      <c r="J204" s="300" t="s">
        <v>1389</v>
      </c>
      <c r="M204" s="310"/>
      <c r="N204" s="302"/>
      <c r="O204" s="302"/>
    </row>
    <row r="205" spans="1:15" x14ac:dyDescent="0.25">
      <c r="A205" s="280">
        <v>15</v>
      </c>
      <c r="B205" s="281">
        <v>44783</v>
      </c>
      <c r="C205" s="265" t="s">
        <v>1382</v>
      </c>
      <c r="D205" s="261" t="s">
        <v>3057</v>
      </c>
      <c r="E205" s="261"/>
      <c r="F205" s="259"/>
      <c r="G205" s="282"/>
      <c r="H205" s="282">
        <v>1454200</v>
      </c>
      <c r="I205" s="282">
        <f t="shared" si="10"/>
        <v>389806464.58000022</v>
      </c>
      <c r="J205" s="300" t="s">
        <v>1390</v>
      </c>
      <c r="N205" s="302"/>
      <c r="O205" s="302"/>
    </row>
    <row r="206" spans="1:15" x14ac:dyDescent="0.25">
      <c r="A206" s="280">
        <v>16</v>
      </c>
      <c r="B206" s="281">
        <v>44785</v>
      </c>
      <c r="C206" s="265" t="s">
        <v>1382</v>
      </c>
      <c r="D206" s="261" t="s">
        <v>5631</v>
      </c>
      <c r="E206" s="261" t="s">
        <v>1384</v>
      </c>
      <c r="F206" s="259"/>
      <c r="G206" s="282"/>
      <c r="H206" s="282">
        <v>9045738</v>
      </c>
      <c r="I206" s="282">
        <f t="shared" si="10"/>
        <v>398852202.58000022</v>
      </c>
      <c r="J206" s="300" t="s">
        <v>1389</v>
      </c>
      <c r="K206" s="309"/>
      <c r="L206" s="309"/>
      <c r="M206" s="309"/>
      <c r="N206" s="302"/>
      <c r="O206" s="302"/>
    </row>
    <row r="207" spans="1:15" x14ac:dyDescent="0.25">
      <c r="A207" s="280">
        <v>17</v>
      </c>
      <c r="B207" s="281"/>
      <c r="C207" s="265" t="s">
        <v>1382</v>
      </c>
      <c r="D207" s="261" t="s">
        <v>5632</v>
      </c>
      <c r="E207" s="261" t="s">
        <v>1384</v>
      </c>
      <c r="F207" s="259"/>
      <c r="G207" s="282"/>
      <c r="H207" s="282">
        <v>5842224</v>
      </c>
      <c r="I207" s="282">
        <f t="shared" si="10"/>
        <v>404694426.58000022</v>
      </c>
      <c r="J207" s="300" t="s">
        <v>1389</v>
      </c>
      <c r="M207" s="310"/>
      <c r="N207" s="302"/>
      <c r="O207" s="302"/>
    </row>
    <row r="208" spans="1:15" x14ac:dyDescent="0.25">
      <c r="A208" s="280">
        <v>18</v>
      </c>
      <c r="B208" s="281"/>
      <c r="C208" s="265" t="s">
        <v>1382</v>
      </c>
      <c r="D208" s="261" t="s">
        <v>5633</v>
      </c>
      <c r="E208" s="261" t="s">
        <v>1384</v>
      </c>
      <c r="F208" s="259"/>
      <c r="G208" s="282"/>
      <c r="H208" s="282">
        <v>6045630</v>
      </c>
      <c r="I208" s="282">
        <f t="shared" si="10"/>
        <v>410740056.58000022</v>
      </c>
      <c r="J208" s="300" t="s">
        <v>1389</v>
      </c>
      <c r="N208" s="302"/>
      <c r="O208" s="302"/>
    </row>
    <row r="209" spans="1:15" x14ac:dyDescent="0.25">
      <c r="A209" s="280">
        <v>19</v>
      </c>
      <c r="B209" s="281">
        <v>44788</v>
      </c>
      <c r="C209" s="265" t="s">
        <v>1382</v>
      </c>
      <c r="D209" s="261" t="s">
        <v>5634</v>
      </c>
      <c r="E209" s="261" t="s">
        <v>1384</v>
      </c>
      <c r="F209" s="259"/>
      <c r="G209" s="282"/>
      <c r="H209" s="282">
        <v>7589880</v>
      </c>
      <c r="I209" s="282">
        <f t="shared" si="10"/>
        <v>418329936.58000022</v>
      </c>
      <c r="J209" s="300" t="s">
        <v>1389</v>
      </c>
      <c r="M209" s="310"/>
      <c r="N209" s="302"/>
      <c r="O209" s="302"/>
    </row>
    <row r="210" spans="1:15" x14ac:dyDescent="0.25">
      <c r="A210" s="280">
        <v>20</v>
      </c>
      <c r="B210" s="281"/>
      <c r="C210" s="265" t="s">
        <v>1382</v>
      </c>
      <c r="D210" s="261" t="s">
        <v>5635</v>
      </c>
      <c r="E210" s="261" t="s">
        <v>1384</v>
      </c>
      <c r="F210" s="259"/>
      <c r="G210" s="282"/>
      <c r="H210" s="282">
        <v>2255040</v>
      </c>
      <c r="I210" s="282">
        <f t="shared" si="10"/>
        <v>420584976.58000022</v>
      </c>
      <c r="J210" s="300" t="s">
        <v>1389</v>
      </c>
      <c r="M210" s="310"/>
      <c r="N210" s="302"/>
      <c r="O210" s="302"/>
    </row>
    <row r="211" spans="1:15" x14ac:dyDescent="0.25">
      <c r="A211" s="280">
        <v>21</v>
      </c>
      <c r="B211" s="281">
        <v>44791</v>
      </c>
      <c r="C211" s="265" t="s">
        <v>1382</v>
      </c>
      <c r="D211" s="261" t="s">
        <v>5636</v>
      </c>
      <c r="E211" s="262"/>
      <c r="F211" s="259"/>
      <c r="G211" s="282"/>
      <c r="H211" s="282">
        <v>3402000</v>
      </c>
      <c r="I211" s="282">
        <f t="shared" si="10"/>
        <v>423986976.58000022</v>
      </c>
      <c r="J211" s="300" t="s">
        <v>1933</v>
      </c>
      <c r="N211" s="302"/>
      <c r="O211" s="302"/>
    </row>
    <row r="212" spans="1:15" x14ac:dyDescent="0.25">
      <c r="A212" s="280">
        <v>22</v>
      </c>
      <c r="B212" s="281">
        <v>44792</v>
      </c>
      <c r="C212" s="265" t="s">
        <v>1373</v>
      </c>
      <c r="D212" s="261" t="s">
        <v>1374</v>
      </c>
      <c r="E212" s="261" t="s">
        <v>5637</v>
      </c>
      <c r="F212" s="259" t="s">
        <v>1376</v>
      </c>
      <c r="G212" s="282">
        <v>222860000</v>
      </c>
      <c r="H212" s="282"/>
      <c r="I212" s="282">
        <f t="shared" si="10"/>
        <v>201126976.58000022</v>
      </c>
      <c r="J212" s="300" t="s">
        <v>1388</v>
      </c>
      <c r="N212" s="302"/>
      <c r="O212" s="302"/>
    </row>
    <row r="213" spans="1:15" x14ac:dyDescent="0.25">
      <c r="A213" s="280">
        <v>23</v>
      </c>
      <c r="B213" s="281">
        <v>44795</v>
      </c>
      <c r="C213" s="265" t="s">
        <v>1382</v>
      </c>
      <c r="D213" s="261" t="s">
        <v>3057</v>
      </c>
      <c r="E213" s="261"/>
      <c r="F213" s="259"/>
      <c r="G213" s="282"/>
      <c r="H213" s="282">
        <v>2188900</v>
      </c>
      <c r="I213" s="282">
        <f t="shared" si="10"/>
        <v>203315876.58000022</v>
      </c>
      <c r="J213" s="300" t="s">
        <v>1390</v>
      </c>
      <c r="M213" s="310"/>
      <c r="N213" s="302"/>
      <c r="O213" s="302"/>
    </row>
    <row r="214" spans="1:15" ht="13.5" thickBot="1" x14ac:dyDescent="0.3">
      <c r="A214" s="283"/>
      <c r="B214" s="286"/>
      <c r="C214" s="289"/>
      <c r="D214" s="287"/>
      <c r="E214" s="287"/>
      <c r="F214" s="288"/>
      <c r="G214" s="284"/>
      <c r="H214" s="284"/>
      <c r="I214" s="284">
        <f>I213</f>
        <v>203315876.58000022</v>
      </c>
      <c r="J214" s="689"/>
      <c r="N214" s="302"/>
      <c r="O214" s="302"/>
    </row>
    <row r="215" spans="1:15" x14ac:dyDescent="0.25">
      <c r="A215" s="280"/>
      <c r="B215" s="281"/>
      <c r="C215" s="265" t="s">
        <v>2608</v>
      </c>
      <c r="D215" s="261"/>
      <c r="E215" s="261"/>
      <c r="F215" s="259"/>
      <c r="G215" s="282"/>
      <c r="H215" s="282"/>
      <c r="I215" s="282">
        <f>I213</f>
        <v>203315876.58000022</v>
      </c>
      <c r="J215" s="300"/>
      <c r="N215" s="302"/>
      <c r="O215" s="302"/>
    </row>
    <row r="216" spans="1:15" x14ac:dyDescent="0.25">
      <c r="A216" s="280">
        <v>1</v>
      </c>
      <c r="B216" s="281">
        <v>44796</v>
      </c>
      <c r="C216" s="265" t="s">
        <v>1405</v>
      </c>
      <c r="D216" s="261" t="s">
        <v>5638</v>
      </c>
      <c r="E216" s="261"/>
      <c r="F216" s="259"/>
      <c r="G216" s="282"/>
      <c r="H216" s="282">
        <v>71864000</v>
      </c>
      <c r="I216" s="282">
        <f>I213-G216+H216</f>
        <v>275179876.58000022</v>
      </c>
      <c r="J216" s="300"/>
      <c r="N216" s="302"/>
      <c r="O216" s="302"/>
    </row>
    <row r="217" spans="1:15" x14ac:dyDescent="0.25">
      <c r="A217" s="280">
        <v>2</v>
      </c>
      <c r="B217" s="281"/>
      <c r="C217" s="265" t="s">
        <v>1394</v>
      </c>
      <c r="D217" s="261" t="s">
        <v>1395</v>
      </c>
      <c r="E217" s="261"/>
      <c r="F217" s="259"/>
      <c r="G217" s="282"/>
      <c r="H217" s="282">
        <v>1964800</v>
      </c>
      <c r="I217" s="282">
        <f t="shared" ref="I217:I220" si="11">I216-G217+H217</f>
        <v>277144676.58000022</v>
      </c>
      <c r="J217" s="300"/>
      <c r="M217" s="310"/>
      <c r="N217" s="302"/>
      <c r="O217" s="302"/>
    </row>
    <row r="218" spans="1:15" x14ac:dyDescent="0.25">
      <c r="A218" s="280">
        <v>3</v>
      </c>
      <c r="B218" s="281"/>
      <c r="C218" s="265" t="s">
        <v>1394</v>
      </c>
      <c r="D218" s="261" t="s">
        <v>1395</v>
      </c>
      <c r="E218" s="261"/>
      <c r="F218" s="259"/>
      <c r="G218" s="282"/>
      <c r="H218" s="282">
        <v>856300</v>
      </c>
      <c r="I218" s="282">
        <f t="shared" si="11"/>
        <v>278000976.58000022</v>
      </c>
      <c r="J218" s="300"/>
      <c r="M218" s="310"/>
      <c r="N218" s="302"/>
      <c r="O218" s="302"/>
    </row>
    <row r="219" spans="1:15" x14ac:dyDescent="0.25">
      <c r="A219" s="280">
        <v>4</v>
      </c>
      <c r="B219" s="281">
        <v>44797</v>
      </c>
      <c r="C219" s="265" t="s">
        <v>1382</v>
      </c>
      <c r="D219" s="261" t="s">
        <v>5639</v>
      </c>
      <c r="E219" s="261" t="s">
        <v>1384</v>
      </c>
      <c r="F219" s="259"/>
      <c r="G219" s="282"/>
      <c r="H219" s="282">
        <v>2255040</v>
      </c>
      <c r="I219" s="282">
        <f t="shared" si="11"/>
        <v>280256016.58000022</v>
      </c>
      <c r="J219" s="300" t="s">
        <v>1389</v>
      </c>
      <c r="M219" s="310"/>
      <c r="N219" s="302"/>
      <c r="O219" s="302"/>
    </row>
    <row r="220" spans="1:15" x14ac:dyDescent="0.25">
      <c r="A220" s="280">
        <v>5</v>
      </c>
      <c r="B220" s="281"/>
      <c r="C220" s="265" t="s">
        <v>1382</v>
      </c>
      <c r="D220" s="262" t="s">
        <v>5640</v>
      </c>
      <c r="E220" s="261" t="s">
        <v>1384</v>
      </c>
      <c r="F220" s="259"/>
      <c r="G220" s="282"/>
      <c r="H220" s="282">
        <v>4690692</v>
      </c>
      <c r="I220" s="282">
        <f t="shared" si="11"/>
        <v>284946708.58000022</v>
      </c>
      <c r="J220" s="300" t="s">
        <v>1389</v>
      </c>
      <c r="N220" s="302"/>
      <c r="O220" s="302"/>
    </row>
    <row r="221" spans="1:15" ht="13.5" thickBot="1" x14ac:dyDescent="0.3">
      <c r="A221" s="283"/>
      <c r="B221" s="286" t="s">
        <v>38</v>
      </c>
      <c r="C221" s="289"/>
      <c r="D221" s="287"/>
      <c r="E221" s="287"/>
      <c r="F221" s="288"/>
      <c r="G221" s="284">
        <f>SUM(G190:G220)</f>
        <v>222936978.44</v>
      </c>
      <c r="H221" s="284">
        <f>SUM(H190:H220)</f>
        <v>334925847.24000001</v>
      </c>
      <c r="I221" s="284">
        <f>I220</f>
        <v>284946708.58000022</v>
      </c>
      <c r="J221" s="689"/>
      <c r="N221" s="302"/>
      <c r="O221" s="302"/>
    </row>
    <row r="222" spans="1:15" x14ac:dyDescent="0.25">
      <c r="A222" s="315" t="s">
        <v>390</v>
      </c>
      <c r="B222" s="278"/>
      <c r="C222" s="821"/>
      <c r="D222" s="822"/>
      <c r="E222" s="822"/>
      <c r="F222" s="823"/>
      <c r="G222" s="279"/>
      <c r="H222" s="279"/>
      <c r="I222" s="279">
        <f>I221-G222+H222</f>
        <v>284946708.58000022</v>
      </c>
      <c r="J222" s="688"/>
    </row>
    <row r="223" spans="1:15" x14ac:dyDescent="0.25">
      <c r="A223" s="280">
        <v>1</v>
      </c>
      <c r="B223" s="281"/>
      <c r="C223" s="265" t="s">
        <v>318</v>
      </c>
      <c r="D223" s="261"/>
      <c r="E223" s="261"/>
      <c r="F223" s="259"/>
      <c r="G223" s="282"/>
      <c r="H223" s="282"/>
      <c r="I223" s="282">
        <f>I222-G223+H223</f>
        <v>284946708.58000022</v>
      </c>
      <c r="J223" s="300"/>
      <c r="K223" s="308"/>
    </row>
    <row r="224" spans="1:15" x14ac:dyDescent="0.25">
      <c r="A224" s="280">
        <v>2</v>
      </c>
      <c r="B224" s="281"/>
      <c r="C224" s="265"/>
      <c r="D224" s="260"/>
      <c r="E224" s="260"/>
      <c r="F224" s="259"/>
      <c r="G224" s="285"/>
      <c r="H224" s="285"/>
      <c r="I224" s="282">
        <f>I223-G224+H224</f>
        <v>284946708.58000022</v>
      </c>
      <c r="J224" s="300"/>
    </row>
    <row r="225" spans="1:15" x14ac:dyDescent="0.25">
      <c r="A225" s="280">
        <v>3</v>
      </c>
      <c r="B225" s="281"/>
      <c r="C225" s="265"/>
      <c r="D225" s="260"/>
      <c r="E225" s="260"/>
      <c r="F225" s="259"/>
      <c r="G225" s="285"/>
      <c r="H225" s="285"/>
      <c r="I225" s="282">
        <f t="shared" ref="I225:I247" si="12">I224-G225+H225</f>
        <v>284946708.58000022</v>
      </c>
      <c r="J225" s="300"/>
      <c r="M225" s="309"/>
      <c r="N225" s="309"/>
    </row>
    <row r="226" spans="1:15" x14ac:dyDescent="0.25">
      <c r="A226" s="280">
        <v>4</v>
      </c>
      <c r="B226" s="290"/>
      <c r="C226" s="291"/>
      <c r="D226" s="292"/>
      <c r="E226" s="292"/>
      <c r="F226" s="259"/>
      <c r="G226" s="293"/>
      <c r="H226" s="293"/>
      <c r="I226" s="282">
        <f t="shared" si="12"/>
        <v>284946708.58000022</v>
      </c>
      <c r="J226" s="300"/>
      <c r="N226" s="310"/>
    </row>
    <row r="227" spans="1:15" x14ac:dyDescent="0.25">
      <c r="A227" s="280">
        <v>5</v>
      </c>
      <c r="B227" s="281"/>
      <c r="C227" s="265"/>
      <c r="D227" s="261"/>
      <c r="E227" s="261"/>
      <c r="F227" s="259"/>
      <c r="G227" s="282"/>
      <c r="H227" s="282"/>
      <c r="I227" s="282">
        <f t="shared" si="12"/>
        <v>284946708.58000022</v>
      </c>
      <c r="J227" s="300"/>
      <c r="N227" s="310"/>
    </row>
    <row r="228" spans="1:15" x14ac:dyDescent="0.25">
      <c r="A228" s="280">
        <v>6</v>
      </c>
      <c r="B228" s="281"/>
      <c r="C228" s="265"/>
      <c r="D228" s="261"/>
      <c r="E228" s="261"/>
      <c r="F228" s="259"/>
      <c r="G228" s="282"/>
      <c r="H228" s="282"/>
      <c r="I228" s="282">
        <f t="shared" si="12"/>
        <v>284946708.58000022</v>
      </c>
      <c r="J228" s="300"/>
      <c r="M228" s="310"/>
    </row>
    <row r="229" spans="1:15" x14ac:dyDescent="0.25">
      <c r="A229" s="280">
        <v>7</v>
      </c>
      <c r="B229" s="281"/>
      <c r="C229" s="265"/>
      <c r="D229" s="261"/>
      <c r="E229" s="261"/>
      <c r="F229" s="259"/>
      <c r="G229" s="282"/>
      <c r="H229" s="282"/>
      <c r="I229" s="282">
        <f t="shared" si="12"/>
        <v>284946708.58000022</v>
      </c>
      <c r="J229" s="300"/>
    </row>
    <row r="230" spans="1:15" x14ac:dyDescent="0.25">
      <c r="A230" s="280">
        <v>8</v>
      </c>
      <c r="B230" s="281"/>
      <c r="C230" s="265"/>
      <c r="D230" s="261"/>
      <c r="E230" s="261"/>
      <c r="F230" s="259"/>
      <c r="G230" s="282"/>
      <c r="H230" s="282"/>
      <c r="I230" s="282">
        <f t="shared" si="12"/>
        <v>284946708.58000022</v>
      </c>
      <c r="J230" s="300"/>
      <c r="K230" s="308"/>
      <c r="L230" s="308"/>
      <c r="M230" s="311"/>
      <c r="N230" s="311"/>
    </row>
    <row r="231" spans="1:15" x14ac:dyDescent="0.25">
      <c r="A231" s="280">
        <v>9</v>
      </c>
      <c r="B231" s="281"/>
      <c r="C231" s="265"/>
      <c r="D231" s="262"/>
      <c r="E231" s="262"/>
      <c r="F231" s="259"/>
      <c r="G231" s="282"/>
      <c r="H231" s="282"/>
      <c r="I231" s="282">
        <f t="shared" si="12"/>
        <v>284946708.58000022</v>
      </c>
      <c r="J231" s="300"/>
    </row>
    <row r="232" spans="1:15" x14ac:dyDescent="0.25">
      <c r="A232" s="280">
        <v>10</v>
      </c>
      <c r="B232" s="281"/>
      <c r="C232" s="265"/>
      <c r="D232" s="261"/>
      <c r="E232" s="261"/>
      <c r="F232" s="259"/>
      <c r="G232" s="282"/>
      <c r="H232" s="282"/>
      <c r="I232" s="282">
        <f t="shared" si="12"/>
        <v>284946708.58000022</v>
      </c>
      <c r="J232" s="300"/>
    </row>
    <row r="233" spans="1:15" x14ac:dyDescent="0.25">
      <c r="A233" s="280">
        <v>11</v>
      </c>
      <c r="B233" s="281"/>
      <c r="C233" s="265"/>
      <c r="D233" s="261"/>
      <c r="E233" s="261"/>
      <c r="F233" s="259"/>
      <c r="G233" s="282"/>
      <c r="H233" s="282"/>
      <c r="I233" s="282">
        <f t="shared" si="12"/>
        <v>284946708.58000022</v>
      </c>
      <c r="J233" s="300"/>
      <c r="K233" s="312"/>
    </row>
    <row r="234" spans="1:15" x14ac:dyDescent="0.25">
      <c r="A234" s="280">
        <v>12</v>
      </c>
      <c r="B234" s="281"/>
      <c r="C234" s="265"/>
      <c r="D234" s="261"/>
      <c r="E234" s="261"/>
      <c r="F234" s="259"/>
      <c r="G234" s="282"/>
      <c r="H234" s="282"/>
      <c r="I234" s="282">
        <f t="shared" si="12"/>
        <v>284946708.58000022</v>
      </c>
      <c r="J234" s="300"/>
      <c r="N234" s="302"/>
      <c r="O234" s="302"/>
    </row>
    <row r="235" spans="1:15" x14ac:dyDescent="0.25">
      <c r="A235" s="280">
        <v>13</v>
      </c>
      <c r="B235" s="281"/>
      <c r="C235" s="265"/>
      <c r="D235" s="262"/>
      <c r="E235" s="261"/>
      <c r="F235" s="259"/>
      <c r="G235" s="282"/>
      <c r="H235" s="282"/>
      <c r="I235" s="282">
        <f t="shared" si="12"/>
        <v>284946708.58000022</v>
      </c>
      <c r="J235" s="300"/>
      <c r="K235" s="309"/>
      <c r="L235" s="309"/>
      <c r="M235" s="309"/>
      <c r="N235" s="302"/>
      <c r="O235" s="302"/>
    </row>
    <row r="236" spans="1:15" x14ac:dyDescent="0.25">
      <c r="A236" s="280">
        <v>14</v>
      </c>
      <c r="B236" s="281"/>
      <c r="C236" s="265"/>
      <c r="D236" s="261"/>
      <c r="E236" s="262"/>
      <c r="F236" s="259"/>
      <c r="G236" s="282"/>
      <c r="H236" s="282"/>
      <c r="I236" s="282">
        <f t="shared" si="12"/>
        <v>284946708.58000022</v>
      </c>
      <c r="J236" s="300"/>
      <c r="M236" s="310"/>
      <c r="N236" s="302"/>
      <c r="O236" s="302"/>
    </row>
    <row r="237" spans="1:15" x14ac:dyDescent="0.25">
      <c r="A237" s="280">
        <v>15</v>
      </c>
      <c r="B237" s="281"/>
      <c r="C237" s="265"/>
      <c r="D237" s="261"/>
      <c r="E237" s="261"/>
      <c r="F237" s="259"/>
      <c r="G237" s="282"/>
      <c r="H237" s="282"/>
      <c r="I237" s="282">
        <f t="shared" si="12"/>
        <v>284946708.58000022</v>
      </c>
      <c r="J237" s="300"/>
      <c r="N237" s="302"/>
      <c r="O237" s="302"/>
    </row>
    <row r="238" spans="1:15" x14ac:dyDescent="0.25">
      <c r="A238" s="280">
        <v>16</v>
      </c>
      <c r="B238" s="281"/>
      <c r="C238" s="265"/>
      <c r="D238" s="261"/>
      <c r="E238" s="261"/>
      <c r="F238" s="259"/>
      <c r="G238" s="282"/>
      <c r="H238" s="282"/>
      <c r="I238" s="282">
        <f t="shared" si="12"/>
        <v>284946708.58000022</v>
      </c>
      <c r="J238" s="300"/>
      <c r="K238" s="309"/>
      <c r="L238" s="309"/>
      <c r="M238" s="309"/>
      <c r="N238" s="302"/>
      <c r="O238" s="302"/>
    </row>
    <row r="239" spans="1:15" x14ac:dyDescent="0.25">
      <c r="A239" s="280">
        <v>17</v>
      </c>
      <c r="B239" s="281"/>
      <c r="C239" s="265"/>
      <c r="D239" s="261"/>
      <c r="E239" s="261"/>
      <c r="F239" s="259"/>
      <c r="G239" s="282"/>
      <c r="H239" s="282"/>
      <c r="I239" s="282">
        <f t="shared" si="12"/>
        <v>284946708.58000022</v>
      </c>
      <c r="J239" s="300"/>
      <c r="M239" s="310"/>
      <c r="N239" s="302"/>
      <c r="O239" s="302"/>
    </row>
    <row r="240" spans="1:15" x14ac:dyDescent="0.25">
      <c r="A240" s="280">
        <v>18</v>
      </c>
      <c r="B240" s="281"/>
      <c r="C240" s="265"/>
      <c r="D240" s="261"/>
      <c r="E240" s="261"/>
      <c r="F240" s="259"/>
      <c r="G240" s="282"/>
      <c r="H240" s="282"/>
      <c r="I240" s="282">
        <f t="shared" si="12"/>
        <v>284946708.58000022</v>
      </c>
      <c r="J240" s="300"/>
      <c r="N240" s="302"/>
      <c r="O240" s="302"/>
    </row>
    <row r="241" spans="1:15" x14ac:dyDescent="0.25">
      <c r="A241" s="280">
        <v>19</v>
      </c>
      <c r="B241" s="281"/>
      <c r="C241" s="265"/>
      <c r="D241" s="261"/>
      <c r="E241" s="261"/>
      <c r="F241" s="259"/>
      <c r="G241" s="282"/>
      <c r="H241" s="282"/>
      <c r="I241" s="282">
        <f t="shared" si="12"/>
        <v>284946708.58000022</v>
      </c>
      <c r="J241" s="300"/>
      <c r="M241" s="310"/>
      <c r="N241" s="302"/>
      <c r="O241" s="302"/>
    </row>
    <row r="242" spans="1:15" x14ac:dyDescent="0.25">
      <c r="A242" s="280">
        <v>20</v>
      </c>
      <c r="B242" s="281"/>
      <c r="C242" s="265"/>
      <c r="D242" s="261"/>
      <c r="E242" s="261"/>
      <c r="F242" s="259"/>
      <c r="G242" s="282"/>
      <c r="H242" s="282"/>
      <c r="I242" s="282">
        <f t="shared" si="12"/>
        <v>284946708.58000022</v>
      </c>
      <c r="J242" s="300"/>
      <c r="M242" s="310"/>
      <c r="N242" s="302"/>
      <c r="O242" s="302"/>
    </row>
    <row r="243" spans="1:15" x14ac:dyDescent="0.25">
      <c r="A243" s="280">
        <v>21</v>
      </c>
      <c r="B243" s="281"/>
      <c r="C243" s="265"/>
      <c r="D243" s="262"/>
      <c r="E243" s="262"/>
      <c r="F243" s="259"/>
      <c r="G243" s="282"/>
      <c r="H243" s="282"/>
      <c r="I243" s="282">
        <f t="shared" si="12"/>
        <v>284946708.58000022</v>
      </c>
      <c r="J243" s="300"/>
      <c r="N243" s="302"/>
      <c r="O243" s="302"/>
    </row>
    <row r="244" spans="1:15" x14ac:dyDescent="0.25">
      <c r="A244" s="280">
        <v>22</v>
      </c>
      <c r="B244" s="281"/>
      <c r="C244" s="265"/>
      <c r="D244" s="261"/>
      <c r="E244" s="261"/>
      <c r="F244" s="259"/>
      <c r="G244" s="282"/>
      <c r="H244" s="282"/>
      <c r="I244" s="282">
        <f t="shared" si="12"/>
        <v>284946708.58000022</v>
      </c>
      <c r="J244" s="300"/>
      <c r="N244" s="302"/>
      <c r="O244" s="302"/>
    </row>
    <row r="245" spans="1:15" x14ac:dyDescent="0.25">
      <c r="A245" s="280">
        <v>23</v>
      </c>
      <c r="B245" s="281"/>
      <c r="C245" s="265"/>
      <c r="D245" s="261"/>
      <c r="E245" s="261"/>
      <c r="F245" s="259"/>
      <c r="G245" s="282"/>
      <c r="H245" s="282"/>
      <c r="I245" s="282">
        <f t="shared" si="12"/>
        <v>284946708.58000022</v>
      </c>
      <c r="J245" s="300"/>
      <c r="M245" s="310"/>
      <c r="N245" s="302"/>
      <c r="O245" s="302"/>
    </row>
    <row r="246" spans="1:15" x14ac:dyDescent="0.25">
      <c r="A246" s="280">
        <v>24</v>
      </c>
      <c r="B246" s="281"/>
      <c r="C246" s="265"/>
      <c r="D246" s="261"/>
      <c r="E246" s="261"/>
      <c r="F246" s="259"/>
      <c r="G246" s="282"/>
      <c r="H246" s="282"/>
      <c r="I246" s="282">
        <f t="shared" si="12"/>
        <v>284946708.58000022</v>
      </c>
      <c r="J246" s="300"/>
      <c r="M246" s="310"/>
      <c r="N246" s="302"/>
      <c r="O246" s="302"/>
    </row>
    <row r="247" spans="1:15" x14ac:dyDescent="0.25">
      <c r="A247" s="280">
        <v>25</v>
      </c>
      <c r="B247" s="281"/>
      <c r="C247" s="265"/>
      <c r="D247" s="262"/>
      <c r="E247" s="262"/>
      <c r="F247" s="259"/>
      <c r="G247" s="282"/>
      <c r="H247" s="282"/>
      <c r="I247" s="282">
        <f t="shared" si="12"/>
        <v>284946708.58000022</v>
      </c>
      <c r="J247" s="300"/>
      <c r="N247" s="302"/>
      <c r="O247" s="302"/>
    </row>
    <row r="248" spans="1:15" ht="13.5" thickBot="1" x14ac:dyDescent="0.3">
      <c r="A248" s="283"/>
      <c r="B248" s="286" t="s">
        <v>38</v>
      </c>
      <c r="C248" s="289"/>
      <c r="D248" s="287"/>
      <c r="E248" s="287"/>
      <c r="F248" s="288"/>
      <c r="G248" s="284">
        <f>SUM(G222:G247)</f>
        <v>0</v>
      </c>
      <c r="H248" s="284">
        <f>SUM(H222:H247)</f>
        <v>0</v>
      </c>
      <c r="I248" s="284">
        <f>I247</f>
        <v>284946708.58000022</v>
      </c>
      <c r="J248" s="689"/>
      <c r="N248" s="302"/>
      <c r="O248" s="302"/>
    </row>
    <row r="249" spans="1:15" x14ac:dyDescent="0.25">
      <c r="A249" s="315" t="s">
        <v>313</v>
      </c>
      <c r="B249" s="278"/>
      <c r="C249" s="821"/>
      <c r="D249" s="822"/>
      <c r="E249" s="822"/>
      <c r="F249" s="823"/>
      <c r="G249" s="279"/>
      <c r="H249" s="279"/>
      <c r="I249" s="279">
        <f>I248-G249+H249</f>
        <v>284946708.58000022</v>
      </c>
      <c r="J249" s="688"/>
    </row>
    <row r="250" spans="1:15" x14ac:dyDescent="0.25">
      <c r="A250" s="280">
        <v>1</v>
      </c>
      <c r="B250" s="281"/>
      <c r="C250" s="265" t="s">
        <v>318</v>
      </c>
      <c r="D250" s="261"/>
      <c r="E250" s="261"/>
      <c r="F250" s="259"/>
      <c r="G250" s="282"/>
      <c r="H250" s="282"/>
      <c r="I250" s="282">
        <f>I249-G250+H250</f>
        <v>284946708.58000022</v>
      </c>
      <c r="J250" s="300"/>
      <c r="K250" s="308"/>
    </row>
    <row r="251" spans="1:15" x14ac:dyDescent="0.25">
      <c r="A251" s="280">
        <v>2</v>
      </c>
      <c r="B251" s="281"/>
      <c r="C251" s="265"/>
      <c r="D251" s="260"/>
      <c r="E251" s="260"/>
      <c r="F251" s="259"/>
      <c r="G251" s="285"/>
      <c r="H251" s="285"/>
      <c r="I251" s="282">
        <f>I250-G251+H251</f>
        <v>284946708.58000022</v>
      </c>
      <c r="J251" s="300"/>
    </row>
    <row r="252" spans="1:15" x14ac:dyDescent="0.25">
      <c r="A252" s="280">
        <v>3</v>
      </c>
      <c r="B252" s="281"/>
      <c r="C252" s="265"/>
      <c r="D252" s="260"/>
      <c r="E252" s="260"/>
      <c r="F252" s="259"/>
      <c r="G252" s="285"/>
      <c r="H252" s="285"/>
      <c r="I252" s="282">
        <f t="shared" ref="I252:I274" si="13">I251-G252+H252</f>
        <v>284946708.58000022</v>
      </c>
      <c r="J252" s="300"/>
      <c r="M252" s="309"/>
      <c r="N252" s="309"/>
    </row>
    <row r="253" spans="1:15" x14ac:dyDescent="0.25">
      <c r="A253" s="280">
        <v>4</v>
      </c>
      <c r="B253" s="290"/>
      <c r="C253" s="291"/>
      <c r="D253" s="292"/>
      <c r="E253" s="292"/>
      <c r="F253" s="259"/>
      <c r="G253" s="293"/>
      <c r="H253" s="293"/>
      <c r="I253" s="282">
        <f t="shared" si="13"/>
        <v>284946708.58000022</v>
      </c>
      <c r="J253" s="300"/>
      <c r="N253" s="310"/>
    </row>
    <row r="254" spans="1:15" x14ac:dyDescent="0.25">
      <c r="A254" s="280">
        <v>5</v>
      </c>
      <c r="B254" s="281"/>
      <c r="C254" s="265"/>
      <c r="D254" s="261"/>
      <c r="E254" s="261"/>
      <c r="F254" s="259"/>
      <c r="G254" s="282"/>
      <c r="H254" s="282"/>
      <c r="I254" s="282">
        <f t="shared" si="13"/>
        <v>284946708.58000022</v>
      </c>
      <c r="J254" s="300"/>
      <c r="N254" s="310"/>
    </row>
    <row r="255" spans="1:15" x14ac:dyDescent="0.25">
      <c r="A255" s="280">
        <v>6</v>
      </c>
      <c r="B255" s="281"/>
      <c r="C255" s="265"/>
      <c r="D255" s="261"/>
      <c r="E255" s="261"/>
      <c r="F255" s="259"/>
      <c r="G255" s="282"/>
      <c r="H255" s="282"/>
      <c r="I255" s="282">
        <f t="shared" si="13"/>
        <v>284946708.58000022</v>
      </c>
      <c r="J255" s="300"/>
      <c r="M255" s="310"/>
    </row>
    <row r="256" spans="1:15" x14ac:dyDescent="0.25">
      <c r="A256" s="280">
        <v>7</v>
      </c>
      <c r="B256" s="281"/>
      <c r="C256" s="265"/>
      <c r="D256" s="261"/>
      <c r="E256" s="261"/>
      <c r="F256" s="259"/>
      <c r="G256" s="282"/>
      <c r="H256" s="282"/>
      <c r="I256" s="282">
        <f t="shared" si="13"/>
        <v>284946708.58000022</v>
      </c>
      <c r="J256" s="300"/>
    </row>
    <row r="257" spans="1:15" x14ac:dyDescent="0.25">
      <c r="A257" s="280">
        <v>8</v>
      </c>
      <c r="B257" s="281"/>
      <c r="C257" s="265"/>
      <c r="D257" s="261"/>
      <c r="E257" s="261"/>
      <c r="F257" s="259"/>
      <c r="G257" s="282"/>
      <c r="H257" s="282"/>
      <c r="I257" s="282">
        <f t="shared" si="13"/>
        <v>284946708.58000022</v>
      </c>
      <c r="J257" s="300"/>
      <c r="K257" s="308"/>
      <c r="L257" s="308"/>
      <c r="M257" s="311"/>
      <c r="N257" s="311"/>
    </row>
    <row r="258" spans="1:15" x14ac:dyDescent="0.25">
      <c r="A258" s="280">
        <v>9</v>
      </c>
      <c r="B258" s="281"/>
      <c r="C258" s="265"/>
      <c r="D258" s="262"/>
      <c r="E258" s="262"/>
      <c r="F258" s="259"/>
      <c r="G258" s="282"/>
      <c r="H258" s="282"/>
      <c r="I258" s="282">
        <f t="shared" si="13"/>
        <v>284946708.58000022</v>
      </c>
      <c r="J258" s="300"/>
    </row>
    <row r="259" spans="1:15" x14ac:dyDescent="0.25">
      <c r="A259" s="280">
        <v>10</v>
      </c>
      <c r="B259" s="281"/>
      <c r="C259" s="265"/>
      <c r="D259" s="261"/>
      <c r="E259" s="261"/>
      <c r="F259" s="259"/>
      <c r="G259" s="282"/>
      <c r="H259" s="282"/>
      <c r="I259" s="282">
        <f t="shared" si="13"/>
        <v>284946708.58000022</v>
      </c>
      <c r="J259" s="300"/>
    </row>
    <row r="260" spans="1:15" x14ac:dyDescent="0.25">
      <c r="A260" s="280">
        <v>11</v>
      </c>
      <c r="B260" s="281"/>
      <c r="C260" s="265"/>
      <c r="D260" s="261"/>
      <c r="E260" s="261"/>
      <c r="F260" s="259"/>
      <c r="G260" s="282"/>
      <c r="H260" s="282"/>
      <c r="I260" s="282">
        <f t="shared" si="13"/>
        <v>284946708.58000022</v>
      </c>
      <c r="J260" s="300"/>
      <c r="K260" s="312"/>
    </row>
    <row r="261" spans="1:15" x14ac:dyDescent="0.25">
      <c r="A261" s="280">
        <v>12</v>
      </c>
      <c r="B261" s="281"/>
      <c r="C261" s="265"/>
      <c r="D261" s="261"/>
      <c r="E261" s="261"/>
      <c r="F261" s="259"/>
      <c r="G261" s="282"/>
      <c r="H261" s="282"/>
      <c r="I261" s="282">
        <f t="shared" si="13"/>
        <v>284946708.58000022</v>
      </c>
      <c r="J261" s="300"/>
      <c r="N261" s="302"/>
      <c r="O261" s="302"/>
    </row>
    <row r="262" spans="1:15" x14ac:dyDescent="0.25">
      <c r="A262" s="280">
        <v>13</v>
      </c>
      <c r="B262" s="281"/>
      <c r="C262" s="265"/>
      <c r="D262" s="262"/>
      <c r="E262" s="261"/>
      <c r="F262" s="259"/>
      <c r="G262" s="282"/>
      <c r="H262" s="282"/>
      <c r="I262" s="282">
        <f t="shared" si="13"/>
        <v>284946708.58000022</v>
      </c>
      <c r="J262" s="300"/>
      <c r="K262" s="309"/>
      <c r="L262" s="309"/>
      <c r="M262" s="309"/>
      <c r="N262" s="302"/>
      <c r="O262" s="302"/>
    </row>
    <row r="263" spans="1:15" x14ac:dyDescent="0.25">
      <c r="A263" s="280">
        <v>14</v>
      </c>
      <c r="B263" s="281"/>
      <c r="C263" s="265"/>
      <c r="D263" s="261"/>
      <c r="E263" s="262"/>
      <c r="F263" s="259"/>
      <c r="G263" s="282"/>
      <c r="H263" s="282"/>
      <c r="I263" s="282">
        <f t="shared" si="13"/>
        <v>284946708.58000022</v>
      </c>
      <c r="J263" s="300"/>
      <c r="M263" s="310"/>
      <c r="N263" s="302"/>
      <c r="O263" s="302"/>
    </row>
    <row r="264" spans="1:15" x14ac:dyDescent="0.25">
      <c r="A264" s="280">
        <v>15</v>
      </c>
      <c r="B264" s="281"/>
      <c r="C264" s="265"/>
      <c r="D264" s="261"/>
      <c r="E264" s="261"/>
      <c r="F264" s="259"/>
      <c r="G264" s="282"/>
      <c r="H264" s="282"/>
      <c r="I264" s="282">
        <f t="shared" si="13"/>
        <v>284946708.58000022</v>
      </c>
      <c r="J264" s="300"/>
      <c r="N264" s="302"/>
      <c r="O264" s="302"/>
    </row>
    <row r="265" spans="1:15" x14ac:dyDescent="0.25">
      <c r="A265" s="280">
        <v>16</v>
      </c>
      <c r="B265" s="281"/>
      <c r="C265" s="265"/>
      <c r="D265" s="261"/>
      <c r="E265" s="261"/>
      <c r="F265" s="259"/>
      <c r="G265" s="282"/>
      <c r="H265" s="282"/>
      <c r="I265" s="282">
        <f t="shared" si="13"/>
        <v>284946708.58000022</v>
      </c>
      <c r="J265" s="300"/>
      <c r="K265" s="309"/>
      <c r="L265" s="309"/>
      <c r="M265" s="309"/>
      <c r="N265" s="302"/>
      <c r="O265" s="302"/>
    </row>
    <row r="266" spans="1:15" x14ac:dyDescent="0.25">
      <c r="A266" s="280">
        <v>17</v>
      </c>
      <c r="B266" s="281"/>
      <c r="C266" s="265"/>
      <c r="D266" s="261"/>
      <c r="E266" s="261"/>
      <c r="F266" s="259"/>
      <c r="G266" s="282"/>
      <c r="H266" s="282"/>
      <c r="I266" s="282">
        <f t="shared" si="13"/>
        <v>284946708.58000022</v>
      </c>
      <c r="J266" s="300"/>
      <c r="M266" s="310"/>
      <c r="N266" s="302"/>
      <c r="O266" s="302"/>
    </row>
    <row r="267" spans="1:15" x14ac:dyDescent="0.25">
      <c r="A267" s="280">
        <v>18</v>
      </c>
      <c r="B267" s="281"/>
      <c r="C267" s="265"/>
      <c r="D267" s="261"/>
      <c r="E267" s="261"/>
      <c r="F267" s="259"/>
      <c r="G267" s="282"/>
      <c r="H267" s="282"/>
      <c r="I267" s="282">
        <f t="shared" si="13"/>
        <v>284946708.58000022</v>
      </c>
      <c r="J267" s="300"/>
      <c r="N267" s="302"/>
      <c r="O267" s="302"/>
    </row>
    <row r="268" spans="1:15" x14ac:dyDescent="0.25">
      <c r="A268" s="280">
        <v>19</v>
      </c>
      <c r="B268" s="281"/>
      <c r="C268" s="265"/>
      <c r="D268" s="261"/>
      <c r="E268" s="261"/>
      <c r="F268" s="259"/>
      <c r="G268" s="282"/>
      <c r="H268" s="282"/>
      <c r="I268" s="282">
        <f t="shared" si="13"/>
        <v>284946708.58000022</v>
      </c>
      <c r="J268" s="300"/>
      <c r="M268" s="310"/>
      <c r="N268" s="302"/>
      <c r="O268" s="302"/>
    </row>
    <row r="269" spans="1:15" x14ac:dyDescent="0.25">
      <c r="A269" s="280">
        <v>20</v>
      </c>
      <c r="B269" s="281"/>
      <c r="C269" s="265"/>
      <c r="D269" s="261"/>
      <c r="E269" s="261"/>
      <c r="F269" s="259"/>
      <c r="G269" s="282"/>
      <c r="H269" s="282"/>
      <c r="I269" s="282">
        <f t="shared" si="13"/>
        <v>284946708.58000022</v>
      </c>
      <c r="J269" s="300"/>
      <c r="M269" s="310"/>
      <c r="N269" s="302"/>
      <c r="O269" s="302"/>
    </row>
    <row r="270" spans="1:15" x14ac:dyDescent="0.25">
      <c r="A270" s="280">
        <v>21</v>
      </c>
      <c r="B270" s="281"/>
      <c r="C270" s="265"/>
      <c r="D270" s="262"/>
      <c r="E270" s="262"/>
      <c r="F270" s="259"/>
      <c r="G270" s="282"/>
      <c r="H270" s="282"/>
      <c r="I270" s="282">
        <f t="shared" si="13"/>
        <v>284946708.58000022</v>
      </c>
      <c r="J270" s="300"/>
      <c r="N270" s="302"/>
      <c r="O270" s="302"/>
    </row>
    <row r="271" spans="1:15" x14ac:dyDescent="0.25">
      <c r="A271" s="280">
        <v>22</v>
      </c>
      <c r="B271" s="281"/>
      <c r="C271" s="265"/>
      <c r="D271" s="261"/>
      <c r="E271" s="261"/>
      <c r="F271" s="259"/>
      <c r="G271" s="282"/>
      <c r="H271" s="282"/>
      <c r="I271" s="282">
        <f t="shared" si="13"/>
        <v>284946708.58000022</v>
      </c>
      <c r="J271" s="300"/>
      <c r="N271" s="302"/>
      <c r="O271" s="302"/>
    </row>
    <row r="272" spans="1:15" x14ac:dyDescent="0.25">
      <c r="A272" s="280">
        <v>23</v>
      </c>
      <c r="B272" s="281"/>
      <c r="C272" s="265"/>
      <c r="D272" s="261"/>
      <c r="E272" s="261"/>
      <c r="F272" s="259"/>
      <c r="G272" s="282"/>
      <c r="H272" s="282"/>
      <c r="I272" s="282">
        <f t="shared" si="13"/>
        <v>284946708.58000022</v>
      </c>
      <c r="J272" s="300"/>
      <c r="M272" s="310"/>
      <c r="N272" s="302"/>
      <c r="O272" s="302"/>
    </row>
    <row r="273" spans="1:15" x14ac:dyDescent="0.25">
      <c r="A273" s="280">
        <v>24</v>
      </c>
      <c r="B273" s="281"/>
      <c r="C273" s="265"/>
      <c r="D273" s="261"/>
      <c r="E273" s="261"/>
      <c r="F273" s="259"/>
      <c r="G273" s="282"/>
      <c r="H273" s="282"/>
      <c r="I273" s="282">
        <f t="shared" si="13"/>
        <v>284946708.58000022</v>
      </c>
      <c r="J273" s="300"/>
      <c r="M273" s="310"/>
      <c r="N273" s="302"/>
      <c r="O273" s="302"/>
    </row>
    <row r="274" spans="1:15" x14ac:dyDescent="0.25">
      <c r="A274" s="280">
        <v>25</v>
      </c>
      <c r="B274" s="281"/>
      <c r="C274" s="265"/>
      <c r="D274" s="262"/>
      <c r="E274" s="262"/>
      <c r="F274" s="259"/>
      <c r="G274" s="282"/>
      <c r="H274" s="282"/>
      <c r="I274" s="282">
        <f t="shared" si="13"/>
        <v>284946708.58000022</v>
      </c>
      <c r="J274" s="300"/>
      <c r="N274" s="302"/>
      <c r="O274" s="302"/>
    </row>
    <row r="275" spans="1:15" ht="13.5" thickBot="1" x14ac:dyDescent="0.3">
      <c r="A275" s="283"/>
      <c r="B275" s="286" t="s">
        <v>38</v>
      </c>
      <c r="C275" s="289"/>
      <c r="D275" s="287"/>
      <c r="E275" s="287"/>
      <c r="F275" s="288"/>
      <c r="G275" s="284">
        <f>SUM(G249:G274)</f>
        <v>0</v>
      </c>
      <c r="H275" s="284">
        <f>SUM(H249:H274)</f>
        <v>0</v>
      </c>
      <c r="I275" s="284">
        <f>I274</f>
        <v>284946708.58000022</v>
      </c>
      <c r="J275" s="689"/>
      <c r="N275" s="302"/>
      <c r="O275" s="302"/>
    </row>
    <row r="276" spans="1:15" x14ac:dyDescent="0.25">
      <c r="A276" s="315" t="s">
        <v>314</v>
      </c>
      <c r="B276" s="278"/>
      <c r="C276" s="821"/>
      <c r="D276" s="822"/>
      <c r="E276" s="822"/>
      <c r="F276" s="823"/>
      <c r="G276" s="279"/>
      <c r="H276" s="279"/>
      <c r="I276" s="279">
        <f>I275-G276+H276</f>
        <v>284946708.58000022</v>
      </c>
      <c r="J276" s="688"/>
    </row>
    <row r="277" spans="1:15" x14ac:dyDescent="0.25">
      <c r="A277" s="280">
        <v>1</v>
      </c>
      <c r="B277" s="281"/>
      <c r="C277" s="265" t="s">
        <v>318</v>
      </c>
      <c r="D277" s="261"/>
      <c r="E277" s="261"/>
      <c r="F277" s="259"/>
      <c r="G277" s="282"/>
      <c r="H277" s="282"/>
      <c r="I277" s="282">
        <f>I276-G277+H277</f>
        <v>284946708.58000022</v>
      </c>
      <c r="J277" s="300"/>
      <c r="K277" s="308"/>
    </row>
    <row r="278" spans="1:15" x14ac:dyDescent="0.25">
      <c r="A278" s="280">
        <v>2</v>
      </c>
      <c r="B278" s="281"/>
      <c r="C278" s="265"/>
      <c r="D278" s="260"/>
      <c r="E278" s="260"/>
      <c r="F278" s="259"/>
      <c r="G278" s="285"/>
      <c r="H278" s="285"/>
      <c r="I278" s="282">
        <f>I277-G278+H278</f>
        <v>284946708.58000022</v>
      </c>
      <c r="J278" s="300"/>
    </row>
    <row r="279" spans="1:15" x14ac:dyDescent="0.25">
      <c r="A279" s="280">
        <v>3</v>
      </c>
      <c r="B279" s="281"/>
      <c r="C279" s="265"/>
      <c r="D279" s="260"/>
      <c r="E279" s="260"/>
      <c r="F279" s="259"/>
      <c r="G279" s="285"/>
      <c r="H279" s="285"/>
      <c r="I279" s="282">
        <f t="shared" ref="I279:I301" si="14">I278-G279+H279</f>
        <v>284946708.58000022</v>
      </c>
      <c r="J279" s="300"/>
      <c r="M279" s="309"/>
      <c r="N279" s="309"/>
    </row>
    <row r="280" spans="1:15" x14ac:dyDescent="0.25">
      <c r="A280" s="280">
        <v>4</v>
      </c>
      <c r="B280" s="290"/>
      <c r="C280" s="291"/>
      <c r="D280" s="292"/>
      <c r="E280" s="292"/>
      <c r="F280" s="259"/>
      <c r="G280" s="293"/>
      <c r="H280" s="293"/>
      <c r="I280" s="282">
        <f t="shared" si="14"/>
        <v>284946708.58000022</v>
      </c>
      <c r="J280" s="300"/>
      <c r="N280" s="310"/>
    </row>
    <row r="281" spans="1:15" x14ac:dyDescent="0.25">
      <c r="A281" s="280">
        <v>5</v>
      </c>
      <c r="B281" s="281"/>
      <c r="C281" s="265"/>
      <c r="D281" s="261"/>
      <c r="E281" s="261"/>
      <c r="F281" s="259"/>
      <c r="G281" s="282"/>
      <c r="H281" s="282"/>
      <c r="I281" s="282">
        <f t="shared" si="14"/>
        <v>284946708.58000022</v>
      </c>
      <c r="J281" s="300"/>
      <c r="N281" s="310"/>
    </row>
    <row r="282" spans="1:15" x14ac:dyDescent="0.25">
      <c r="A282" s="280">
        <v>6</v>
      </c>
      <c r="B282" s="281"/>
      <c r="C282" s="265"/>
      <c r="D282" s="261"/>
      <c r="E282" s="261"/>
      <c r="F282" s="259"/>
      <c r="G282" s="282"/>
      <c r="H282" s="282"/>
      <c r="I282" s="282">
        <f t="shared" si="14"/>
        <v>284946708.58000022</v>
      </c>
      <c r="J282" s="300"/>
      <c r="M282" s="310"/>
    </row>
    <row r="283" spans="1:15" x14ac:dyDescent="0.25">
      <c r="A283" s="280">
        <v>7</v>
      </c>
      <c r="B283" s="281"/>
      <c r="C283" s="265"/>
      <c r="D283" s="261"/>
      <c r="E283" s="261"/>
      <c r="F283" s="259"/>
      <c r="G283" s="282"/>
      <c r="H283" s="282"/>
      <c r="I283" s="282">
        <f t="shared" si="14"/>
        <v>284946708.58000022</v>
      </c>
      <c r="J283" s="300"/>
    </row>
    <row r="284" spans="1:15" x14ac:dyDescent="0.25">
      <c r="A284" s="280">
        <v>8</v>
      </c>
      <c r="B284" s="281"/>
      <c r="C284" s="265"/>
      <c r="D284" s="261"/>
      <c r="E284" s="261"/>
      <c r="F284" s="259"/>
      <c r="G284" s="282"/>
      <c r="H284" s="282"/>
      <c r="I284" s="282">
        <f t="shared" si="14"/>
        <v>284946708.58000022</v>
      </c>
      <c r="J284" s="300"/>
      <c r="K284" s="308"/>
      <c r="L284" s="308"/>
      <c r="M284" s="311"/>
      <c r="N284" s="311"/>
    </row>
    <row r="285" spans="1:15" x14ac:dyDescent="0.25">
      <c r="A285" s="280">
        <v>9</v>
      </c>
      <c r="B285" s="281"/>
      <c r="C285" s="265"/>
      <c r="D285" s="262"/>
      <c r="E285" s="262"/>
      <c r="F285" s="259"/>
      <c r="G285" s="282"/>
      <c r="H285" s="282"/>
      <c r="I285" s="282">
        <f t="shared" si="14"/>
        <v>284946708.58000022</v>
      </c>
      <c r="J285" s="300"/>
    </row>
    <row r="286" spans="1:15" x14ac:dyDescent="0.25">
      <c r="A286" s="280">
        <v>10</v>
      </c>
      <c r="B286" s="281"/>
      <c r="C286" s="265"/>
      <c r="D286" s="261"/>
      <c r="E286" s="261"/>
      <c r="F286" s="259"/>
      <c r="G286" s="282"/>
      <c r="H286" s="282"/>
      <c r="I286" s="282">
        <f t="shared" si="14"/>
        <v>284946708.58000022</v>
      </c>
      <c r="J286" s="300"/>
    </row>
    <row r="287" spans="1:15" x14ac:dyDescent="0.25">
      <c r="A287" s="280">
        <v>11</v>
      </c>
      <c r="B287" s="281"/>
      <c r="C287" s="265"/>
      <c r="D287" s="261"/>
      <c r="E287" s="261"/>
      <c r="F287" s="259"/>
      <c r="G287" s="282"/>
      <c r="H287" s="282"/>
      <c r="I287" s="282">
        <f t="shared" si="14"/>
        <v>284946708.58000022</v>
      </c>
      <c r="J287" s="300"/>
      <c r="K287" s="312"/>
    </row>
    <row r="288" spans="1:15" x14ac:dyDescent="0.25">
      <c r="A288" s="280">
        <v>12</v>
      </c>
      <c r="B288" s="281"/>
      <c r="C288" s="265"/>
      <c r="D288" s="261"/>
      <c r="E288" s="261"/>
      <c r="F288" s="259"/>
      <c r="G288" s="282"/>
      <c r="H288" s="282"/>
      <c r="I288" s="282">
        <f t="shared" si="14"/>
        <v>284946708.58000022</v>
      </c>
      <c r="J288" s="300"/>
      <c r="N288" s="302"/>
      <c r="O288" s="302"/>
    </row>
    <row r="289" spans="1:15" x14ac:dyDescent="0.25">
      <c r="A289" s="280">
        <v>13</v>
      </c>
      <c r="B289" s="281"/>
      <c r="C289" s="265"/>
      <c r="D289" s="262"/>
      <c r="E289" s="261"/>
      <c r="F289" s="259"/>
      <c r="G289" s="282"/>
      <c r="H289" s="282"/>
      <c r="I289" s="282">
        <f t="shared" si="14"/>
        <v>284946708.58000022</v>
      </c>
      <c r="J289" s="300"/>
      <c r="K289" s="309"/>
      <c r="L289" s="309"/>
      <c r="M289" s="309"/>
      <c r="N289" s="302"/>
      <c r="O289" s="302"/>
    </row>
    <row r="290" spans="1:15" x14ac:dyDescent="0.25">
      <c r="A290" s="280">
        <v>14</v>
      </c>
      <c r="B290" s="281"/>
      <c r="C290" s="265"/>
      <c r="D290" s="261"/>
      <c r="E290" s="262"/>
      <c r="F290" s="259"/>
      <c r="G290" s="282"/>
      <c r="H290" s="282"/>
      <c r="I290" s="282">
        <f t="shared" si="14"/>
        <v>284946708.58000022</v>
      </c>
      <c r="J290" s="300"/>
      <c r="M290" s="310"/>
      <c r="N290" s="302"/>
      <c r="O290" s="302"/>
    </row>
    <row r="291" spans="1:15" x14ac:dyDescent="0.25">
      <c r="A291" s="280">
        <v>15</v>
      </c>
      <c r="B291" s="281"/>
      <c r="C291" s="265"/>
      <c r="D291" s="261"/>
      <c r="E291" s="261"/>
      <c r="F291" s="259"/>
      <c r="G291" s="282"/>
      <c r="H291" s="282"/>
      <c r="I291" s="282">
        <f t="shared" si="14"/>
        <v>284946708.58000022</v>
      </c>
      <c r="J291" s="300"/>
      <c r="N291" s="302"/>
      <c r="O291" s="302"/>
    </row>
    <row r="292" spans="1:15" x14ac:dyDescent="0.25">
      <c r="A292" s="280">
        <v>16</v>
      </c>
      <c r="B292" s="281"/>
      <c r="C292" s="265"/>
      <c r="D292" s="261"/>
      <c r="E292" s="261"/>
      <c r="F292" s="259"/>
      <c r="G292" s="282"/>
      <c r="H292" s="282"/>
      <c r="I292" s="282">
        <f t="shared" si="14"/>
        <v>284946708.58000022</v>
      </c>
      <c r="J292" s="300"/>
      <c r="K292" s="309"/>
      <c r="L292" s="309"/>
      <c r="M292" s="309"/>
      <c r="N292" s="302"/>
      <c r="O292" s="302"/>
    </row>
    <row r="293" spans="1:15" x14ac:dyDescent="0.25">
      <c r="A293" s="280">
        <v>17</v>
      </c>
      <c r="B293" s="281"/>
      <c r="C293" s="265"/>
      <c r="D293" s="261"/>
      <c r="E293" s="261"/>
      <c r="F293" s="259"/>
      <c r="G293" s="282"/>
      <c r="H293" s="282"/>
      <c r="I293" s="282">
        <f t="shared" si="14"/>
        <v>284946708.58000022</v>
      </c>
      <c r="J293" s="300"/>
      <c r="M293" s="310"/>
      <c r="N293" s="302"/>
      <c r="O293" s="302"/>
    </row>
    <row r="294" spans="1:15" x14ac:dyDescent="0.25">
      <c r="A294" s="280">
        <v>18</v>
      </c>
      <c r="B294" s="281"/>
      <c r="C294" s="265"/>
      <c r="D294" s="261"/>
      <c r="E294" s="261"/>
      <c r="F294" s="259"/>
      <c r="G294" s="282"/>
      <c r="H294" s="282"/>
      <c r="I294" s="282">
        <f t="shared" si="14"/>
        <v>284946708.58000022</v>
      </c>
      <c r="J294" s="300"/>
      <c r="N294" s="302"/>
      <c r="O294" s="302"/>
    </row>
    <row r="295" spans="1:15" x14ac:dyDescent="0.25">
      <c r="A295" s="280">
        <v>19</v>
      </c>
      <c r="B295" s="281"/>
      <c r="C295" s="265"/>
      <c r="D295" s="261"/>
      <c r="E295" s="261"/>
      <c r="F295" s="259"/>
      <c r="G295" s="282"/>
      <c r="H295" s="282"/>
      <c r="I295" s="282">
        <f t="shared" si="14"/>
        <v>284946708.58000022</v>
      </c>
      <c r="J295" s="300"/>
      <c r="M295" s="310"/>
      <c r="N295" s="302"/>
      <c r="O295" s="302"/>
    </row>
    <row r="296" spans="1:15" x14ac:dyDescent="0.25">
      <c r="A296" s="280">
        <v>20</v>
      </c>
      <c r="B296" s="281"/>
      <c r="C296" s="265"/>
      <c r="D296" s="261"/>
      <c r="E296" s="261"/>
      <c r="F296" s="259"/>
      <c r="G296" s="282"/>
      <c r="H296" s="282"/>
      <c r="I296" s="282">
        <f t="shared" si="14"/>
        <v>284946708.58000022</v>
      </c>
      <c r="J296" s="300"/>
      <c r="M296" s="310"/>
      <c r="N296" s="302"/>
      <c r="O296" s="302"/>
    </row>
    <row r="297" spans="1:15" x14ac:dyDescent="0.25">
      <c r="A297" s="280">
        <v>21</v>
      </c>
      <c r="B297" s="281"/>
      <c r="C297" s="265"/>
      <c r="D297" s="262"/>
      <c r="E297" s="262"/>
      <c r="F297" s="259"/>
      <c r="G297" s="282"/>
      <c r="H297" s="282"/>
      <c r="I297" s="282">
        <f t="shared" si="14"/>
        <v>284946708.58000022</v>
      </c>
      <c r="J297" s="300"/>
      <c r="N297" s="302"/>
      <c r="O297" s="302"/>
    </row>
    <row r="298" spans="1:15" x14ac:dyDescent="0.25">
      <c r="A298" s="280">
        <v>22</v>
      </c>
      <c r="B298" s="281"/>
      <c r="C298" s="265"/>
      <c r="D298" s="261"/>
      <c r="E298" s="261"/>
      <c r="F298" s="259"/>
      <c r="G298" s="282"/>
      <c r="H298" s="282"/>
      <c r="I298" s="282">
        <f t="shared" si="14"/>
        <v>284946708.58000022</v>
      </c>
      <c r="J298" s="300"/>
      <c r="N298" s="302"/>
      <c r="O298" s="302"/>
    </row>
    <row r="299" spans="1:15" x14ac:dyDescent="0.25">
      <c r="A299" s="280">
        <v>23</v>
      </c>
      <c r="B299" s="281"/>
      <c r="C299" s="265"/>
      <c r="D299" s="261"/>
      <c r="E299" s="261"/>
      <c r="F299" s="259"/>
      <c r="G299" s="282"/>
      <c r="H299" s="282"/>
      <c r="I299" s="282">
        <f t="shared" si="14"/>
        <v>284946708.58000022</v>
      </c>
      <c r="J299" s="300"/>
      <c r="M299" s="310"/>
      <c r="N299" s="302"/>
      <c r="O299" s="302"/>
    </row>
    <row r="300" spans="1:15" x14ac:dyDescent="0.25">
      <c r="A300" s="280">
        <v>24</v>
      </c>
      <c r="B300" s="281"/>
      <c r="C300" s="265"/>
      <c r="D300" s="261"/>
      <c r="E300" s="261"/>
      <c r="F300" s="259"/>
      <c r="G300" s="282"/>
      <c r="H300" s="282"/>
      <c r="I300" s="282">
        <f t="shared" si="14"/>
        <v>284946708.58000022</v>
      </c>
      <c r="J300" s="300"/>
      <c r="M300" s="310"/>
      <c r="N300" s="302"/>
      <c r="O300" s="302"/>
    </row>
    <row r="301" spans="1:15" x14ac:dyDescent="0.25">
      <c r="A301" s="280">
        <v>25</v>
      </c>
      <c r="B301" s="281"/>
      <c r="C301" s="265"/>
      <c r="D301" s="262"/>
      <c r="E301" s="262"/>
      <c r="F301" s="259"/>
      <c r="G301" s="282"/>
      <c r="H301" s="282"/>
      <c r="I301" s="282">
        <f t="shared" si="14"/>
        <v>284946708.58000022</v>
      </c>
      <c r="J301" s="300"/>
      <c r="N301" s="302"/>
      <c r="O301" s="302"/>
    </row>
    <row r="302" spans="1:15" ht="13.5" thickBot="1" x14ac:dyDescent="0.3">
      <c r="A302" s="283"/>
      <c r="B302" s="286" t="s">
        <v>38</v>
      </c>
      <c r="C302" s="289"/>
      <c r="D302" s="287"/>
      <c r="E302" s="287"/>
      <c r="F302" s="288"/>
      <c r="G302" s="284">
        <f>SUM(G276:G301)</f>
        <v>0</v>
      </c>
      <c r="H302" s="284">
        <f>SUM(H276:H301)</f>
        <v>0</v>
      </c>
      <c r="I302" s="284">
        <f>I301</f>
        <v>284946708.58000022</v>
      </c>
      <c r="J302" s="689"/>
      <c r="N302" s="302"/>
      <c r="O302" s="302"/>
    </row>
    <row r="303" spans="1:15" x14ac:dyDescent="0.25">
      <c r="A303" s="315" t="s">
        <v>315</v>
      </c>
      <c r="B303" s="278"/>
      <c r="C303" s="821"/>
      <c r="D303" s="822"/>
      <c r="E303" s="822"/>
      <c r="F303" s="823"/>
      <c r="G303" s="279"/>
      <c r="H303" s="279"/>
      <c r="I303" s="279">
        <f>I302-G303+H303</f>
        <v>284946708.58000022</v>
      </c>
      <c r="J303" s="688"/>
    </row>
    <row r="304" spans="1:15" x14ac:dyDescent="0.25">
      <c r="A304" s="280">
        <v>1</v>
      </c>
      <c r="B304" s="281"/>
      <c r="C304" s="265" t="s">
        <v>318</v>
      </c>
      <c r="D304" s="261"/>
      <c r="E304" s="261"/>
      <c r="F304" s="259"/>
      <c r="G304" s="282"/>
      <c r="H304" s="282"/>
      <c r="I304" s="282">
        <f>I303-G304+H304</f>
        <v>284946708.58000022</v>
      </c>
      <c r="J304" s="300"/>
      <c r="K304" s="308"/>
    </row>
    <row r="305" spans="1:15" x14ac:dyDescent="0.25">
      <c r="A305" s="280">
        <v>2</v>
      </c>
      <c r="B305" s="281"/>
      <c r="C305" s="265"/>
      <c r="D305" s="260"/>
      <c r="E305" s="260"/>
      <c r="F305" s="259"/>
      <c r="G305" s="285"/>
      <c r="H305" s="285"/>
      <c r="I305" s="282">
        <f>I304-G305+H305</f>
        <v>284946708.58000022</v>
      </c>
      <c r="J305" s="300"/>
    </row>
    <row r="306" spans="1:15" x14ac:dyDescent="0.25">
      <c r="A306" s="280">
        <v>3</v>
      </c>
      <c r="B306" s="281"/>
      <c r="C306" s="265"/>
      <c r="D306" s="260"/>
      <c r="E306" s="260"/>
      <c r="F306" s="259"/>
      <c r="G306" s="285"/>
      <c r="H306" s="285"/>
      <c r="I306" s="282">
        <f t="shared" ref="I306:I328" si="15">I305-G306+H306</f>
        <v>284946708.58000022</v>
      </c>
      <c r="J306" s="300"/>
      <c r="M306" s="309"/>
      <c r="N306" s="309"/>
    </row>
    <row r="307" spans="1:15" x14ac:dyDescent="0.25">
      <c r="A307" s="280">
        <v>4</v>
      </c>
      <c r="B307" s="290"/>
      <c r="C307" s="291"/>
      <c r="D307" s="292"/>
      <c r="E307" s="292"/>
      <c r="F307" s="259"/>
      <c r="G307" s="293"/>
      <c r="H307" s="293"/>
      <c r="I307" s="282">
        <f t="shared" si="15"/>
        <v>284946708.58000022</v>
      </c>
      <c r="J307" s="300"/>
      <c r="N307" s="310"/>
    </row>
    <row r="308" spans="1:15" x14ac:dyDescent="0.25">
      <c r="A308" s="280">
        <v>5</v>
      </c>
      <c r="B308" s="281"/>
      <c r="C308" s="265"/>
      <c r="D308" s="261"/>
      <c r="E308" s="261"/>
      <c r="F308" s="259"/>
      <c r="G308" s="282"/>
      <c r="H308" s="282"/>
      <c r="I308" s="282">
        <f t="shared" si="15"/>
        <v>284946708.58000022</v>
      </c>
      <c r="J308" s="300"/>
      <c r="N308" s="310"/>
    </row>
    <row r="309" spans="1:15" x14ac:dyDescent="0.25">
      <c r="A309" s="280">
        <v>6</v>
      </c>
      <c r="B309" s="281"/>
      <c r="C309" s="265"/>
      <c r="D309" s="261"/>
      <c r="E309" s="261"/>
      <c r="F309" s="259"/>
      <c r="G309" s="282"/>
      <c r="H309" s="282"/>
      <c r="I309" s="282">
        <f t="shared" si="15"/>
        <v>284946708.58000022</v>
      </c>
      <c r="J309" s="300"/>
      <c r="M309" s="310"/>
    </row>
    <row r="310" spans="1:15" x14ac:dyDescent="0.25">
      <c r="A310" s="280">
        <v>7</v>
      </c>
      <c r="B310" s="281"/>
      <c r="C310" s="265"/>
      <c r="D310" s="261"/>
      <c r="E310" s="261"/>
      <c r="F310" s="259"/>
      <c r="G310" s="282"/>
      <c r="H310" s="282"/>
      <c r="I310" s="282">
        <f t="shared" si="15"/>
        <v>284946708.58000022</v>
      </c>
      <c r="J310" s="300"/>
    </row>
    <row r="311" spans="1:15" x14ac:dyDescent="0.25">
      <c r="A311" s="280">
        <v>8</v>
      </c>
      <c r="B311" s="281"/>
      <c r="C311" s="265"/>
      <c r="D311" s="261"/>
      <c r="E311" s="261"/>
      <c r="F311" s="259"/>
      <c r="G311" s="282"/>
      <c r="H311" s="282"/>
      <c r="I311" s="282">
        <f t="shared" si="15"/>
        <v>284946708.58000022</v>
      </c>
      <c r="J311" s="300"/>
      <c r="K311" s="308"/>
      <c r="L311" s="308"/>
      <c r="M311" s="311"/>
      <c r="N311" s="311"/>
    </row>
    <row r="312" spans="1:15" x14ac:dyDescent="0.25">
      <c r="A312" s="280">
        <v>9</v>
      </c>
      <c r="B312" s="281"/>
      <c r="C312" s="265"/>
      <c r="D312" s="262"/>
      <c r="E312" s="262"/>
      <c r="F312" s="259"/>
      <c r="G312" s="282"/>
      <c r="H312" s="282"/>
      <c r="I312" s="282">
        <f t="shared" si="15"/>
        <v>284946708.58000022</v>
      </c>
      <c r="J312" s="300"/>
    </row>
    <row r="313" spans="1:15" x14ac:dyDescent="0.25">
      <c r="A313" s="280">
        <v>10</v>
      </c>
      <c r="B313" s="281"/>
      <c r="C313" s="265"/>
      <c r="D313" s="261"/>
      <c r="E313" s="261"/>
      <c r="F313" s="259"/>
      <c r="G313" s="282"/>
      <c r="H313" s="282"/>
      <c r="I313" s="282">
        <f t="shared" si="15"/>
        <v>284946708.58000022</v>
      </c>
      <c r="J313" s="300"/>
    </row>
    <row r="314" spans="1:15" x14ac:dyDescent="0.25">
      <c r="A314" s="280">
        <v>11</v>
      </c>
      <c r="B314" s="281"/>
      <c r="C314" s="265"/>
      <c r="D314" s="261"/>
      <c r="E314" s="261"/>
      <c r="F314" s="259"/>
      <c r="G314" s="282"/>
      <c r="H314" s="282"/>
      <c r="I314" s="282">
        <f t="shared" si="15"/>
        <v>284946708.58000022</v>
      </c>
      <c r="J314" s="300"/>
      <c r="K314" s="312"/>
    </row>
    <row r="315" spans="1:15" x14ac:dyDescent="0.25">
      <c r="A315" s="280">
        <v>12</v>
      </c>
      <c r="B315" s="281"/>
      <c r="C315" s="265"/>
      <c r="D315" s="261"/>
      <c r="E315" s="261"/>
      <c r="F315" s="259"/>
      <c r="G315" s="282"/>
      <c r="H315" s="282"/>
      <c r="I315" s="282">
        <f t="shared" si="15"/>
        <v>284946708.58000022</v>
      </c>
      <c r="J315" s="300"/>
      <c r="N315" s="302"/>
      <c r="O315" s="302"/>
    </row>
    <row r="316" spans="1:15" x14ac:dyDescent="0.25">
      <c r="A316" s="280">
        <v>13</v>
      </c>
      <c r="B316" s="281"/>
      <c r="C316" s="265"/>
      <c r="D316" s="262"/>
      <c r="E316" s="261"/>
      <c r="F316" s="259"/>
      <c r="G316" s="282"/>
      <c r="H316" s="282"/>
      <c r="I316" s="282">
        <f t="shared" si="15"/>
        <v>284946708.58000022</v>
      </c>
      <c r="J316" s="300"/>
      <c r="K316" s="309"/>
      <c r="L316" s="309"/>
      <c r="M316" s="309"/>
      <c r="N316" s="302"/>
      <c r="O316" s="302"/>
    </row>
    <row r="317" spans="1:15" x14ac:dyDescent="0.25">
      <c r="A317" s="280">
        <v>14</v>
      </c>
      <c r="B317" s="281"/>
      <c r="C317" s="265"/>
      <c r="D317" s="261"/>
      <c r="E317" s="262"/>
      <c r="F317" s="259"/>
      <c r="G317" s="282"/>
      <c r="H317" s="282"/>
      <c r="I317" s="282">
        <f t="shared" si="15"/>
        <v>284946708.58000022</v>
      </c>
      <c r="J317" s="300"/>
      <c r="M317" s="310"/>
      <c r="N317" s="302"/>
      <c r="O317" s="302"/>
    </row>
    <row r="318" spans="1:15" x14ac:dyDescent="0.25">
      <c r="A318" s="280">
        <v>15</v>
      </c>
      <c r="B318" s="281"/>
      <c r="C318" s="265"/>
      <c r="D318" s="261"/>
      <c r="E318" s="261"/>
      <c r="F318" s="259"/>
      <c r="G318" s="282"/>
      <c r="H318" s="282"/>
      <c r="I318" s="282">
        <f t="shared" si="15"/>
        <v>284946708.58000022</v>
      </c>
      <c r="J318" s="300"/>
      <c r="N318" s="302"/>
      <c r="O318" s="302"/>
    </row>
    <row r="319" spans="1:15" x14ac:dyDescent="0.25">
      <c r="A319" s="280">
        <v>16</v>
      </c>
      <c r="B319" s="281"/>
      <c r="C319" s="265"/>
      <c r="D319" s="261"/>
      <c r="E319" s="261"/>
      <c r="F319" s="259"/>
      <c r="G319" s="282"/>
      <c r="H319" s="282"/>
      <c r="I319" s="282">
        <f t="shared" si="15"/>
        <v>284946708.58000022</v>
      </c>
      <c r="J319" s="300"/>
      <c r="K319" s="309"/>
      <c r="L319" s="309"/>
      <c r="M319" s="309"/>
      <c r="N319" s="302"/>
      <c r="O319" s="302"/>
    </row>
    <row r="320" spans="1:15" x14ac:dyDescent="0.25">
      <c r="A320" s="280">
        <v>17</v>
      </c>
      <c r="B320" s="281"/>
      <c r="C320" s="265"/>
      <c r="D320" s="261"/>
      <c r="E320" s="261"/>
      <c r="F320" s="259"/>
      <c r="G320" s="282"/>
      <c r="H320" s="282"/>
      <c r="I320" s="282">
        <f t="shared" si="15"/>
        <v>284946708.58000022</v>
      </c>
      <c r="J320" s="300"/>
      <c r="M320" s="310"/>
      <c r="N320" s="302"/>
      <c r="O320" s="302"/>
    </row>
    <row r="321" spans="1:15" x14ac:dyDescent="0.25">
      <c r="A321" s="280">
        <v>18</v>
      </c>
      <c r="B321" s="281"/>
      <c r="C321" s="265"/>
      <c r="D321" s="261"/>
      <c r="E321" s="261"/>
      <c r="F321" s="259"/>
      <c r="G321" s="282"/>
      <c r="H321" s="282"/>
      <c r="I321" s="282">
        <f t="shared" si="15"/>
        <v>284946708.58000022</v>
      </c>
      <c r="J321" s="300"/>
      <c r="N321" s="302"/>
      <c r="O321" s="302"/>
    </row>
    <row r="322" spans="1:15" x14ac:dyDescent="0.25">
      <c r="A322" s="280">
        <v>19</v>
      </c>
      <c r="B322" s="281"/>
      <c r="C322" s="265"/>
      <c r="D322" s="261"/>
      <c r="E322" s="261"/>
      <c r="F322" s="259"/>
      <c r="G322" s="282"/>
      <c r="H322" s="282"/>
      <c r="I322" s="282">
        <f t="shared" si="15"/>
        <v>284946708.58000022</v>
      </c>
      <c r="J322" s="300"/>
      <c r="M322" s="310"/>
      <c r="N322" s="302"/>
      <c r="O322" s="302"/>
    </row>
    <row r="323" spans="1:15" x14ac:dyDescent="0.25">
      <c r="A323" s="280">
        <v>20</v>
      </c>
      <c r="B323" s="281"/>
      <c r="C323" s="265"/>
      <c r="D323" s="261"/>
      <c r="E323" s="261"/>
      <c r="F323" s="259"/>
      <c r="G323" s="282"/>
      <c r="H323" s="282"/>
      <c r="I323" s="282">
        <f t="shared" si="15"/>
        <v>284946708.58000022</v>
      </c>
      <c r="J323" s="300"/>
      <c r="M323" s="310"/>
      <c r="N323" s="302"/>
      <c r="O323" s="302"/>
    </row>
    <row r="324" spans="1:15" x14ac:dyDescent="0.25">
      <c r="A324" s="280">
        <v>21</v>
      </c>
      <c r="B324" s="281"/>
      <c r="C324" s="265"/>
      <c r="D324" s="262"/>
      <c r="E324" s="262"/>
      <c r="F324" s="259"/>
      <c r="G324" s="282"/>
      <c r="H324" s="282"/>
      <c r="I324" s="282">
        <f t="shared" si="15"/>
        <v>284946708.58000022</v>
      </c>
      <c r="J324" s="300"/>
      <c r="N324" s="302"/>
      <c r="O324" s="302"/>
    </row>
    <row r="325" spans="1:15" x14ac:dyDescent="0.25">
      <c r="A325" s="280">
        <v>22</v>
      </c>
      <c r="B325" s="281"/>
      <c r="C325" s="265"/>
      <c r="D325" s="261"/>
      <c r="E325" s="261"/>
      <c r="F325" s="259"/>
      <c r="G325" s="282"/>
      <c r="H325" s="282"/>
      <c r="I325" s="282">
        <f t="shared" si="15"/>
        <v>284946708.58000022</v>
      </c>
      <c r="J325" s="300"/>
      <c r="N325" s="302"/>
      <c r="O325" s="302"/>
    </row>
    <row r="326" spans="1:15" x14ac:dyDescent="0.25">
      <c r="A326" s="280">
        <v>23</v>
      </c>
      <c r="B326" s="281"/>
      <c r="C326" s="265"/>
      <c r="D326" s="261"/>
      <c r="E326" s="261"/>
      <c r="F326" s="259"/>
      <c r="G326" s="282"/>
      <c r="H326" s="282"/>
      <c r="I326" s="282">
        <f t="shared" si="15"/>
        <v>284946708.58000022</v>
      </c>
      <c r="J326" s="300"/>
      <c r="M326" s="310"/>
      <c r="N326" s="302"/>
      <c r="O326" s="302"/>
    </row>
    <row r="327" spans="1:15" x14ac:dyDescent="0.25">
      <c r="A327" s="280">
        <v>24</v>
      </c>
      <c r="B327" s="281"/>
      <c r="C327" s="265"/>
      <c r="D327" s="261"/>
      <c r="E327" s="261"/>
      <c r="F327" s="259"/>
      <c r="G327" s="282"/>
      <c r="H327" s="282"/>
      <c r="I327" s="282">
        <f t="shared" si="15"/>
        <v>284946708.58000022</v>
      </c>
      <c r="J327" s="300"/>
      <c r="M327" s="310"/>
      <c r="N327" s="302"/>
      <c r="O327" s="302"/>
    </row>
    <row r="328" spans="1:15" x14ac:dyDescent="0.25">
      <c r="A328" s="280">
        <v>25</v>
      </c>
      <c r="B328" s="281"/>
      <c r="C328" s="265"/>
      <c r="D328" s="262"/>
      <c r="E328" s="262"/>
      <c r="F328" s="259"/>
      <c r="G328" s="282"/>
      <c r="H328" s="282"/>
      <c r="I328" s="282">
        <f t="shared" si="15"/>
        <v>284946708.58000022</v>
      </c>
      <c r="J328" s="300"/>
      <c r="N328" s="302"/>
      <c r="O328" s="302"/>
    </row>
    <row r="329" spans="1:15" ht="13.5" thickBot="1" x14ac:dyDescent="0.3">
      <c r="A329" s="283"/>
      <c r="B329" s="286" t="s">
        <v>38</v>
      </c>
      <c r="C329" s="289"/>
      <c r="D329" s="287"/>
      <c r="E329" s="287"/>
      <c r="F329" s="288"/>
      <c r="G329" s="284">
        <f>SUM(G303:G328)</f>
        <v>0</v>
      </c>
      <c r="H329" s="284">
        <f>SUM(H303:H328)</f>
        <v>0</v>
      </c>
      <c r="I329" s="284">
        <f>I328</f>
        <v>284946708.58000022</v>
      </c>
      <c r="J329" s="689"/>
      <c r="N329" s="302"/>
      <c r="O329" s="302"/>
    </row>
    <row r="330" spans="1:15" x14ac:dyDescent="0.25">
      <c r="J330" s="690"/>
      <c r="K330" s="302"/>
      <c r="L330" s="302"/>
      <c r="M330" s="302"/>
      <c r="N330" s="302"/>
      <c r="O330" s="302"/>
    </row>
    <row r="331" spans="1:15" x14ac:dyDescent="0.25">
      <c r="F331" s="817" t="s">
        <v>37</v>
      </c>
      <c r="G331" s="817"/>
      <c r="H331" s="313">
        <f>I6</f>
        <v>397494476.88</v>
      </c>
      <c r="K331" s="302"/>
      <c r="L331" s="302"/>
      <c r="M331" s="302"/>
      <c r="N331" s="302"/>
      <c r="O331" s="302"/>
    </row>
    <row r="332" spans="1:15" x14ac:dyDescent="0.25">
      <c r="F332" s="817" t="s">
        <v>39</v>
      </c>
      <c r="G332" s="817"/>
      <c r="H332" s="313">
        <f>G28+G53+G87+G114+G134+G165+G189+G221+G248+G275+G302+G329</f>
        <v>2427311029.6300001</v>
      </c>
      <c r="K332" s="302"/>
      <c r="L332" s="302"/>
      <c r="M332" s="302"/>
      <c r="N332" s="302"/>
      <c r="O332" s="302"/>
    </row>
    <row r="333" spans="1:15" x14ac:dyDescent="0.25">
      <c r="F333" s="817" t="s">
        <v>40</v>
      </c>
      <c r="G333" s="817"/>
      <c r="H333" s="313">
        <f>H28+H53+H87+H114+H134+H165+H189+H221+H248+H275+H302+H329</f>
        <v>2314763261.3299999</v>
      </c>
      <c r="I333" s="313"/>
      <c r="K333" s="302"/>
      <c r="L333" s="302"/>
      <c r="M333" s="302"/>
      <c r="N333" s="302"/>
      <c r="O333" s="302"/>
    </row>
    <row r="335" spans="1:15" x14ac:dyDescent="0.25">
      <c r="F335" s="817" t="s">
        <v>41</v>
      </c>
      <c r="G335" s="817"/>
      <c r="H335" s="313">
        <f>H331-H332+H333</f>
        <v>284946708.57999992</v>
      </c>
      <c r="K335" s="302"/>
      <c r="L335" s="302"/>
      <c r="M335" s="302"/>
      <c r="N335" s="302"/>
      <c r="O335" s="302"/>
    </row>
    <row r="336" spans="1:15" x14ac:dyDescent="0.25">
      <c r="H336" s="314"/>
      <c r="K336" s="302"/>
      <c r="L336" s="302"/>
      <c r="M336" s="302"/>
      <c r="N336" s="302"/>
      <c r="O336" s="302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5:F5"/>
    <mergeCell ref="F332:G332"/>
    <mergeCell ref="F333:G333"/>
    <mergeCell ref="F335:G335"/>
    <mergeCell ref="C4:F4"/>
    <mergeCell ref="F331:G331"/>
    <mergeCell ref="C29:F29"/>
    <mergeCell ref="C54:F54"/>
    <mergeCell ref="C88:F88"/>
    <mergeCell ref="C115:F115"/>
    <mergeCell ref="C276:F276"/>
    <mergeCell ref="C303:F303"/>
    <mergeCell ref="C135:F135"/>
    <mergeCell ref="C166:F166"/>
    <mergeCell ref="C190:F190"/>
    <mergeCell ref="C222:F222"/>
    <mergeCell ref="C249:F249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A17" sqref="A17:XFD17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6.5703125" style="41" customWidth="1"/>
    <col min="14" max="14" width="14" style="40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299</v>
      </c>
    </row>
    <row r="2" spans="1:20" x14ac:dyDescent="0.2">
      <c r="A2" s="41" t="s">
        <v>42</v>
      </c>
    </row>
    <row r="3" spans="1:20" x14ac:dyDescent="0.2">
      <c r="A3" s="41" t="s">
        <v>320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24" t="s">
        <v>67</v>
      </c>
      <c r="D7" s="824"/>
      <c r="E7" s="824"/>
      <c r="F7" s="824" t="s">
        <v>68</v>
      </c>
      <c r="G7" s="824"/>
      <c r="H7" s="824"/>
      <c r="I7" s="824" t="s">
        <v>59</v>
      </c>
      <c r="J7" s="824"/>
      <c r="K7" s="824" t="s">
        <v>78</v>
      </c>
      <c r="L7" s="824"/>
      <c r="M7" s="825" t="s">
        <v>77</v>
      </c>
      <c r="N7" s="825"/>
      <c r="O7" s="824" t="s">
        <v>69</v>
      </c>
      <c r="P7" s="824"/>
      <c r="Q7" s="824"/>
      <c r="R7" s="824"/>
      <c r="S7" s="824"/>
      <c r="T7" s="824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/>
      <c r="N9" s="40">
        <f>M9*1%</f>
        <v>0</v>
      </c>
      <c r="O9" s="40">
        <f>'REKAP PENJUALAN'!I200</f>
        <v>1511612066.3636353</v>
      </c>
      <c r="P9" s="40">
        <f>'REKAP PENJUALAN'!J200</f>
        <v>151161206.6363636</v>
      </c>
      <c r="Q9" s="40">
        <f>'REKAP PEMBELIAN'!J64</f>
        <v>1468811439.3636367</v>
      </c>
      <c r="R9" s="40">
        <f>'REKAP PEMBELIAN'!K64</f>
        <v>146881143.93636367</v>
      </c>
      <c r="S9" s="55"/>
      <c r="T9" s="53">
        <f>P9-R9</f>
        <v>4280062.6999999285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/>
      <c r="N10" s="40">
        <f>M10*1%</f>
        <v>0</v>
      </c>
      <c r="O10" s="40">
        <f>'REKAP PENJUALAN'!I360</f>
        <v>1402953749.0909085</v>
      </c>
      <c r="P10" s="40">
        <f>'REKAP PENJUALAN'!J360</f>
        <v>140295374.90909091</v>
      </c>
      <c r="Q10" s="40">
        <f>'REKAP PEMBELIAN'!J135</f>
        <v>1354287149.6636364</v>
      </c>
      <c r="R10" s="40">
        <f>'REKAP PEMBELIAN'!K135</f>
        <v>135428714.96636361</v>
      </c>
      <c r="S10" s="55"/>
      <c r="T10" s="53">
        <f>P10-R10</f>
        <v>4866659.9427272975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40"/>
      <c r="N11" s="40">
        <f>M11*1%</f>
        <v>0</v>
      </c>
      <c r="O11" s="40">
        <f>'REKAP PENJUALAN'!I559</f>
        <v>1173352414.5454547</v>
      </c>
      <c r="P11" s="40">
        <f>'REKAP PENJUALAN'!J559</f>
        <v>117335241.45454541</v>
      </c>
      <c r="Q11" s="40">
        <f>'REKAP PEMBELIAN'!J197</f>
        <v>1124616773.909091</v>
      </c>
      <c r="R11" s="40">
        <f>'REKAP PEMBELIAN'!K197</f>
        <v>112461677.39090911</v>
      </c>
      <c r="S11" s="55"/>
      <c r="T11" s="53">
        <f t="shared" ref="T11:T20" si="1">P11-R11</f>
        <v>4873564.0636363029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N12" s="40">
        <f>M12*1%</f>
        <v>0</v>
      </c>
      <c r="O12" s="40">
        <f>'REKAP PENJUALAN'!I711</f>
        <v>993327915.76576567</v>
      </c>
      <c r="P12" s="40">
        <f>'REKAP PENJUALAN'!J711</f>
        <v>109266070.73423418</v>
      </c>
      <c r="Q12" s="40">
        <f>'REKAP PEMBELIAN'!J248</f>
        <v>898320644</v>
      </c>
      <c r="R12" s="40">
        <f>'REKAP PEMBELIAN'!K248</f>
        <v>98815270.840000004</v>
      </c>
      <c r="S12" s="55"/>
      <c r="T12" s="53">
        <f t="shared" si="1"/>
        <v>10450799.89423418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N13" s="40">
        <f t="shared" ref="N13:N20" si="3">M13*1%</f>
        <v>0</v>
      </c>
      <c r="O13" s="40">
        <f>'REKAP PENJUALAN'!I896</f>
        <v>1372176208.1081076</v>
      </c>
      <c r="P13" s="40">
        <f>'REKAP PENJUALAN'!J896</f>
        <v>150939382.89189187</v>
      </c>
      <c r="Q13" s="40">
        <f>'REKAP PEMBELIAN'!J307</f>
        <v>1264269598.4054055</v>
      </c>
      <c r="R13" s="40">
        <f>'REKAP PEMBELIAN'!K307</f>
        <v>139069655.82459462</v>
      </c>
      <c r="S13" s="55"/>
      <c r="T13" s="53">
        <f t="shared" si="1"/>
        <v>11869727.06729725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N14" s="40">
        <f t="shared" si="3"/>
        <v>0</v>
      </c>
      <c r="O14" s="40">
        <f>'REKAP PENJUALAN'!I1123</f>
        <v>1721967200.8108106</v>
      </c>
      <c r="P14" s="40">
        <f>'REKAP PENJUALAN'!J1123</f>
        <v>189416392.08918911</v>
      </c>
      <c r="Q14" s="40">
        <f>'REKAP PEMBELIAN'!J371</f>
        <v>1598585015.9729729</v>
      </c>
      <c r="R14" s="40">
        <f>'REKAP PEMBELIAN'!K371</f>
        <v>175844351.757027</v>
      </c>
      <c r="S14" s="55"/>
      <c r="T14" s="53">
        <f t="shared" si="1"/>
        <v>13572040.332162112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N15" s="40">
        <f t="shared" si="3"/>
        <v>0</v>
      </c>
      <c r="O15" s="40">
        <f>'REKAP PENJUALAN'!I1348</f>
        <v>1909911654.0540547</v>
      </c>
      <c r="P15" s="40">
        <f>'REKAP PENJUALAN'!J1348</f>
        <v>210090281.94594598</v>
      </c>
      <c r="Q15" s="40">
        <f>'REKAP PEMBELIAN'!J455</f>
        <v>1632638913.3783784</v>
      </c>
      <c r="R15" s="40">
        <f>'REKAP PEMBELIAN'!K455</f>
        <v>179590258.92999998</v>
      </c>
      <c r="S15" s="55"/>
      <c r="T15" s="53">
        <f t="shared" si="1"/>
        <v>30500023.015946001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N16" s="40">
        <f t="shared" si="3"/>
        <v>0</v>
      </c>
      <c r="O16" s="40">
        <f>'REKAP PENJUALAN'!I1586</f>
        <v>2258320715.3153162</v>
      </c>
      <c r="P16" s="40">
        <f>'REKAP PENJUALAN'!J1586</f>
        <v>248415278.68468466</v>
      </c>
      <c r="Q16" s="40">
        <f>'REKAP PEMBELIAN'!J535</f>
        <v>1917454921.5945945</v>
      </c>
      <c r="R16" s="40">
        <f>'REKAP PEMBELIAN'!K535</f>
        <v>210920004.13513514</v>
      </c>
      <c r="S16" s="55"/>
      <c r="T16" s="53">
        <f t="shared" si="1"/>
        <v>37495274.54954952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N17" s="40">
        <f t="shared" si="3"/>
        <v>0</v>
      </c>
      <c r="O17" s="40">
        <f>'REKAP PENJUALAN'!I1804</f>
        <v>1371928554.9549556</v>
      </c>
      <c r="P17" s="40">
        <f>'REKAP PENJUALAN'!J1804</f>
        <v>150912141.04504502</v>
      </c>
      <c r="Q17" s="40">
        <f>'REKAP PEMBELIAN'!J615</f>
        <v>1601559963.0900903</v>
      </c>
      <c r="R17" s="40">
        <f>'REKAP PEMBELIAN'!K615</f>
        <v>176171575.90990987</v>
      </c>
      <c r="S17" s="55"/>
      <c r="T17" s="53">
        <f t="shared" si="1"/>
        <v>-25259434.864864856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N18" s="40">
        <f t="shared" si="3"/>
        <v>0</v>
      </c>
      <c r="O18" s="40">
        <f>'REKAP PENJUALAN'!I1956</f>
        <v>0</v>
      </c>
      <c r="P18" s="40">
        <f>'REKAP PENJUALAN'!J1956</f>
        <v>0</v>
      </c>
      <c r="Q18" s="40">
        <f>'REKAP PEMBELIAN'!J694</f>
        <v>394160372.18063068</v>
      </c>
      <c r="R18" s="40">
        <f>'REKAP PEMBELIAN'!K694</f>
        <v>43357640.939869374</v>
      </c>
      <c r="S18" s="55"/>
      <c r="T18" s="53">
        <f t="shared" si="1"/>
        <v>-43357640.939869374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N19" s="40">
        <f t="shared" si="3"/>
        <v>0</v>
      </c>
      <c r="O19" s="40">
        <f>'REKAP PENJUALAN'!I2108</f>
        <v>0</v>
      </c>
      <c r="P19" s="40">
        <f>'REKAP PENJUALAN'!J2108</f>
        <v>0</v>
      </c>
      <c r="Q19" s="40">
        <f>'REKAP PEMBELIAN'!J747</f>
        <v>0</v>
      </c>
      <c r="R19" s="410">
        <f>'REKAP PEMBELIAN'!K747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N20" s="40">
        <f t="shared" si="3"/>
        <v>0</v>
      </c>
      <c r="O20" s="40">
        <f>'REKAP PENJUALAN'!I2260</f>
        <v>0</v>
      </c>
      <c r="P20" s="40">
        <f>'REKAP PENJUALAN'!J2260</f>
        <v>0</v>
      </c>
      <c r="Q20" s="40">
        <f>'REKAP PEMBELIAN'!J813</f>
        <v>0</v>
      </c>
      <c r="R20" s="40">
        <f>'REKAP PEMBELIAN'!K813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0</v>
      </c>
      <c r="N21" s="45">
        <f t="shared" si="4"/>
        <v>0</v>
      </c>
      <c r="O21" s="45">
        <f t="shared" si="4"/>
        <v>13715550479.00901</v>
      </c>
      <c r="P21" s="45">
        <f t="shared" si="4"/>
        <v>1467831370.3909907</v>
      </c>
      <c r="Q21" s="45">
        <f t="shared" si="4"/>
        <v>13254704791.558437</v>
      </c>
      <c r="R21" s="45">
        <f t="shared" si="4"/>
        <v>1418540294.6301725</v>
      </c>
      <c r="S21" s="45">
        <f t="shared" si="4"/>
        <v>0</v>
      </c>
      <c r="T21" s="45">
        <f t="shared" si="4"/>
        <v>49291075.760818362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1.1399999999999999" right="0.12" top="0.75" bottom="0.75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5"/>
  <sheetViews>
    <sheetView zoomScaleNormal="100" workbookViewId="0">
      <pane ySplit="4" topLeftCell="A642" activePane="bottomLeft" state="frozen"/>
      <selection pane="bottomLeft" activeCell="E657" sqref="E657"/>
    </sheetView>
  </sheetViews>
  <sheetFormatPr defaultRowHeight="16.5" x14ac:dyDescent="0.25"/>
  <cols>
    <col min="1" max="1" width="8.85546875" style="254" bestFit="1" customWidth="1"/>
    <col min="2" max="2" width="10.7109375" style="415" customWidth="1"/>
    <col min="3" max="3" width="19.7109375" style="379" bestFit="1" customWidth="1"/>
    <col min="4" max="4" width="18.5703125" style="252" bestFit="1" customWidth="1"/>
    <col min="5" max="5" width="33.42578125" style="253" customWidth="1"/>
    <col min="6" max="6" width="115.28515625" style="253" hidden="1" customWidth="1"/>
    <col min="7" max="7" width="18.7109375" style="252" bestFit="1" customWidth="1"/>
    <col min="8" max="8" width="14.85546875" style="331" bestFit="1" customWidth="1"/>
    <col min="9" max="9" width="12.5703125" style="331" customWidth="1"/>
    <col min="10" max="10" width="13.42578125" style="679" bestFit="1" customWidth="1"/>
    <col min="11" max="11" width="12.28515625" style="679" bestFit="1" customWidth="1"/>
    <col min="12" max="13" width="14.85546875" style="385" bestFit="1" customWidth="1"/>
    <col min="14" max="16384" width="9.140625" style="253"/>
  </cols>
  <sheetData>
    <row r="1" spans="1:13" ht="25.5" x14ac:dyDescent="0.25">
      <c r="A1" s="382" t="s">
        <v>299</v>
      </c>
    </row>
    <row r="2" spans="1:13" ht="20.25" x14ac:dyDescent="0.25">
      <c r="A2" s="383" t="s">
        <v>172</v>
      </c>
    </row>
    <row r="3" spans="1:13" ht="18" x14ac:dyDescent="0.25">
      <c r="A3" s="384" t="s">
        <v>387</v>
      </c>
    </row>
    <row r="4" spans="1:13" ht="27" x14ac:dyDescent="0.25">
      <c r="A4" s="762" t="s">
        <v>224</v>
      </c>
      <c r="B4" s="763" t="s">
        <v>391</v>
      </c>
      <c r="C4" s="764" t="s">
        <v>167</v>
      </c>
      <c r="D4" s="765" t="s">
        <v>176</v>
      </c>
      <c r="E4" s="765" t="s">
        <v>177</v>
      </c>
      <c r="F4" s="765" t="s">
        <v>197</v>
      </c>
      <c r="G4" s="765" t="s">
        <v>110</v>
      </c>
      <c r="H4" s="766" t="s">
        <v>230</v>
      </c>
      <c r="I4" s="766" t="s">
        <v>231</v>
      </c>
      <c r="J4" s="767" t="s">
        <v>111</v>
      </c>
      <c r="K4" s="767" t="s">
        <v>232</v>
      </c>
      <c r="L4" s="768" t="s">
        <v>38</v>
      </c>
      <c r="M4" s="768" t="s">
        <v>38</v>
      </c>
    </row>
    <row r="5" spans="1:13" ht="18" x14ac:dyDescent="0.25">
      <c r="A5" s="510" t="s">
        <v>98</v>
      </c>
      <c r="B5" s="510"/>
      <c r="C5" s="421"/>
      <c r="D5" s="420"/>
      <c r="E5" s="518"/>
      <c r="F5" s="518"/>
      <c r="G5" s="420"/>
      <c r="H5" s="422"/>
      <c r="I5" s="422"/>
      <c r="J5" s="681"/>
      <c r="K5" s="681"/>
      <c r="L5" s="423"/>
      <c r="M5" s="423"/>
    </row>
    <row r="6" spans="1:13" s="256" customFormat="1" x14ac:dyDescent="0.25">
      <c r="A6" s="274">
        <v>44558</v>
      </c>
      <c r="B6" s="511">
        <v>44552</v>
      </c>
      <c r="C6" s="381" t="s">
        <v>964</v>
      </c>
      <c r="D6" s="273" t="s">
        <v>403</v>
      </c>
      <c r="E6" s="275" t="s">
        <v>404</v>
      </c>
      <c r="F6" s="272" t="s">
        <v>405</v>
      </c>
      <c r="G6" s="255" t="s">
        <v>653</v>
      </c>
      <c r="H6" s="333">
        <v>3715488</v>
      </c>
      <c r="I6" s="334">
        <v>0</v>
      </c>
      <c r="J6" s="682">
        <f t="shared" ref="J6:J37" si="0">(H6-I6)/1.1</f>
        <v>3377716.3636363633</v>
      </c>
      <c r="K6" s="682">
        <f t="shared" ref="K6:K37" si="1">J6*10%</f>
        <v>337771.63636363635</v>
      </c>
      <c r="L6" s="333">
        <f t="shared" ref="L6:L37" si="2">SUM(J6:K6)</f>
        <v>3715487.9999999995</v>
      </c>
      <c r="M6" s="333"/>
    </row>
    <row r="7" spans="1:13" s="256" customFormat="1" x14ac:dyDescent="0.25">
      <c r="A7" s="274">
        <v>44559</v>
      </c>
      <c r="B7" s="511">
        <v>44557</v>
      </c>
      <c r="C7" s="381" t="s">
        <v>963</v>
      </c>
      <c r="D7" s="273" t="s">
        <v>403</v>
      </c>
      <c r="E7" s="275" t="s">
        <v>404</v>
      </c>
      <c r="F7" s="272" t="s">
        <v>405</v>
      </c>
      <c r="G7" s="255" t="s">
        <v>654</v>
      </c>
      <c r="H7" s="333">
        <v>14861952</v>
      </c>
      <c r="I7" s="334">
        <v>0</v>
      </c>
      <c r="J7" s="682">
        <f t="shared" si="0"/>
        <v>13510865.454545453</v>
      </c>
      <c r="K7" s="682">
        <f t="shared" si="1"/>
        <v>1351086.5454545454</v>
      </c>
      <c r="L7" s="333">
        <f t="shared" si="2"/>
        <v>14861951.999999998</v>
      </c>
      <c r="M7" s="333"/>
    </row>
    <row r="8" spans="1:13" s="256" customFormat="1" x14ac:dyDescent="0.25">
      <c r="A8" s="274">
        <v>44569</v>
      </c>
      <c r="B8" s="511">
        <v>44565</v>
      </c>
      <c r="C8" s="381" t="s">
        <v>748</v>
      </c>
      <c r="D8" s="273" t="s">
        <v>304</v>
      </c>
      <c r="E8" s="275" t="s">
        <v>392</v>
      </c>
      <c r="F8" s="272" t="s">
        <v>2644</v>
      </c>
      <c r="G8" s="255" t="s">
        <v>747</v>
      </c>
      <c r="H8" s="333">
        <v>20783245</v>
      </c>
      <c r="I8" s="334">
        <v>0</v>
      </c>
      <c r="J8" s="682">
        <f t="shared" si="0"/>
        <v>18893859.09090909</v>
      </c>
      <c r="K8" s="682">
        <f t="shared" si="1"/>
        <v>1889385.9090909092</v>
      </c>
      <c r="L8" s="333">
        <f t="shared" si="2"/>
        <v>20783245</v>
      </c>
      <c r="M8" s="333"/>
    </row>
    <row r="9" spans="1:13" s="256" customFormat="1" x14ac:dyDescent="0.25">
      <c r="A9" s="274">
        <v>44569</v>
      </c>
      <c r="B9" s="511">
        <v>44565</v>
      </c>
      <c r="C9" s="381" t="s">
        <v>750</v>
      </c>
      <c r="D9" s="273" t="s">
        <v>304</v>
      </c>
      <c r="E9" s="275" t="s">
        <v>392</v>
      </c>
      <c r="F9" s="272" t="s">
        <v>2644</v>
      </c>
      <c r="G9" s="255" t="s">
        <v>749</v>
      </c>
      <c r="H9" s="333">
        <v>24469672.5</v>
      </c>
      <c r="I9" s="334">
        <v>0</v>
      </c>
      <c r="J9" s="682">
        <f t="shared" si="0"/>
        <v>22245156.818181816</v>
      </c>
      <c r="K9" s="682">
        <f t="shared" si="1"/>
        <v>2224515.6818181816</v>
      </c>
      <c r="L9" s="333">
        <f t="shared" si="2"/>
        <v>24469672.5</v>
      </c>
      <c r="M9" s="333"/>
    </row>
    <row r="10" spans="1:13" s="256" customFormat="1" x14ac:dyDescent="0.25">
      <c r="A10" s="274">
        <v>44569</v>
      </c>
      <c r="B10" s="511">
        <v>44566</v>
      </c>
      <c r="C10" s="381" t="s">
        <v>752</v>
      </c>
      <c r="D10" s="273" t="s">
        <v>304</v>
      </c>
      <c r="E10" s="275" t="s">
        <v>392</v>
      </c>
      <c r="F10" s="272" t="s">
        <v>2644</v>
      </c>
      <c r="G10" s="255" t="s">
        <v>751</v>
      </c>
      <c r="H10" s="333">
        <v>31210278.75</v>
      </c>
      <c r="I10" s="334">
        <v>0</v>
      </c>
      <c r="J10" s="682">
        <f t="shared" si="0"/>
        <v>28372980.68181818</v>
      </c>
      <c r="K10" s="682">
        <f t="shared" si="1"/>
        <v>2837298.0681818184</v>
      </c>
      <c r="L10" s="333">
        <f t="shared" si="2"/>
        <v>31210278.75</v>
      </c>
      <c r="M10" s="333"/>
    </row>
    <row r="11" spans="1:13" s="256" customFormat="1" x14ac:dyDescent="0.25">
      <c r="A11" s="274">
        <v>44569</v>
      </c>
      <c r="B11" s="511">
        <v>44566</v>
      </c>
      <c r="C11" s="381" t="s">
        <v>754</v>
      </c>
      <c r="D11" s="273" t="s">
        <v>304</v>
      </c>
      <c r="E11" s="275" t="s">
        <v>392</v>
      </c>
      <c r="F11" s="272" t="s">
        <v>2644</v>
      </c>
      <c r="G11" s="255" t="s">
        <v>753</v>
      </c>
      <c r="H11" s="333">
        <v>2106720</v>
      </c>
      <c r="I11" s="334">
        <v>0</v>
      </c>
      <c r="J11" s="682">
        <f t="shared" si="0"/>
        <v>1915199.9999999998</v>
      </c>
      <c r="K11" s="682">
        <f t="shared" si="1"/>
        <v>191520</v>
      </c>
      <c r="L11" s="333">
        <f t="shared" si="2"/>
        <v>2106720</v>
      </c>
      <c r="M11" s="333"/>
    </row>
    <row r="12" spans="1:13" s="256" customFormat="1" x14ac:dyDescent="0.25">
      <c r="A12" s="274">
        <v>44569</v>
      </c>
      <c r="B12" s="511">
        <v>44566</v>
      </c>
      <c r="C12" s="381" t="s">
        <v>756</v>
      </c>
      <c r="D12" s="273" t="s">
        <v>304</v>
      </c>
      <c r="E12" s="275" t="s">
        <v>392</v>
      </c>
      <c r="F12" s="272" t="s">
        <v>2644</v>
      </c>
      <c r="G12" s="255" t="s">
        <v>755</v>
      </c>
      <c r="H12" s="333">
        <v>26426925</v>
      </c>
      <c r="I12" s="334">
        <v>0</v>
      </c>
      <c r="J12" s="682">
        <f t="shared" si="0"/>
        <v>24024477.27272727</v>
      </c>
      <c r="K12" s="682">
        <f t="shared" si="1"/>
        <v>2402447.7272727271</v>
      </c>
      <c r="L12" s="333">
        <f t="shared" si="2"/>
        <v>26426924.999999996</v>
      </c>
      <c r="M12" s="333"/>
    </row>
    <row r="13" spans="1:13" s="256" customFormat="1" x14ac:dyDescent="0.25">
      <c r="A13" s="274">
        <v>44573</v>
      </c>
      <c r="B13" s="511">
        <v>44569</v>
      </c>
      <c r="C13" s="381" t="s">
        <v>758</v>
      </c>
      <c r="D13" s="273" t="s">
        <v>304</v>
      </c>
      <c r="E13" s="275" t="s">
        <v>392</v>
      </c>
      <c r="F13" s="272" t="s">
        <v>2644</v>
      </c>
      <c r="G13" s="255" t="s">
        <v>757</v>
      </c>
      <c r="H13" s="333">
        <v>2948610</v>
      </c>
      <c r="I13" s="334">
        <v>0</v>
      </c>
      <c r="J13" s="682">
        <f t="shared" si="0"/>
        <v>2680554.5454545454</v>
      </c>
      <c r="K13" s="682">
        <f t="shared" si="1"/>
        <v>268055.45454545453</v>
      </c>
      <c r="L13" s="333">
        <f t="shared" si="2"/>
        <v>2948610</v>
      </c>
      <c r="M13" s="333"/>
    </row>
    <row r="14" spans="1:13" s="256" customFormat="1" x14ac:dyDescent="0.25">
      <c r="A14" s="274">
        <v>44576</v>
      </c>
      <c r="B14" s="511">
        <v>44571</v>
      </c>
      <c r="C14" s="381" t="s">
        <v>760</v>
      </c>
      <c r="D14" s="273" t="s">
        <v>304</v>
      </c>
      <c r="E14" s="275" t="s">
        <v>392</v>
      </c>
      <c r="F14" s="272" t="s">
        <v>2644</v>
      </c>
      <c r="G14" s="255" t="s">
        <v>759</v>
      </c>
      <c r="H14" s="333">
        <v>1887270</v>
      </c>
      <c r="I14" s="334">
        <v>0</v>
      </c>
      <c r="J14" s="682">
        <f t="shared" si="0"/>
        <v>1715699.9999999998</v>
      </c>
      <c r="K14" s="682">
        <f t="shared" si="1"/>
        <v>171570</v>
      </c>
      <c r="L14" s="333">
        <f t="shared" si="2"/>
        <v>1887269.9999999998</v>
      </c>
      <c r="M14" s="333"/>
    </row>
    <row r="15" spans="1:13" s="256" customFormat="1" x14ac:dyDescent="0.25">
      <c r="A15" s="274">
        <v>44576</v>
      </c>
      <c r="B15" s="511">
        <v>44572</v>
      </c>
      <c r="C15" s="381" t="s">
        <v>762</v>
      </c>
      <c r="D15" s="273" t="s">
        <v>304</v>
      </c>
      <c r="E15" s="275" t="s">
        <v>392</v>
      </c>
      <c r="F15" s="272" t="s">
        <v>2644</v>
      </c>
      <c r="G15" s="255" t="s">
        <v>761</v>
      </c>
      <c r="H15" s="333">
        <v>28129500</v>
      </c>
      <c r="I15" s="334">
        <v>0</v>
      </c>
      <c r="J15" s="682">
        <f t="shared" si="0"/>
        <v>25572272.727272727</v>
      </c>
      <c r="K15" s="682">
        <f t="shared" si="1"/>
        <v>2557227.2727272729</v>
      </c>
      <c r="L15" s="333">
        <f t="shared" si="2"/>
        <v>28129500</v>
      </c>
      <c r="M15" s="333"/>
    </row>
    <row r="16" spans="1:13" s="256" customFormat="1" x14ac:dyDescent="0.25">
      <c r="A16" s="274">
        <v>44576</v>
      </c>
      <c r="B16" s="511">
        <v>44573</v>
      </c>
      <c r="C16" s="381" t="s">
        <v>764</v>
      </c>
      <c r="D16" s="273" t="s">
        <v>304</v>
      </c>
      <c r="E16" s="275" t="s">
        <v>392</v>
      </c>
      <c r="F16" s="272" t="s">
        <v>2644</v>
      </c>
      <c r="G16" s="255" t="s">
        <v>763</v>
      </c>
      <c r="H16" s="333">
        <v>17236800</v>
      </c>
      <c r="I16" s="334">
        <v>0</v>
      </c>
      <c r="J16" s="682">
        <f t="shared" si="0"/>
        <v>15669818.18181818</v>
      </c>
      <c r="K16" s="682">
        <f t="shared" si="1"/>
        <v>1566981.8181818181</v>
      </c>
      <c r="L16" s="333">
        <f t="shared" si="2"/>
        <v>17236799.999999996</v>
      </c>
      <c r="M16" s="333"/>
    </row>
    <row r="17" spans="1:13" s="256" customFormat="1" x14ac:dyDescent="0.25">
      <c r="A17" s="274">
        <v>44579</v>
      </c>
      <c r="B17" s="511">
        <v>44574</v>
      </c>
      <c r="C17" s="381" t="s">
        <v>766</v>
      </c>
      <c r="D17" s="273" t="s">
        <v>304</v>
      </c>
      <c r="E17" s="275" t="s">
        <v>392</v>
      </c>
      <c r="F17" s="272" t="s">
        <v>2644</v>
      </c>
      <c r="G17" s="255" t="s">
        <v>765</v>
      </c>
      <c r="H17" s="333">
        <v>18530890</v>
      </c>
      <c r="I17" s="334">
        <v>0</v>
      </c>
      <c r="J17" s="682">
        <f t="shared" si="0"/>
        <v>16846263.636363637</v>
      </c>
      <c r="K17" s="682">
        <f t="shared" si="1"/>
        <v>1684626.3636363638</v>
      </c>
      <c r="L17" s="333">
        <f t="shared" si="2"/>
        <v>18530890</v>
      </c>
      <c r="M17" s="333"/>
    </row>
    <row r="18" spans="1:13" s="256" customFormat="1" x14ac:dyDescent="0.25">
      <c r="A18" s="274">
        <v>44579</v>
      </c>
      <c r="B18" s="511">
        <v>44574</v>
      </c>
      <c r="C18" s="381" t="s">
        <v>768</v>
      </c>
      <c r="D18" s="273" t="s">
        <v>304</v>
      </c>
      <c r="E18" s="275" t="s">
        <v>392</v>
      </c>
      <c r="F18" s="272" t="s">
        <v>2644</v>
      </c>
      <c r="G18" s="255" t="s">
        <v>767</v>
      </c>
      <c r="H18" s="333">
        <v>2465820</v>
      </c>
      <c r="I18" s="334">
        <v>0</v>
      </c>
      <c r="J18" s="682">
        <f t="shared" si="0"/>
        <v>2241654.5454545454</v>
      </c>
      <c r="K18" s="682">
        <f t="shared" si="1"/>
        <v>224165.45454545456</v>
      </c>
      <c r="L18" s="333">
        <f t="shared" si="2"/>
        <v>2465820</v>
      </c>
      <c r="M18" s="333"/>
    </row>
    <row r="19" spans="1:13" s="256" customFormat="1" x14ac:dyDescent="0.25">
      <c r="A19" s="274">
        <v>44580</v>
      </c>
      <c r="B19" s="511">
        <v>44575</v>
      </c>
      <c r="C19" s="381" t="s">
        <v>770</v>
      </c>
      <c r="D19" s="273" t="s">
        <v>304</v>
      </c>
      <c r="E19" s="275" t="s">
        <v>392</v>
      </c>
      <c r="F19" s="272" t="s">
        <v>2644</v>
      </c>
      <c r="G19" s="255" t="s">
        <v>769</v>
      </c>
      <c r="H19" s="333">
        <v>38132430</v>
      </c>
      <c r="I19" s="334">
        <v>0</v>
      </c>
      <c r="J19" s="682">
        <f t="shared" si="0"/>
        <v>34665845.454545453</v>
      </c>
      <c r="K19" s="682">
        <f t="shared" si="1"/>
        <v>3466584.5454545454</v>
      </c>
      <c r="L19" s="333">
        <f t="shared" si="2"/>
        <v>38132430</v>
      </c>
      <c r="M19" s="333"/>
    </row>
    <row r="20" spans="1:13" s="256" customFormat="1" x14ac:dyDescent="0.25">
      <c r="A20" s="274">
        <v>44580</v>
      </c>
      <c r="B20" s="511">
        <v>44576</v>
      </c>
      <c r="C20" s="381" t="s">
        <v>772</v>
      </c>
      <c r="D20" s="273" t="s">
        <v>304</v>
      </c>
      <c r="E20" s="275" t="s">
        <v>392</v>
      </c>
      <c r="F20" s="272" t="s">
        <v>2644</v>
      </c>
      <c r="G20" s="255" t="s">
        <v>771</v>
      </c>
      <c r="H20" s="333">
        <v>42937720</v>
      </c>
      <c r="I20" s="334">
        <v>0</v>
      </c>
      <c r="J20" s="682">
        <f t="shared" si="0"/>
        <v>39034290.909090906</v>
      </c>
      <c r="K20" s="682">
        <f t="shared" si="1"/>
        <v>3903429.0909090908</v>
      </c>
      <c r="L20" s="333">
        <f t="shared" si="2"/>
        <v>42937720</v>
      </c>
      <c r="M20" s="333"/>
    </row>
    <row r="21" spans="1:13" s="256" customFormat="1" x14ac:dyDescent="0.25">
      <c r="A21" s="274">
        <v>44580</v>
      </c>
      <c r="B21" s="511">
        <v>44576</v>
      </c>
      <c r="C21" s="381" t="s">
        <v>774</v>
      </c>
      <c r="D21" s="273" t="s">
        <v>304</v>
      </c>
      <c r="E21" s="275" t="s">
        <v>392</v>
      </c>
      <c r="F21" s="272" t="s">
        <v>2644</v>
      </c>
      <c r="G21" s="255" t="s">
        <v>773</v>
      </c>
      <c r="H21" s="333">
        <v>40565332.5</v>
      </c>
      <c r="I21" s="334">
        <v>0</v>
      </c>
      <c r="J21" s="682">
        <f t="shared" si="0"/>
        <v>36877575</v>
      </c>
      <c r="K21" s="682">
        <f t="shared" si="1"/>
        <v>3687757.5</v>
      </c>
      <c r="L21" s="333">
        <f t="shared" si="2"/>
        <v>40565332.5</v>
      </c>
      <c r="M21" s="333"/>
    </row>
    <row r="22" spans="1:13" s="256" customFormat="1" x14ac:dyDescent="0.25">
      <c r="A22" s="274">
        <v>44580</v>
      </c>
      <c r="B22" s="511">
        <v>44576</v>
      </c>
      <c r="C22" s="381" t="s">
        <v>776</v>
      </c>
      <c r="D22" s="273" t="s">
        <v>304</v>
      </c>
      <c r="E22" s="275" t="s">
        <v>392</v>
      </c>
      <c r="F22" s="272" t="s">
        <v>2644</v>
      </c>
      <c r="G22" s="255" t="s">
        <v>775</v>
      </c>
      <c r="H22" s="333">
        <v>12606405</v>
      </c>
      <c r="I22" s="334">
        <v>0</v>
      </c>
      <c r="J22" s="682">
        <f t="shared" si="0"/>
        <v>11460368.181818182</v>
      </c>
      <c r="K22" s="682">
        <f t="shared" si="1"/>
        <v>1146036.8181818181</v>
      </c>
      <c r="L22" s="333">
        <f t="shared" si="2"/>
        <v>12606405</v>
      </c>
      <c r="M22" s="333"/>
    </row>
    <row r="23" spans="1:13" s="256" customFormat="1" x14ac:dyDescent="0.25">
      <c r="A23" s="274">
        <v>44581</v>
      </c>
      <c r="B23" s="511">
        <v>44578</v>
      </c>
      <c r="C23" s="381" t="s">
        <v>782</v>
      </c>
      <c r="D23" s="273" t="s">
        <v>304</v>
      </c>
      <c r="E23" s="275" t="s">
        <v>392</v>
      </c>
      <c r="F23" s="272" t="s">
        <v>2644</v>
      </c>
      <c r="G23" s="255" t="s">
        <v>1250</v>
      </c>
      <c r="H23" s="333">
        <v>12741898.75</v>
      </c>
      <c r="I23" s="334">
        <v>0</v>
      </c>
      <c r="J23" s="682">
        <f t="shared" si="0"/>
        <v>11583544.318181816</v>
      </c>
      <c r="K23" s="682">
        <f t="shared" si="1"/>
        <v>1158354.4318181816</v>
      </c>
      <c r="L23" s="333">
        <f t="shared" si="2"/>
        <v>12741898.749999998</v>
      </c>
      <c r="M23" s="333"/>
    </row>
    <row r="24" spans="1:13" s="256" customFormat="1" x14ac:dyDescent="0.25">
      <c r="A24" s="274">
        <v>44581</v>
      </c>
      <c r="B24" s="511">
        <v>44578</v>
      </c>
      <c r="C24" s="381" t="s">
        <v>779</v>
      </c>
      <c r="D24" s="273" t="s">
        <v>304</v>
      </c>
      <c r="E24" s="275" t="s">
        <v>392</v>
      </c>
      <c r="F24" s="272" t="s">
        <v>2644</v>
      </c>
      <c r="G24" s="255" t="s">
        <v>1251</v>
      </c>
      <c r="H24" s="333">
        <v>3207960</v>
      </c>
      <c r="I24" s="334">
        <v>0</v>
      </c>
      <c r="J24" s="682">
        <f t="shared" si="0"/>
        <v>2916327.2727272725</v>
      </c>
      <c r="K24" s="682">
        <f t="shared" si="1"/>
        <v>291632.72727272724</v>
      </c>
      <c r="L24" s="333">
        <f t="shared" si="2"/>
        <v>3207959.9999999995</v>
      </c>
      <c r="M24" s="333"/>
    </row>
    <row r="25" spans="1:13" s="256" customFormat="1" x14ac:dyDescent="0.25">
      <c r="A25" s="274">
        <v>44581</v>
      </c>
      <c r="B25" s="511">
        <v>44578</v>
      </c>
      <c r="C25" s="381" t="s">
        <v>783</v>
      </c>
      <c r="D25" s="273" t="s">
        <v>304</v>
      </c>
      <c r="E25" s="275" t="s">
        <v>392</v>
      </c>
      <c r="F25" s="272" t="s">
        <v>2644</v>
      </c>
      <c r="G25" s="255" t="s">
        <v>1252</v>
      </c>
      <c r="H25" s="333">
        <v>14599410</v>
      </c>
      <c r="I25" s="334">
        <v>0</v>
      </c>
      <c r="J25" s="682">
        <f t="shared" si="0"/>
        <v>13272190.909090908</v>
      </c>
      <c r="K25" s="682">
        <f t="shared" si="1"/>
        <v>1327219.0909090908</v>
      </c>
      <c r="L25" s="333">
        <f t="shared" si="2"/>
        <v>14599410</v>
      </c>
      <c r="M25" s="333"/>
    </row>
    <row r="26" spans="1:13" s="256" customFormat="1" x14ac:dyDescent="0.25">
      <c r="A26" s="274">
        <v>44581</v>
      </c>
      <c r="B26" s="511">
        <v>44578</v>
      </c>
      <c r="C26" s="381" t="s">
        <v>781</v>
      </c>
      <c r="D26" s="273" t="s">
        <v>304</v>
      </c>
      <c r="E26" s="275" t="s">
        <v>392</v>
      </c>
      <c r="F26" s="272" t="s">
        <v>2644</v>
      </c>
      <c r="G26" s="255" t="s">
        <v>1253</v>
      </c>
      <c r="H26" s="333">
        <v>12059775</v>
      </c>
      <c r="I26" s="334">
        <v>0</v>
      </c>
      <c r="J26" s="682">
        <f t="shared" si="0"/>
        <v>10963431.818181816</v>
      </c>
      <c r="K26" s="682">
        <f t="shared" si="1"/>
        <v>1096343.1818181816</v>
      </c>
      <c r="L26" s="333">
        <f t="shared" si="2"/>
        <v>12059774.999999998</v>
      </c>
      <c r="M26" s="333"/>
    </row>
    <row r="27" spans="1:13" s="256" customFormat="1" x14ac:dyDescent="0.25">
      <c r="A27" s="274">
        <v>44581</v>
      </c>
      <c r="B27" s="511">
        <v>44578</v>
      </c>
      <c r="C27" s="381" t="s">
        <v>780</v>
      </c>
      <c r="D27" s="273" t="s">
        <v>304</v>
      </c>
      <c r="E27" s="275" t="s">
        <v>392</v>
      </c>
      <c r="F27" s="272" t="s">
        <v>2644</v>
      </c>
      <c r="G27" s="255" t="s">
        <v>1254</v>
      </c>
      <c r="H27" s="333">
        <v>8379000</v>
      </c>
      <c r="I27" s="334">
        <v>0</v>
      </c>
      <c r="J27" s="682">
        <f t="shared" si="0"/>
        <v>7617272.7272727266</v>
      </c>
      <c r="K27" s="682">
        <f t="shared" si="1"/>
        <v>761727.27272727271</v>
      </c>
      <c r="L27" s="333">
        <f t="shared" si="2"/>
        <v>8378999.9999999991</v>
      </c>
      <c r="M27" s="333"/>
    </row>
    <row r="28" spans="1:13" s="256" customFormat="1" x14ac:dyDescent="0.25">
      <c r="A28" s="274">
        <v>44585</v>
      </c>
      <c r="B28" s="511">
        <v>44579</v>
      </c>
      <c r="C28" s="381" t="s">
        <v>784</v>
      </c>
      <c r="D28" s="273" t="s">
        <v>304</v>
      </c>
      <c r="E28" s="275" t="s">
        <v>392</v>
      </c>
      <c r="F28" s="272" t="s">
        <v>2644</v>
      </c>
      <c r="G28" s="255" t="s">
        <v>1255</v>
      </c>
      <c r="H28" s="333">
        <v>6979175</v>
      </c>
      <c r="I28" s="334">
        <v>0</v>
      </c>
      <c r="J28" s="682">
        <f t="shared" si="0"/>
        <v>6344704.5454545449</v>
      </c>
      <c r="K28" s="682">
        <f t="shared" si="1"/>
        <v>634470.45454545459</v>
      </c>
      <c r="L28" s="333">
        <f t="shared" si="2"/>
        <v>6979175</v>
      </c>
      <c r="M28" s="333"/>
    </row>
    <row r="29" spans="1:13" s="256" customFormat="1" x14ac:dyDescent="0.25">
      <c r="A29" s="274">
        <v>44583</v>
      </c>
      <c r="B29" s="511">
        <v>44580</v>
      </c>
      <c r="C29" s="381" t="s">
        <v>787</v>
      </c>
      <c r="D29" s="273" t="s">
        <v>304</v>
      </c>
      <c r="E29" s="275" t="s">
        <v>392</v>
      </c>
      <c r="F29" s="272" t="s">
        <v>2644</v>
      </c>
      <c r="G29" s="255" t="s">
        <v>1256</v>
      </c>
      <c r="H29" s="333">
        <v>30679110</v>
      </c>
      <c r="I29" s="334">
        <v>0</v>
      </c>
      <c r="J29" s="682">
        <f t="shared" si="0"/>
        <v>27890099.999999996</v>
      </c>
      <c r="K29" s="682">
        <f t="shared" si="1"/>
        <v>2789010</v>
      </c>
      <c r="L29" s="333">
        <f t="shared" si="2"/>
        <v>30679109.999999996</v>
      </c>
      <c r="M29" s="333"/>
    </row>
    <row r="30" spans="1:13" s="256" customFormat="1" x14ac:dyDescent="0.25">
      <c r="A30" s="274">
        <v>44583</v>
      </c>
      <c r="B30" s="511">
        <v>44580</v>
      </c>
      <c r="C30" s="381" t="s">
        <v>786</v>
      </c>
      <c r="D30" s="273" t="s">
        <v>304</v>
      </c>
      <c r="E30" s="275" t="s">
        <v>392</v>
      </c>
      <c r="F30" s="272" t="s">
        <v>2644</v>
      </c>
      <c r="G30" s="255" t="s">
        <v>1257</v>
      </c>
      <c r="H30" s="333">
        <v>13327265</v>
      </c>
      <c r="I30" s="334">
        <v>0</v>
      </c>
      <c r="J30" s="682">
        <f t="shared" si="0"/>
        <v>12115695.454545453</v>
      </c>
      <c r="K30" s="682">
        <f t="shared" si="1"/>
        <v>1211569.5454545454</v>
      </c>
      <c r="L30" s="333">
        <f t="shared" si="2"/>
        <v>13327264.999999998</v>
      </c>
      <c r="M30" s="333"/>
    </row>
    <row r="31" spans="1:13" s="256" customFormat="1" x14ac:dyDescent="0.25">
      <c r="A31" s="274">
        <v>44583</v>
      </c>
      <c r="B31" s="511">
        <v>44580</v>
      </c>
      <c r="C31" s="381" t="s">
        <v>785</v>
      </c>
      <c r="D31" s="273" t="s">
        <v>304</v>
      </c>
      <c r="E31" s="275" t="s">
        <v>392</v>
      </c>
      <c r="F31" s="272" t="s">
        <v>2644</v>
      </c>
      <c r="G31" s="255" t="s">
        <v>1258</v>
      </c>
      <c r="H31" s="333">
        <v>4029900</v>
      </c>
      <c r="I31" s="334">
        <v>0</v>
      </c>
      <c r="J31" s="682">
        <f t="shared" si="0"/>
        <v>3663545.4545454541</v>
      </c>
      <c r="K31" s="682">
        <f t="shared" si="1"/>
        <v>366354.54545454541</v>
      </c>
      <c r="L31" s="333">
        <f t="shared" si="2"/>
        <v>4029899.9999999995</v>
      </c>
      <c r="M31" s="333"/>
    </row>
    <row r="32" spans="1:13" s="256" customFormat="1" x14ac:dyDescent="0.25">
      <c r="A32" s="274">
        <v>44567</v>
      </c>
      <c r="B32" s="511">
        <v>44581</v>
      </c>
      <c r="C32" s="381" t="s">
        <v>719</v>
      </c>
      <c r="D32" s="273" t="s">
        <v>716</v>
      </c>
      <c r="E32" s="275" t="s">
        <v>717</v>
      </c>
      <c r="F32" s="272" t="s">
        <v>2642</v>
      </c>
      <c r="G32" s="255" t="s">
        <v>718</v>
      </c>
      <c r="H32" s="333">
        <v>55000000</v>
      </c>
      <c r="I32" s="334">
        <v>0</v>
      </c>
      <c r="J32" s="682">
        <f t="shared" si="0"/>
        <v>49999999.999999993</v>
      </c>
      <c r="K32" s="682">
        <f t="shared" si="1"/>
        <v>4999999.9999999991</v>
      </c>
      <c r="L32" s="333">
        <f t="shared" si="2"/>
        <v>54999999.999999993</v>
      </c>
      <c r="M32" s="333"/>
    </row>
    <row r="33" spans="1:13" s="256" customFormat="1" x14ac:dyDescent="0.25">
      <c r="A33" s="274">
        <v>44573</v>
      </c>
      <c r="B33" s="511">
        <v>44567</v>
      </c>
      <c r="C33" s="381" t="s">
        <v>649</v>
      </c>
      <c r="D33" s="273" t="s">
        <v>317</v>
      </c>
      <c r="E33" s="275" t="s">
        <v>395</v>
      </c>
      <c r="F33" s="272" t="s">
        <v>396</v>
      </c>
      <c r="G33" s="255" t="s">
        <v>800</v>
      </c>
      <c r="H33" s="333">
        <v>102186000</v>
      </c>
      <c r="I33" s="334">
        <v>0</v>
      </c>
      <c r="J33" s="682">
        <f t="shared" si="0"/>
        <v>92896363.636363626</v>
      </c>
      <c r="K33" s="682">
        <f t="shared" si="1"/>
        <v>9289636.3636363633</v>
      </c>
      <c r="L33" s="333">
        <f t="shared" si="2"/>
        <v>102185999.99999999</v>
      </c>
      <c r="M33" s="333"/>
    </row>
    <row r="34" spans="1:13" s="256" customFormat="1" x14ac:dyDescent="0.25">
      <c r="A34" s="274">
        <v>44572</v>
      </c>
      <c r="B34" s="511">
        <v>44567</v>
      </c>
      <c r="C34" s="381" t="s">
        <v>650</v>
      </c>
      <c r="D34" s="273" t="s">
        <v>317</v>
      </c>
      <c r="E34" s="275" t="s">
        <v>395</v>
      </c>
      <c r="F34" s="272" t="s">
        <v>396</v>
      </c>
      <c r="G34" s="255" t="s">
        <v>801</v>
      </c>
      <c r="H34" s="333">
        <v>22774500</v>
      </c>
      <c r="I34" s="334">
        <v>0</v>
      </c>
      <c r="J34" s="682">
        <f t="shared" si="0"/>
        <v>20704090.909090906</v>
      </c>
      <c r="K34" s="682">
        <f t="shared" si="1"/>
        <v>2070409.0909090908</v>
      </c>
      <c r="L34" s="333">
        <f t="shared" si="2"/>
        <v>22774499.999999996</v>
      </c>
      <c r="M34" s="333"/>
    </row>
    <row r="35" spans="1:13" s="256" customFormat="1" x14ac:dyDescent="0.25">
      <c r="A35" s="274">
        <v>44576</v>
      </c>
      <c r="B35" s="511">
        <v>44571</v>
      </c>
      <c r="C35" s="381" t="s">
        <v>799</v>
      </c>
      <c r="D35" s="273" t="s">
        <v>317</v>
      </c>
      <c r="E35" s="275" t="s">
        <v>395</v>
      </c>
      <c r="F35" s="272" t="s">
        <v>396</v>
      </c>
      <c r="G35" s="255" t="s">
        <v>802</v>
      </c>
      <c r="H35" s="333">
        <v>5544000</v>
      </c>
      <c r="I35" s="334">
        <v>0</v>
      </c>
      <c r="J35" s="682">
        <f t="shared" si="0"/>
        <v>5040000</v>
      </c>
      <c r="K35" s="682">
        <f t="shared" si="1"/>
        <v>504000</v>
      </c>
      <c r="L35" s="333">
        <f t="shared" si="2"/>
        <v>5544000</v>
      </c>
      <c r="M35" s="333"/>
    </row>
    <row r="36" spans="1:13" s="256" customFormat="1" x14ac:dyDescent="0.25">
      <c r="A36" s="274">
        <v>44564</v>
      </c>
      <c r="B36" s="511">
        <v>44564</v>
      </c>
      <c r="C36" s="381">
        <v>22010006</v>
      </c>
      <c r="D36" s="273" t="s">
        <v>400</v>
      </c>
      <c r="E36" s="275" t="s">
        <v>401</v>
      </c>
      <c r="F36" s="272" t="s">
        <v>402</v>
      </c>
      <c r="G36" s="255" t="s">
        <v>631</v>
      </c>
      <c r="H36" s="333">
        <v>116674200</v>
      </c>
      <c r="I36" s="334">
        <v>19834614</v>
      </c>
      <c r="J36" s="682">
        <f t="shared" si="0"/>
        <v>88035987.272727266</v>
      </c>
      <c r="K36" s="682">
        <f t="shared" si="1"/>
        <v>8803598.7272727266</v>
      </c>
      <c r="L36" s="333">
        <f t="shared" si="2"/>
        <v>96839586</v>
      </c>
      <c r="M36" s="333"/>
    </row>
    <row r="37" spans="1:13" s="256" customFormat="1" x14ac:dyDescent="0.25">
      <c r="A37" s="274">
        <v>44564</v>
      </c>
      <c r="B37" s="511">
        <v>44564</v>
      </c>
      <c r="C37" s="381">
        <v>22010014</v>
      </c>
      <c r="D37" s="273" t="s">
        <v>400</v>
      </c>
      <c r="E37" s="275" t="s">
        <v>401</v>
      </c>
      <c r="F37" s="272" t="s">
        <v>402</v>
      </c>
      <c r="G37" s="255" t="s">
        <v>632</v>
      </c>
      <c r="H37" s="333">
        <v>132660000</v>
      </c>
      <c r="I37" s="334">
        <v>22552200</v>
      </c>
      <c r="J37" s="682">
        <f t="shared" si="0"/>
        <v>100097999.99999999</v>
      </c>
      <c r="K37" s="682">
        <f t="shared" si="1"/>
        <v>10009799.999999998</v>
      </c>
      <c r="L37" s="333">
        <f t="shared" si="2"/>
        <v>110107799.99999999</v>
      </c>
      <c r="M37" s="333"/>
    </row>
    <row r="38" spans="1:13" s="256" customFormat="1" x14ac:dyDescent="0.25">
      <c r="A38" s="274">
        <v>44567</v>
      </c>
      <c r="B38" s="511">
        <v>44565</v>
      </c>
      <c r="C38" s="381">
        <v>22010107</v>
      </c>
      <c r="D38" s="273" t="s">
        <v>400</v>
      </c>
      <c r="E38" s="275" t="s">
        <v>401</v>
      </c>
      <c r="F38" s="272" t="s">
        <v>402</v>
      </c>
      <c r="G38" s="255" t="s">
        <v>633</v>
      </c>
      <c r="H38" s="333">
        <v>53001600</v>
      </c>
      <c r="I38" s="334">
        <v>9010272</v>
      </c>
      <c r="J38" s="682">
        <f t="shared" ref="J38:J57" si="3">(H38-I38)/1.1</f>
        <v>39992116.36363636</v>
      </c>
      <c r="K38" s="682">
        <f t="shared" ref="K38:K63" si="4">J38*10%</f>
        <v>3999211.6363636362</v>
      </c>
      <c r="L38" s="333">
        <f t="shared" ref="L38:L63" si="5">SUM(J38:K38)</f>
        <v>43991327.999999993</v>
      </c>
      <c r="M38" s="333"/>
    </row>
    <row r="39" spans="1:13" s="256" customFormat="1" x14ac:dyDescent="0.25">
      <c r="A39" s="274">
        <v>44569</v>
      </c>
      <c r="B39" s="511">
        <v>44566</v>
      </c>
      <c r="C39" s="381">
        <v>22010196</v>
      </c>
      <c r="D39" s="273" t="s">
        <v>400</v>
      </c>
      <c r="E39" s="275" t="s">
        <v>401</v>
      </c>
      <c r="F39" s="272" t="s">
        <v>402</v>
      </c>
      <c r="G39" s="255" t="s">
        <v>634</v>
      </c>
      <c r="H39" s="333">
        <v>8567800</v>
      </c>
      <c r="I39" s="334">
        <v>1456526</v>
      </c>
      <c r="J39" s="682">
        <f t="shared" si="3"/>
        <v>6464794.5454545449</v>
      </c>
      <c r="K39" s="682">
        <f t="shared" si="4"/>
        <v>646479.45454545459</v>
      </c>
      <c r="L39" s="333">
        <f t="shared" si="5"/>
        <v>7111274</v>
      </c>
      <c r="M39" s="333"/>
    </row>
    <row r="40" spans="1:13" s="256" customFormat="1" x14ac:dyDescent="0.25">
      <c r="A40" s="274">
        <v>44571</v>
      </c>
      <c r="B40" s="511">
        <v>44567</v>
      </c>
      <c r="C40" s="381">
        <v>22010342</v>
      </c>
      <c r="D40" s="273" t="s">
        <v>400</v>
      </c>
      <c r="E40" s="275" t="s">
        <v>401</v>
      </c>
      <c r="F40" s="272" t="s">
        <v>402</v>
      </c>
      <c r="G40" s="255" t="s">
        <v>635</v>
      </c>
      <c r="H40" s="333">
        <v>50984000</v>
      </c>
      <c r="I40" s="334">
        <v>8667280</v>
      </c>
      <c r="J40" s="682">
        <f t="shared" si="3"/>
        <v>38469745.454545453</v>
      </c>
      <c r="K40" s="682">
        <f t="shared" si="4"/>
        <v>3846974.5454545454</v>
      </c>
      <c r="L40" s="333">
        <f t="shared" si="5"/>
        <v>42316720</v>
      </c>
      <c r="M40" s="333"/>
    </row>
    <row r="41" spans="1:13" s="256" customFormat="1" x14ac:dyDescent="0.25">
      <c r="A41" s="274">
        <v>44571</v>
      </c>
      <c r="B41" s="511">
        <v>44567</v>
      </c>
      <c r="C41" s="381">
        <v>22010343</v>
      </c>
      <c r="D41" s="273" t="s">
        <v>400</v>
      </c>
      <c r="E41" s="275" t="s">
        <v>401</v>
      </c>
      <c r="F41" s="272" t="s">
        <v>402</v>
      </c>
      <c r="G41" s="255" t="s">
        <v>636</v>
      </c>
      <c r="H41" s="333">
        <v>58416800</v>
      </c>
      <c r="I41" s="334">
        <v>9930856</v>
      </c>
      <c r="J41" s="682">
        <f t="shared" si="3"/>
        <v>44078130.909090906</v>
      </c>
      <c r="K41" s="682">
        <f t="shared" si="4"/>
        <v>4407813.0909090908</v>
      </c>
      <c r="L41" s="333">
        <f t="shared" si="5"/>
        <v>48485944</v>
      </c>
      <c r="M41" s="333"/>
    </row>
    <row r="42" spans="1:13" s="256" customFormat="1" x14ac:dyDescent="0.25">
      <c r="A42" s="274">
        <v>44572</v>
      </c>
      <c r="B42" s="511">
        <v>44567</v>
      </c>
      <c r="C42" s="381">
        <v>22010344</v>
      </c>
      <c r="D42" s="273" t="s">
        <v>400</v>
      </c>
      <c r="E42" s="275" t="s">
        <v>401</v>
      </c>
      <c r="F42" s="272" t="s">
        <v>402</v>
      </c>
      <c r="G42" s="255" t="s">
        <v>637</v>
      </c>
      <c r="H42" s="333">
        <v>78460800</v>
      </c>
      <c r="I42" s="334">
        <v>13338336</v>
      </c>
      <c r="J42" s="682">
        <f t="shared" si="3"/>
        <v>59202239.999999993</v>
      </c>
      <c r="K42" s="682">
        <f t="shared" si="4"/>
        <v>5920224</v>
      </c>
      <c r="L42" s="333">
        <f t="shared" si="5"/>
        <v>65122463.999999993</v>
      </c>
      <c r="M42" s="333"/>
    </row>
    <row r="43" spans="1:13" s="256" customFormat="1" x14ac:dyDescent="0.25">
      <c r="A43" s="274">
        <v>44572</v>
      </c>
      <c r="B43" s="511">
        <v>44567</v>
      </c>
      <c r="C43" s="381">
        <v>22010383</v>
      </c>
      <c r="D43" s="273" t="s">
        <v>400</v>
      </c>
      <c r="E43" s="275" t="s">
        <v>401</v>
      </c>
      <c r="F43" s="272" t="s">
        <v>402</v>
      </c>
      <c r="G43" s="255" t="s">
        <v>638</v>
      </c>
      <c r="H43" s="333">
        <v>9063000</v>
      </c>
      <c r="I43" s="334">
        <v>1540710</v>
      </c>
      <c r="J43" s="682">
        <f t="shared" si="3"/>
        <v>6838445.4545454541</v>
      </c>
      <c r="K43" s="682">
        <f t="shared" si="4"/>
        <v>683844.54545454541</v>
      </c>
      <c r="L43" s="333">
        <f t="shared" si="5"/>
        <v>7522290</v>
      </c>
      <c r="M43" s="333"/>
    </row>
    <row r="44" spans="1:13" s="256" customFormat="1" x14ac:dyDescent="0.25">
      <c r="A44" s="274">
        <v>44572</v>
      </c>
      <c r="B44" s="511">
        <v>44568</v>
      </c>
      <c r="C44" s="381">
        <v>22010440</v>
      </c>
      <c r="D44" s="273" t="s">
        <v>400</v>
      </c>
      <c r="E44" s="275" t="s">
        <v>401</v>
      </c>
      <c r="F44" s="272" t="s">
        <v>402</v>
      </c>
      <c r="G44" s="255" t="s">
        <v>639</v>
      </c>
      <c r="H44" s="333">
        <v>117816800</v>
      </c>
      <c r="I44" s="334">
        <v>20028856</v>
      </c>
      <c r="J44" s="682">
        <f t="shared" si="3"/>
        <v>88898130.909090906</v>
      </c>
      <c r="K44" s="682">
        <f t="shared" si="4"/>
        <v>8889813.0909090918</v>
      </c>
      <c r="L44" s="333">
        <f t="shared" si="5"/>
        <v>97787944</v>
      </c>
      <c r="M44" s="333"/>
    </row>
    <row r="45" spans="1:13" s="256" customFormat="1" x14ac:dyDescent="0.25">
      <c r="A45" s="274">
        <v>44572</v>
      </c>
      <c r="B45" s="511">
        <v>44569</v>
      </c>
      <c r="C45" s="381">
        <v>22010587</v>
      </c>
      <c r="D45" s="273" t="s">
        <v>400</v>
      </c>
      <c r="E45" s="275" t="s">
        <v>401</v>
      </c>
      <c r="F45" s="272" t="s">
        <v>402</v>
      </c>
      <c r="G45" s="255" t="s">
        <v>640</v>
      </c>
      <c r="H45" s="333">
        <v>18298800</v>
      </c>
      <c r="I45" s="334">
        <v>3110796</v>
      </c>
      <c r="J45" s="682">
        <f t="shared" si="3"/>
        <v>13807276.363636363</v>
      </c>
      <c r="K45" s="682">
        <f t="shared" si="4"/>
        <v>1380727.6363636365</v>
      </c>
      <c r="L45" s="333">
        <f t="shared" si="5"/>
        <v>15188004</v>
      </c>
      <c r="M45" s="333"/>
    </row>
    <row r="46" spans="1:13" s="256" customFormat="1" x14ac:dyDescent="0.25">
      <c r="A46" s="274">
        <v>44573</v>
      </c>
      <c r="B46" s="511">
        <v>44571</v>
      </c>
      <c r="C46" s="381">
        <v>22010690</v>
      </c>
      <c r="D46" s="273" t="s">
        <v>400</v>
      </c>
      <c r="E46" s="275" t="s">
        <v>401</v>
      </c>
      <c r="F46" s="272" t="s">
        <v>402</v>
      </c>
      <c r="G46" s="255" t="s">
        <v>641</v>
      </c>
      <c r="H46" s="333">
        <v>36417600</v>
      </c>
      <c r="I46" s="334">
        <v>6190992</v>
      </c>
      <c r="J46" s="682">
        <f t="shared" si="3"/>
        <v>27478734.545454543</v>
      </c>
      <c r="K46" s="682">
        <f t="shared" si="4"/>
        <v>2747873.4545454546</v>
      </c>
      <c r="L46" s="333">
        <f t="shared" si="5"/>
        <v>30226607.999999996</v>
      </c>
      <c r="M46" s="333"/>
    </row>
    <row r="47" spans="1:13" s="256" customFormat="1" x14ac:dyDescent="0.25">
      <c r="A47" s="274">
        <v>44576</v>
      </c>
      <c r="B47" s="511">
        <v>44574</v>
      </c>
      <c r="C47" s="381">
        <v>22010956</v>
      </c>
      <c r="D47" s="273" t="s">
        <v>400</v>
      </c>
      <c r="E47" s="275" t="s">
        <v>401</v>
      </c>
      <c r="F47" s="272" t="s">
        <v>402</v>
      </c>
      <c r="G47" s="255" t="s">
        <v>642</v>
      </c>
      <c r="H47" s="333">
        <v>79693200</v>
      </c>
      <c r="I47" s="334">
        <v>13547844</v>
      </c>
      <c r="J47" s="682">
        <f t="shared" si="3"/>
        <v>60132141.818181813</v>
      </c>
      <c r="K47" s="682">
        <f t="shared" si="4"/>
        <v>6013214.1818181816</v>
      </c>
      <c r="L47" s="333">
        <f t="shared" si="5"/>
        <v>66145355.999999993</v>
      </c>
      <c r="M47" s="333"/>
    </row>
    <row r="48" spans="1:13" s="256" customFormat="1" x14ac:dyDescent="0.25">
      <c r="A48" s="274">
        <v>44579</v>
      </c>
      <c r="B48" s="511">
        <v>44575</v>
      </c>
      <c r="C48" s="381">
        <v>22011096</v>
      </c>
      <c r="D48" s="273" t="s">
        <v>400</v>
      </c>
      <c r="E48" s="275" t="s">
        <v>401</v>
      </c>
      <c r="F48" s="272" t="s">
        <v>402</v>
      </c>
      <c r="G48" s="255" t="s">
        <v>643</v>
      </c>
      <c r="H48" s="333">
        <v>30081600</v>
      </c>
      <c r="I48" s="334">
        <v>5113872</v>
      </c>
      <c r="J48" s="682">
        <f t="shared" si="3"/>
        <v>22697934.545454543</v>
      </c>
      <c r="K48" s="682">
        <f t="shared" si="4"/>
        <v>2269793.4545454546</v>
      </c>
      <c r="L48" s="333">
        <f t="shared" si="5"/>
        <v>24967727.999999996</v>
      </c>
      <c r="M48" s="333"/>
    </row>
    <row r="49" spans="1:13" s="256" customFormat="1" x14ac:dyDescent="0.25">
      <c r="A49" s="274">
        <v>44579</v>
      </c>
      <c r="B49" s="511">
        <v>44576</v>
      </c>
      <c r="C49" s="381">
        <v>22011217</v>
      </c>
      <c r="D49" s="273" t="s">
        <v>400</v>
      </c>
      <c r="E49" s="275" t="s">
        <v>401</v>
      </c>
      <c r="F49" s="272" t="s">
        <v>402</v>
      </c>
      <c r="G49" s="255" t="s">
        <v>644</v>
      </c>
      <c r="H49" s="333">
        <v>29278800</v>
      </c>
      <c r="I49" s="334">
        <v>4977396</v>
      </c>
      <c r="J49" s="682">
        <f t="shared" si="3"/>
        <v>22092185.454545453</v>
      </c>
      <c r="K49" s="682">
        <f t="shared" si="4"/>
        <v>2209218.5454545454</v>
      </c>
      <c r="L49" s="333">
        <f t="shared" si="5"/>
        <v>24301404</v>
      </c>
      <c r="M49" s="333"/>
    </row>
    <row r="50" spans="1:13" s="256" customFormat="1" x14ac:dyDescent="0.25">
      <c r="A50" s="274">
        <v>44581</v>
      </c>
      <c r="B50" s="511">
        <v>44578</v>
      </c>
      <c r="C50" s="381">
        <v>22011338</v>
      </c>
      <c r="D50" s="273" t="s">
        <v>400</v>
      </c>
      <c r="E50" s="275" t="s">
        <v>401</v>
      </c>
      <c r="F50" s="272" t="s">
        <v>402</v>
      </c>
      <c r="G50" s="255" t="s">
        <v>645</v>
      </c>
      <c r="H50" s="333">
        <v>72306000</v>
      </c>
      <c r="I50" s="334">
        <v>12292020</v>
      </c>
      <c r="J50" s="682">
        <f t="shared" si="3"/>
        <v>54558163.636363633</v>
      </c>
      <c r="K50" s="682">
        <f t="shared" si="4"/>
        <v>5455816.3636363633</v>
      </c>
      <c r="L50" s="333">
        <f t="shared" si="5"/>
        <v>60013980</v>
      </c>
      <c r="M50" s="333"/>
    </row>
    <row r="51" spans="1:13" s="256" customFormat="1" x14ac:dyDescent="0.25">
      <c r="A51" s="274">
        <v>44586</v>
      </c>
      <c r="B51" s="511">
        <v>44580</v>
      </c>
      <c r="C51" s="381">
        <v>22011489</v>
      </c>
      <c r="D51" s="273" t="s">
        <v>400</v>
      </c>
      <c r="E51" s="275" t="s">
        <v>401</v>
      </c>
      <c r="F51" s="272" t="s">
        <v>402</v>
      </c>
      <c r="G51" s="255" t="s">
        <v>658</v>
      </c>
      <c r="H51" s="333">
        <v>28709600</v>
      </c>
      <c r="I51" s="334">
        <v>4880632</v>
      </c>
      <c r="J51" s="682">
        <f t="shared" si="3"/>
        <v>21662698.18181818</v>
      </c>
      <c r="K51" s="682">
        <f t="shared" si="4"/>
        <v>2166269.8181818179</v>
      </c>
      <c r="L51" s="333">
        <f t="shared" si="5"/>
        <v>23828967.999999996</v>
      </c>
      <c r="M51" s="333"/>
    </row>
    <row r="52" spans="1:13" s="256" customFormat="1" x14ac:dyDescent="0.25">
      <c r="A52" s="274">
        <v>44586</v>
      </c>
      <c r="B52" s="511">
        <v>44580</v>
      </c>
      <c r="C52" s="381">
        <v>22011509</v>
      </c>
      <c r="D52" s="273" t="s">
        <v>400</v>
      </c>
      <c r="E52" s="275" t="s">
        <v>401</v>
      </c>
      <c r="F52" s="272" t="s">
        <v>402</v>
      </c>
      <c r="G52" s="255" t="s">
        <v>659</v>
      </c>
      <c r="H52" s="333">
        <v>5361600</v>
      </c>
      <c r="I52" s="334">
        <v>911472</v>
      </c>
      <c r="J52" s="682">
        <f t="shared" si="3"/>
        <v>4045570.9090909087</v>
      </c>
      <c r="K52" s="682">
        <f t="shared" si="4"/>
        <v>404557.09090909088</v>
      </c>
      <c r="L52" s="333">
        <f t="shared" si="5"/>
        <v>4450128</v>
      </c>
      <c r="M52" s="333"/>
    </row>
    <row r="53" spans="1:13" s="256" customFormat="1" x14ac:dyDescent="0.25">
      <c r="A53" s="274">
        <v>44586</v>
      </c>
      <c r="B53" s="511">
        <v>44580</v>
      </c>
      <c r="C53" s="381">
        <v>22011538</v>
      </c>
      <c r="D53" s="273" t="s">
        <v>400</v>
      </c>
      <c r="E53" s="275" t="s">
        <v>401</v>
      </c>
      <c r="F53" s="272" t="s">
        <v>402</v>
      </c>
      <c r="G53" s="255" t="s">
        <v>660</v>
      </c>
      <c r="H53" s="333">
        <v>54720000</v>
      </c>
      <c r="I53" s="334">
        <v>9302400</v>
      </c>
      <c r="J53" s="682">
        <f t="shared" si="3"/>
        <v>41288727.272727266</v>
      </c>
      <c r="K53" s="682">
        <f t="shared" si="4"/>
        <v>4128872.7272727266</v>
      </c>
      <c r="L53" s="333">
        <f t="shared" si="5"/>
        <v>45417599.999999993</v>
      </c>
      <c r="M53" s="333"/>
    </row>
    <row r="54" spans="1:13" s="256" customFormat="1" x14ac:dyDescent="0.25">
      <c r="A54" s="274">
        <v>44586</v>
      </c>
      <c r="B54" s="511">
        <v>44580</v>
      </c>
      <c r="C54" s="381">
        <v>22011546</v>
      </c>
      <c r="D54" s="273" t="s">
        <v>400</v>
      </c>
      <c r="E54" s="275" t="s">
        <v>401</v>
      </c>
      <c r="F54" s="272" t="s">
        <v>402</v>
      </c>
      <c r="G54" s="255" t="s">
        <v>661</v>
      </c>
      <c r="H54" s="333">
        <v>13968000</v>
      </c>
      <c r="I54" s="334">
        <v>2374560</v>
      </c>
      <c r="J54" s="682">
        <f t="shared" si="3"/>
        <v>10539490.909090908</v>
      </c>
      <c r="K54" s="682">
        <f t="shared" si="4"/>
        <v>1053949.0909090908</v>
      </c>
      <c r="L54" s="333">
        <f t="shared" si="5"/>
        <v>11593440</v>
      </c>
      <c r="M54" s="333"/>
    </row>
    <row r="55" spans="1:13" s="256" customFormat="1" x14ac:dyDescent="0.25">
      <c r="A55" s="274">
        <v>44569</v>
      </c>
      <c r="B55" s="511">
        <v>44567</v>
      </c>
      <c r="C55" s="381" t="s">
        <v>648</v>
      </c>
      <c r="D55" s="273" t="s">
        <v>322</v>
      </c>
      <c r="E55" s="275" t="s">
        <v>397</v>
      </c>
      <c r="F55" s="272" t="s">
        <v>2645</v>
      </c>
      <c r="G55" s="255" t="s">
        <v>997</v>
      </c>
      <c r="H55" s="333">
        <v>35800000</v>
      </c>
      <c r="I55" s="334">
        <v>0</v>
      </c>
      <c r="J55" s="682">
        <f t="shared" si="3"/>
        <v>32545454.545454543</v>
      </c>
      <c r="K55" s="682">
        <f t="shared" si="4"/>
        <v>3254545.4545454546</v>
      </c>
      <c r="L55" s="333">
        <f t="shared" si="5"/>
        <v>35800000</v>
      </c>
      <c r="M55" s="333"/>
    </row>
    <row r="56" spans="1:13" s="256" customFormat="1" x14ac:dyDescent="0.25">
      <c r="A56" s="274">
        <v>44579</v>
      </c>
      <c r="B56" s="511">
        <v>44575</v>
      </c>
      <c r="C56" s="381" t="s">
        <v>797</v>
      </c>
      <c r="D56" s="273" t="s">
        <v>322</v>
      </c>
      <c r="E56" s="275" t="s">
        <v>397</v>
      </c>
      <c r="F56" s="272" t="s">
        <v>2645</v>
      </c>
      <c r="G56" s="255" t="s">
        <v>998</v>
      </c>
      <c r="H56" s="333">
        <v>23800000</v>
      </c>
      <c r="I56" s="334">
        <v>0</v>
      </c>
      <c r="J56" s="682">
        <f t="shared" si="3"/>
        <v>21636363.636363633</v>
      </c>
      <c r="K56" s="682">
        <f t="shared" si="4"/>
        <v>2163636.3636363633</v>
      </c>
      <c r="L56" s="333">
        <f t="shared" si="5"/>
        <v>23799999.999999996</v>
      </c>
      <c r="M56" s="333"/>
    </row>
    <row r="57" spans="1:13" s="256" customFormat="1" x14ac:dyDescent="0.25">
      <c r="A57" s="274">
        <v>44579</v>
      </c>
      <c r="B57" s="511">
        <v>44575</v>
      </c>
      <c r="C57" s="381" t="s">
        <v>798</v>
      </c>
      <c r="D57" s="273" t="s">
        <v>322</v>
      </c>
      <c r="E57" s="275" t="s">
        <v>397</v>
      </c>
      <c r="F57" s="272" t="s">
        <v>2645</v>
      </c>
      <c r="G57" s="255" t="s">
        <v>999</v>
      </c>
      <c r="H57" s="333">
        <v>17000000</v>
      </c>
      <c r="I57" s="334">
        <v>0</v>
      </c>
      <c r="J57" s="682">
        <f t="shared" si="3"/>
        <v>15454545.454545453</v>
      </c>
      <c r="K57" s="682">
        <f t="shared" si="4"/>
        <v>1545454.5454545454</v>
      </c>
      <c r="L57" s="333">
        <f t="shared" si="5"/>
        <v>17000000</v>
      </c>
      <c r="M57" s="333"/>
    </row>
    <row r="58" spans="1:13" s="256" customFormat="1" x14ac:dyDescent="0.25">
      <c r="A58" s="274">
        <v>44568</v>
      </c>
      <c r="B58" s="511">
        <v>44564</v>
      </c>
      <c r="C58" s="381" t="s">
        <v>794</v>
      </c>
      <c r="D58" s="273" t="s">
        <v>305</v>
      </c>
      <c r="E58" s="275" t="s">
        <v>398</v>
      </c>
      <c r="F58" s="272" t="s">
        <v>399</v>
      </c>
      <c r="G58" s="255" t="s">
        <v>805</v>
      </c>
      <c r="H58" s="333">
        <v>17388000</v>
      </c>
      <c r="I58" s="334">
        <v>0</v>
      </c>
      <c r="J58" s="682">
        <v>15807456</v>
      </c>
      <c r="K58" s="682">
        <f t="shared" si="4"/>
        <v>1580745.6</v>
      </c>
      <c r="L58" s="333">
        <f t="shared" si="5"/>
        <v>17388201.600000001</v>
      </c>
      <c r="M58" s="333"/>
    </row>
    <row r="59" spans="1:13" s="256" customFormat="1" x14ac:dyDescent="0.25">
      <c r="A59" s="274">
        <v>44568</v>
      </c>
      <c r="B59" s="511">
        <v>44564</v>
      </c>
      <c r="C59" s="381" t="s">
        <v>647</v>
      </c>
      <c r="D59" s="273" t="s">
        <v>305</v>
      </c>
      <c r="E59" s="275" t="s">
        <v>398</v>
      </c>
      <c r="F59" s="272" t="s">
        <v>399</v>
      </c>
      <c r="G59" s="255" t="s">
        <v>806</v>
      </c>
      <c r="H59" s="333">
        <v>19872000</v>
      </c>
      <c r="I59" s="334">
        <v>0</v>
      </c>
      <c r="J59" s="682">
        <v>18065664</v>
      </c>
      <c r="K59" s="682">
        <f t="shared" si="4"/>
        <v>1806566.4000000001</v>
      </c>
      <c r="L59" s="333">
        <f t="shared" si="5"/>
        <v>19872230.399999999</v>
      </c>
      <c r="M59" s="333"/>
    </row>
    <row r="60" spans="1:13" s="256" customFormat="1" x14ac:dyDescent="0.25">
      <c r="A60" s="274">
        <v>44580</v>
      </c>
      <c r="B60" s="511">
        <v>44578</v>
      </c>
      <c r="C60" s="381" t="s">
        <v>795</v>
      </c>
      <c r="D60" s="273" t="s">
        <v>305</v>
      </c>
      <c r="E60" s="275" t="s">
        <v>398</v>
      </c>
      <c r="F60" s="272" t="s">
        <v>399</v>
      </c>
      <c r="G60" s="255" t="s">
        <v>807</v>
      </c>
      <c r="H60" s="333">
        <v>27324000</v>
      </c>
      <c r="I60" s="334">
        <v>0</v>
      </c>
      <c r="J60" s="682">
        <v>24840288</v>
      </c>
      <c r="K60" s="682">
        <f t="shared" si="4"/>
        <v>2484028.8000000003</v>
      </c>
      <c r="L60" s="333">
        <f t="shared" si="5"/>
        <v>27324316.800000001</v>
      </c>
      <c r="M60" s="333"/>
    </row>
    <row r="61" spans="1:13" s="256" customFormat="1" x14ac:dyDescent="0.25">
      <c r="A61" s="274">
        <v>44580</v>
      </c>
      <c r="B61" s="511">
        <v>44578</v>
      </c>
      <c r="C61" s="381" t="s">
        <v>796</v>
      </c>
      <c r="D61" s="273" t="s">
        <v>305</v>
      </c>
      <c r="E61" s="275" t="s">
        <v>398</v>
      </c>
      <c r="F61" s="272" t="s">
        <v>399</v>
      </c>
      <c r="G61" s="255" t="s">
        <v>808</v>
      </c>
      <c r="H61" s="333">
        <v>9936000</v>
      </c>
      <c r="I61" s="334">
        <v>0</v>
      </c>
      <c r="J61" s="682">
        <f>(H61-I61)/1.1</f>
        <v>9032727.2727272715</v>
      </c>
      <c r="K61" s="682">
        <f t="shared" si="4"/>
        <v>903272.72727272718</v>
      </c>
      <c r="L61" s="333">
        <f t="shared" si="5"/>
        <v>9935999.9999999981</v>
      </c>
      <c r="M61" s="333"/>
    </row>
    <row r="62" spans="1:13" s="256" customFormat="1" x14ac:dyDescent="0.25">
      <c r="A62" s="274">
        <v>44585</v>
      </c>
      <c r="B62" s="511">
        <v>44581</v>
      </c>
      <c r="C62" s="381" t="s">
        <v>810</v>
      </c>
      <c r="D62" s="273" t="s">
        <v>305</v>
      </c>
      <c r="E62" s="275" t="s">
        <v>398</v>
      </c>
      <c r="F62" s="272" t="s">
        <v>399</v>
      </c>
      <c r="G62" s="255" t="s">
        <v>809</v>
      </c>
      <c r="H62" s="333">
        <v>18630000</v>
      </c>
      <c r="I62" s="334">
        <v>0</v>
      </c>
      <c r="J62" s="682">
        <v>16936560</v>
      </c>
      <c r="K62" s="682">
        <f t="shared" si="4"/>
        <v>1693656</v>
      </c>
      <c r="L62" s="333">
        <f t="shared" si="5"/>
        <v>18630216</v>
      </c>
      <c r="M62" s="333"/>
    </row>
    <row r="63" spans="1:13" s="256" customFormat="1" x14ac:dyDescent="0.25">
      <c r="A63" s="274"/>
      <c r="B63" s="511"/>
      <c r="C63" s="381"/>
      <c r="D63" s="273"/>
      <c r="E63" s="272"/>
      <c r="F63" s="275"/>
      <c r="G63" s="255"/>
      <c r="H63" s="333"/>
      <c r="I63" s="334"/>
      <c r="J63" s="682">
        <f>(H63-I63)/1.1</f>
        <v>0</v>
      </c>
      <c r="K63" s="682">
        <f t="shared" si="4"/>
        <v>0</v>
      </c>
      <c r="L63" s="333">
        <f t="shared" si="5"/>
        <v>0</v>
      </c>
      <c r="M63" s="333"/>
    </row>
    <row r="64" spans="1:13" ht="18" x14ac:dyDescent="0.25">
      <c r="A64" s="513" t="s">
        <v>38</v>
      </c>
      <c r="B64" s="512"/>
      <c r="C64" s="515"/>
      <c r="D64" s="514"/>
      <c r="E64" s="519"/>
      <c r="F64" s="519"/>
      <c r="G64" s="516"/>
      <c r="H64" s="413">
        <f>SUM(H6:H63)</f>
        <v>1784753252.5</v>
      </c>
      <c r="I64" s="412"/>
      <c r="J64" s="683">
        <f>SUM(J6:J63)</f>
        <v>1468811439.3636367</v>
      </c>
      <c r="K64" s="683">
        <f>SUM(K6:K63)</f>
        <v>146881143.93636367</v>
      </c>
      <c r="L64" s="414">
        <f>SUM(L6:L63)</f>
        <v>1615692583.3</v>
      </c>
      <c r="M64" s="414"/>
    </row>
    <row r="65" spans="1:13" ht="18" x14ac:dyDescent="0.25">
      <c r="A65" s="510" t="s">
        <v>99</v>
      </c>
      <c r="B65" s="510"/>
      <c r="C65" s="421"/>
      <c r="D65" s="420"/>
      <c r="E65" s="518"/>
      <c r="F65" s="518"/>
      <c r="G65" s="420"/>
      <c r="H65" s="422"/>
      <c r="I65" s="422"/>
      <c r="J65" s="681"/>
      <c r="K65" s="681"/>
      <c r="L65" s="423"/>
      <c r="M65" s="423"/>
    </row>
    <row r="66" spans="1:13" s="256" customFormat="1" x14ac:dyDescent="0.25">
      <c r="A66" s="274">
        <v>44586</v>
      </c>
      <c r="B66" s="511">
        <v>44581</v>
      </c>
      <c r="C66" s="381" t="s">
        <v>788</v>
      </c>
      <c r="D66" s="273" t="s">
        <v>304</v>
      </c>
      <c r="E66" s="275" t="s">
        <v>392</v>
      </c>
      <c r="F66" s="272" t="s">
        <v>2644</v>
      </c>
      <c r="G66" s="255" t="s">
        <v>1259</v>
      </c>
      <c r="H66" s="333">
        <v>6683083.75</v>
      </c>
      <c r="I66" s="334">
        <v>0</v>
      </c>
      <c r="J66" s="682">
        <f t="shared" ref="J66:J97" si="6">(H66-I66)/1.1</f>
        <v>6075530.6818181816</v>
      </c>
      <c r="K66" s="682">
        <f t="shared" ref="K66:K97" si="7">J66*10%</f>
        <v>607553.06818181823</v>
      </c>
      <c r="L66" s="333">
        <f t="shared" ref="L66:L97" si="8">SUM(J66:K66)</f>
        <v>6683083.75</v>
      </c>
      <c r="M66" s="333"/>
    </row>
    <row r="67" spans="1:13" s="256" customFormat="1" x14ac:dyDescent="0.25">
      <c r="A67" s="274">
        <v>44585</v>
      </c>
      <c r="B67" s="511">
        <v>44582</v>
      </c>
      <c r="C67" s="381" t="s">
        <v>791</v>
      </c>
      <c r="D67" s="273" t="s">
        <v>304</v>
      </c>
      <c r="E67" s="275" t="s">
        <v>392</v>
      </c>
      <c r="F67" s="272" t="s">
        <v>2644</v>
      </c>
      <c r="G67" s="255" t="s">
        <v>1260</v>
      </c>
      <c r="H67" s="333">
        <v>18553500</v>
      </c>
      <c r="I67" s="334">
        <v>0</v>
      </c>
      <c r="J67" s="682">
        <f t="shared" si="6"/>
        <v>16866818.18181818</v>
      </c>
      <c r="K67" s="682">
        <f t="shared" si="7"/>
        <v>1686681.8181818181</v>
      </c>
      <c r="L67" s="333">
        <f t="shared" si="8"/>
        <v>18553499.999999996</v>
      </c>
      <c r="M67" s="333"/>
    </row>
    <row r="68" spans="1:13" s="256" customFormat="1" x14ac:dyDescent="0.25">
      <c r="A68" s="274">
        <v>44585</v>
      </c>
      <c r="B68" s="511">
        <v>44582</v>
      </c>
      <c r="C68" s="381" t="s">
        <v>790</v>
      </c>
      <c r="D68" s="273" t="s">
        <v>304</v>
      </c>
      <c r="E68" s="275" t="s">
        <v>392</v>
      </c>
      <c r="F68" s="272" t="s">
        <v>2644</v>
      </c>
      <c r="G68" s="255" t="s">
        <v>1261</v>
      </c>
      <c r="H68" s="333">
        <v>11620875</v>
      </c>
      <c r="I68" s="334">
        <v>0</v>
      </c>
      <c r="J68" s="682">
        <f t="shared" si="6"/>
        <v>10564431.818181816</v>
      </c>
      <c r="K68" s="682">
        <f t="shared" si="7"/>
        <v>1056443.1818181816</v>
      </c>
      <c r="L68" s="333">
        <f t="shared" si="8"/>
        <v>11620874.999999998</v>
      </c>
      <c r="M68" s="333"/>
    </row>
    <row r="69" spans="1:13" s="256" customFormat="1" x14ac:dyDescent="0.25">
      <c r="A69" s="274">
        <v>44585</v>
      </c>
      <c r="B69" s="511">
        <v>44582</v>
      </c>
      <c r="C69" s="381" t="s">
        <v>789</v>
      </c>
      <c r="D69" s="273" t="s">
        <v>304</v>
      </c>
      <c r="E69" s="275" t="s">
        <v>392</v>
      </c>
      <c r="F69" s="272" t="s">
        <v>2644</v>
      </c>
      <c r="G69" s="255" t="s">
        <v>1262</v>
      </c>
      <c r="H69" s="333">
        <v>14364000</v>
      </c>
      <c r="I69" s="334">
        <v>0</v>
      </c>
      <c r="J69" s="682">
        <f t="shared" si="6"/>
        <v>13058181.818181816</v>
      </c>
      <c r="K69" s="682">
        <f t="shared" si="7"/>
        <v>1305818.1818181816</v>
      </c>
      <c r="L69" s="333">
        <f t="shared" si="8"/>
        <v>14363999.999999998</v>
      </c>
      <c r="M69" s="333"/>
    </row>
    <row r="70" spans="1:13" s="256" customFormat="1" x14ac:dyDescent="0.25">
      <c r="A70" s="274">
        <v>44588</v>
      </c>
      <c r="B70" s="511">
        <v>44585</v>
      </c>
      <c r="C70" s="381" t="s">
        <v>792</v>
      </c>
      <c r="D70" s="273" t="s">
        <v>304</v>
      </c>
      <c r="E70" s="275" t="s">
        <v>392</v>
      </c>
      <c r="F70" s="272" t="s">
        <v>2644</v>
      </c>
      <c r="G70" s="255" t="s">
        <v>1263</v>
      </c>
      <c r="H70" s="333">
        <v>16698150</v>
      </c>
      <c r="I70" s="334">
        <v>0</v>
      </c>
      <c r="J70" s="682">
        <f t="shared" si="6"/>
        <v>15180136.363636363</v>
      </c>
      <c r="K70" s="682">
        <f t="shared" si="7"/>
        <v>1518013.6363636365</v>
      </c>
      <c r="L70" s="333">
        <f t="shared" si="8"/>
        <v>16698150</v>
      </c>
      <c r="M70" s="333"/>
    </row>
    <row r="71" spans="1:13" s="256" customFormat="1" x14ac:dyDescent="0.25">
      <c r="A71" s="274">
        <v>44589</v>
      </c>
      <c r="B71" s="511">
        <v>44586</v>
      </c>
      <c r="C71" s="381" t="s">
        <v>793</v>
      </c>
      <c r="D71" s="273" t="s">
        <v>304</v>
      </c>
      <c r="E71" s="275" t="s">
        <v>392</v>
      </c>
      <c r="F71" s="272" t="s">
        <v>2644</v>
      </c>
      <c r="G71" s="255" t="s">
        <v>1264</v>
      </c>
      <c r="H71" s="333">
        <v>1346625</v>
      </c>
      <c r="I71" s="334">
        <v>0</v>
      </c>
      <c r="J71" s="682">
        <f t="shared" si="6"/>
        <v>1224204.5454545454</v>
      </c>
      <c r="K71" s="682">
        <f t="shared" si="7"/>
        <v>122420.45454545454</v>
      </c>
      <c r="L71" s="333">
        <f t="shared" si="8"/>
        <v>1346625</v>
      </c>
      <c r="M71" s="333"/>
    </row>
    <row r="72" spans="1:13" s="256" customFormat="1" x14ac:dyDescent="0.25">
      <c r="A72" s="274">
        <v>44592</v>
      </c>
      <c r="B72" s="511">
        <v>44587</v>
      </c>
      <c r="C72" s="381" t="s">
        <v>1266</v>
      </c>
      <c r="D72" s="273" t="s">
        <v>304</v>
      </c>
      <c r="E72" s="275" t="s">
        <v>392</v>
      </c>
      <c r="F72" s="272" t="s">
        <v>2644</v>
      </c>
      <c r="G72" s="255" t="s">
        <v>1265</v>
      </c>
      <c r="H72" s="333">
        <v>8672265</v>
      </c>
      <c r="I72" s="334">
        <v>0</v>
      </c>
      <c r="J72" s="682">
        <f t="shared" si="6"/>
        <v>7883877.2727272725</v>
      </c>
      <c r="K72" s="682">
        <f t="shared" si="7"/>
        <v>788387.72727272729</v>
      </c>
      <c r="L72" s="333">
        <f t="shared" si="8"/>
        <v>8672265</v>
      </c>
      <c r="M72" s="333"/>
    </row>
    <row r="73" spans="1:13" s="256" customFormat="1" x14ac:dyDescent="0.25">
      <c r="A73" s="274">
        <v>44592</v>
      </c>
      <c r="B73" s="511">
        <v>44588</v>
      </c>
      <c r="C73" s="381" t="s">
        <v>1268</v>
      </c>
      <c r="D73" s="273" t="s">
        <v>304</v>
      </c>
      <c r="E73" s="275" t="s">
        <v>392</v>
      </c>
      <c r="F73" s="272" t="s">
        <v>2644</v>
      </c>
      <c r="G73" s="255" t="s">
        <v>1267</v>
      </c>
      <c r="H73" s="333">
        <v>24815888.129999999</v>
      </c>
      <c r="I73" s="334">
        <v>6272280</v>
      </c>
      <c r="J73" s="682">
        <f t="shared" si="6"/>
        <v>16857825.57272727</v>
      </c>
      <c r="K73" s="682">
        <f t="shared" si="7"/>
        <v>1685782.5572727271</v>
      </c>
      <c r="L73" s="333">
        <f t="shared" si="8"/>
        <v>18543608.129999999</v>
      </c>
      <c r="M73" s="333"/>
    </row>
    <row r="74" spans="1:13" s="256" customFormat="1" x14ac:dyDescent="0.25">
      <c r="A74" s="274">
        <v>44592</v>
      </c>
      <c r="B74" s="511">
        <v>44588</v>
      </c>
      <c r="C74" s="381" t="s">
        <v>1270</v>
      </c>
      <c r="D74" s="273" t="s">
        <v>304</v>
      </c>
      <c r="E74" s="275" t="s">
        <v>392</v>
      </c>
      <c r="F74" s="272" t="s">
        <v>2644</v>
      </c>
      <c r="G74" s="255" t="s">
        <v>1269</v>
      </c>
      <c r="H74" s="333">
        <v>6447840</v>
      </c>
      <c r="I74" s="334">
        <v>0</v>
      </c>
      <c r="J74" s="682">
        <f t="shared" si="6"/>
        <v>5861672.7272727266</v>
      </c>
      <c r="K74" s="682">
        <f t="shared" si="7"/>
        <v>586167.27272727271</v>
      </c>
      <c r="L74" s="333">
        <f t="shared" si="8"/>
        <v>6447839.9999999991</v>
      </c>
      <c r="M74" s="333"/>
    </row>
    <row r="75" spans="1:13" s="256" customFormat="1" x14ac:dyDescent="0.25">
      <c r="A75" s="274">
        <v>44594</v>
      </c>
      <c r="B75" s="511">
        <v>44589</v>
      </c>
      <c r="C75" s="381" t="s">
        <v>1272</v>
      </c>
      <c r="D75" s="273" t="s">
        <v>304</v>
      </c>
      <c r="E75" s="275" t="s">
        <v>392</v>
      </c>
      <c r="F75" s="272" t="s">
        <v>2644</v>
      </c>
      <c r="G75" s="255" t="s">
        <v>1271</v>
      </c>
      <c r="H75" s="333">
        <v>8886062.5</v>
      </c>
      <c r="I75" s="334">
        <v>0</v>
      </c>
      <c r="J75" s="682">
        <f t="shared" si="6"/>
        <v>8078238.6363636358</v>
      </c>
      <c r="K75" s="682">
        <f t="shared" si="7"/>
        <v>807823.86363636365</v>
      </c>
      <c r="L75" s="333">
        <f t="shared" si="8"/>
        <v>8886062.5</v>
      </c>
      <c r="M75" s="333"/>
    </row>
    <row r="76" spans="1:13" s="256" customFormat="1" x14ac:dyDescent="0.25">
      <c r="A76" s="274">
        <v>44596</v>
      </c>
      <c r="B76" s="511">
        <v>44592</v>
      </c>
      <c r="C76" s="381" t="s">
        <v>1274</v>
      </c>
      <c r="D76" s="273" t="s">
        <v>304</v>
      </c>
      <c r="E76" s="275" t="s">
        <v>392</v>
      </c>
      <c r="F76" s="272" t="s">
        <v>2644</v>
      </c>
      <c r="G76" s="255" t="s">
        <v>1273</v>
      </c>
      <c r="H76" s="333">
        <v>15366321.25</v>
      </c>
      <c r="I76" s="334">
        <v>0</v>
      </c>
      <c r="J76" s="682">
        <f t="shared" si="6"/>
        <v>13969382.954545453</v>
      </c>
      <c r="K76" s="682">
        <f t="shared" si="7"/>
        <v>1396938.2954545454</v>
      </c>
      <c r="L76" s="333">
        <f t="shared" si="8"/>
        <v>15366321.249999998</v>
      </c>
      <c r="M76" s="333"/>
    </row>
    <row r="77" spans="1:13" s="256" customFormat="1" x14ac:dyDescent="0.25">
      <c r="A77" s="274">
        <v>44592</v>
      </c>
      <c r="B77" s="511">
        <v>44588</v>
      </c>
      <c r="C77" s="381" t="s">
        <v>804</v>
      </c>
      <c r="D77" s="273" t="s">
        <v>317</v>
      </c>
      <c r="E77" s="275" t="s">
        <v>395</v>
      </c>
      <c r="F77" s="272" t="s">
        <v>396</v>
      </c>
      <c r="G77" s="255" t="s">
        <v>803</v>
      </c>
      <c r="H77" s="333">
        <v>9376500</v>
      </c>
      <c r="I77" s="334">
        <v>0</v>
      </c>
      <c r="J77" s="682">
        <f t="shared" si="6"/>
        <v>8524090.9090909082</v>
      </c>
      <c r="K77" s="682">
        <f t="shared" si="7"/>
        <v>852409.09090909082</v>
      </c>
      <c r="L77" s="333">
        <f t="shared" si="8"/>
        <v>9376500</v>
      </c>
      <c r="M77" s="333"/>
    </row>
    <row r="78" spans="1:13" s="256" customFormat="1" x14ac:dyDescent="0.25">
      <c r="A78" s="274">
        <v>44586</v>
      </c>
      <c r="B78" s="511">
        <v>44581</v>
      </c>
      <c r="C78" s="381">
        <v>22011624</v>
      </c>
      <c r="D78" s="273" t="s">
        <v>400</v>
      </c>
      <c r="E78" s="275" t="s">
        <v>401</v>
      </c>
      <c r="F78" s="272" t="s">
        <v>402</v>
      </c>
      <c r="G78" s="255" t="s">
        <v>662</v>
      </c>
      <c r="H78" s="333">
        <v>28245600</v>
      </c>
      <c r="I78" s="334">
        <v>4801752</v>
      </c>
      <c r="J78" s="682">
        <f t="shared" si="6"/>
        <v>21312589.09090909</v>
      </c>
      <c r="K78" s="682">
        <f t="shared" si="7"/>
        <v>2131258.9090909092</v>
      </c>
      <c r="L78" s="333">
        <f t="shared" si="8"/>
        <v>23443848</v>
      </c>
      <c r="M78" s="333"/>
    </row>
    <row r="79" spans="1:13" s="256" customFormat="1" x14ac:dyDescent="0.25">
      <c r="A79" s="274">
        <v>44586</v>
      </c>
      <c r="B79" s="511">
        <v>44581</v>
      </c>
      <c r="C79" s="381">
        <v>22011636</v>
      </c>
      <c r="D79" s="273" t="s">
        <v>400</v>
      </c>
      <c r="E79" s="275" t="s">
        <v>401</v>
      </c>
      <c r="F79" s="272" t="s">
        <v>402</v>
      </c>
      <c r="G79" s="255" t="s">
        <v>663</v>
      </c>
      <c r="H79" s="333">
        <v>77292000</v>
      </c>
      <c r="I79" s="334">
        <v>13139640</v>
      </c>
      <c r="J79" s="682">
        <f t="shared" si="6"/>
        <v>58320327.272727266</v>
      </c>
      <c r="K79" s="682">
        <f t="shared" si="7"/>
        <v>5832032.7272727266</v>
      </c>
      <c r="L79" s="333">
        <f t="shared" si="8"/>
        <v>64152359.999999993</v>
      </c>
      <c r="M79" s="333"/>
    </row>
    <row r="80" spans="1:13" s="256" customFormat="1" x14ac:dyDescent="0.25">
      <c r="A80" s="274">
        <v>44588</v>
      </c>
      <c r="B80" s="511">
        <v>44582</v>
      </c>
      <c r="C80" s="381">
        <v>22011730</v>
      </c>
      <c r="D80" s="273" t="s">
        <v>400</v>
      </c>
      <c r="E80" s="275" t="s">
        <v>401</v>
      </c>
      <c r="F80" s="272" t="s">
        <v>402</v>
      </c>
      <c r="G80" s="255" t="s">
        <v>711</v>
      </c>
      <c r="H80" s="333">
        <v>28136400</v>
      </c>
      <c r="I80" s="334">
        <v>4783188</v>
      </c>
      <c r="J80" s="682">
        <f t="shared" si="6"/>
        <v>21230192.727272727</v>
      </c>
      <c r="K80" s="682">
        <f t="shared" si="7"/>
        <v>2123019.2727272729</v>
      </c>
      <c r="L80" s="333">
        <f t="shared" si="8"/>
        <v>23353212</v>
      </c>
      <c r="M80" s="333"/>
    </row>
    <row r="81" spans="1:13" s="256" customFormat="1" x14ac:dyDescent="0.25">
      <c r="A81" s="274">
        <v>44588</v>
      </c>
      <c r="B81" s="511">
        <v>44583</v>
      </c>
      <c r="C81" s="381">
        <v>22011794</v>
      </c>
      <c r="D81" s="273" t="s">
        <v>400</v>
      </c>
      <c r="E81" s="275" t="s">
        <v>401</v>
      </c>
      <c r="F81" s="272" t="s">
        <v>402</v>
      </c>
      <c r="G81" s="255" t="s">
        <v>712</v>
      </c>
      <c r="H81" s="333">
        <v>37658400</v>
      </c>
      <c r="I81" s="334">
        <v>6401928</v>
      </c>
      <c r="J81" s="682">
        <f t="shared" si="6"/>
        <v>28414974.545454543</v>
      </c>
      <c r="K81" s="682">
        <f t="shared" si="7"/>
        <v>2841497.4545454546</v>
      </c>
      <c r="L81" s="333">
        <f t="shared" si="8"/>
        <v>31256471.999999996</v>
      </c>
      <c r="M81" s="333"/>
    </row>
    <row r="82" spans="1:13" s="256" customFormat="1" x14ac:dyDescent="0.25">
      <c r="A82" s="274">
        <v>44588</v>
      </c>
      <c r="B82" s="511">
        <v>44583</v>
      </c>
      <c r="C82" s="381">
        <v>22011806</v>
      </c>
      <c r="D82" s="273" t="s">
        <v>400</v>
      </c>
      <c r="E82" s="275" t="s">
        <v>401</v>
      </c>
      <c r="F82" s="272" t="s">
        <v>402</v>
      </c>
      <c r="G82" s="255" t="s">
        <v>713</v>
      </c>
      <c r="H82" s="333">
        <v>15135000</v>
      </c>
      <c r="I82" s="334">
        <v>2572950</v>
      </c>
      <c r="J82" s="682">
        <f t="shared" si="6"/>
        <v>11420045.454545453</v>
      </c>
      <c r="K82" s="682">
        <f t="shared" si="7"/>
        <v>1142004.5454545454</v>
      </c>
      <c r="L82" s="333">
        <f t="shared" si="8"/>
        <v>12562049.999999998</v>
      </c>
      <c r="M82" s="333"/>
    </row>
    <row r="83" spans="1:13" s="256" customFormat="1" x14ac:dyDescent="0.25">
      <c r="A83" s="274">
        <v>44588</v>
      </c>
      <c r="B83" s="511">
        <v>44585</v>
      </c>
      <c r="C83" s="381">
        <v>22011950</v>
      </c>
      <c r="D83" s="273" t="s">
        <v>400</v>
      </c>
      <c r="E83" s="275" t="s">
        <v>401</v>
      </c>
      <c r="F83" s="272" t="s">
        <v>402</v>
      </c>
      <c r="G83" s="255" t="s">
        <v>714</v>
      </c>
      <c r="H83" s="333">
        <v>11114400</v>
      </c>
      <c r="I83" s="334">
        <v>1889448</v>
      </c>
      <c r="J83" s="682">
        <f t="shared" si="6"/>
        <v>8386319.9999999991</v>
      </c>
      <c r="K83" s="682">
        <f t="shared" si="7"/>
        <v>838632</v>
      </c>
      <c r="L83" s="333">
        <f t="shared" si="8"/>
        <v>9224952</v>
      </c>
      <c r="M83" s="333"/>
    </row>
    <row r="84" spans="1:13" s="256" customFormat="1" x14ac:dyDescent="0.25">
      <c r="A84" s="274">
        <v>44589</v>
      </c>
      <c r="B84" s="511">
        <v>44587</v>
      </c>
      <c r="C84" s="381">
        <v>22012159</v>
      </c>
      <c r="D84" s="273" t="s">
        <v>400</v>
      </c>
      <c r="E84" s="275" t="s">
        <v>401</v>
      </c>
      <c r="F84" s="272" t="s">
        <v>402</v>
      </c>
      <c r="G84" s="255" t="s">
        <v>715</v>
      </c>
      <c r="H84" s="333">
        <v>44690400</v>
      </c>
      <c r="I84" s="334">
        <v>7597368</v>
      </c>
      <c r="J84" s="682">
        <f t="shared" si="6"/>
        <v>33720938.18181818</v>
      </c>
      <c r="K84" s="682">
        <f t="shared" si="7"/>
        <v>3372093.8181818184</v>
      </c>
      <c r="L84" s="333">
        <f t="shared" si="8"/>
        <v>37093032</v>
      </c>
      <c r="M84" s="333"/>
    </row>
    <row r="85" spans="1:13" s="256" customFormat="1" x14ac:dyDescent="0.25">
      <c r="A85" s="274">
        <v>44592</v>
      </c>
      <c r="B85" s="511">
        <v>44588</v>
      </c>
      <c r="C85" s="381">
        <v>22012275</v>
      </c>
      <c r="D85" s="273" t="s">
        <v>400</v>
      </c>
      <c r="E85" s="275" t="s">
        <v>401</v>
      </c>
      <c r="F85" s="272" t="s">
        <v>402</v>
      </c>
      <c r="G85" s="255" t="s">
        <v>778</v>
      </c>
      <c r="H85" s="333">
        <v>5238000</v>
      </c>
      <c r="I85" s="334">
        <v>890460</v>
      </c>
      <c r="J85" s="682">
        <f t="shared" si="6"/>
        <v>3952309.0909090904</v>
      </c>
      <c r="K85" s="682">
        <f t="shared" si="7"/>
        <v>395230.90909090906</v>
      </c>
      <c r="L85" s="333">
        <f t="shared" si="8"/>
        <v>4347539.9999999991</v>
      </c>
      <c r="M85" s="333"/>
    </row>
    <row r="86" spans="1:13" s="256" customFormat="1" x14ac:dyDescent="0.25">
      <c r="A86" s="717">
        <v>44599</v>
      </c>
      <c r="B86" s="718">
        <v>44595</v>
      </c>
      <c r="C86" s="719" t="s">
        <v>1539</v>
      </c>
      <c r="D86" s="720" t="s">
        <v>304</v>
      </c>
      <c r="E86" s="721" t="s">
        <v>392</v>
      </c>
      <c r="F86" s="722" t="s">
        <v>2644</v>
      </c>
      <c r="G86" s="723" t="s">
        <v>1538</v>
      </c>
      <c r="H86" s="724">
        <v>13149710</v>
      </c>
      <c r="I86" s="725">
        <v>0</v>
      </c>
      <c r="J86" s="726">
        <f t="shared" si="6"/>
        <v>11954281.818181816</v>
      </c>
      <c r="K86" s="726">
        <f t="shared" si="7"/>
        <v>1195428.1818181816</v>
      </c>
      <c r="L86" s="724">
        <f t="shared" si="8"/>
        <v>13149709.999999998</v>
      </c>
      <c r="M86" s="724"/>
    </row>
    <row r="87" spans="1:13" s="256" customFormat="1" x14ac:dyDescent="0.25">
      <c r="A87" s="274">
        <v>44600</v>
      </c>
      <c r="B87" s="511">
        <v>44596</v>
      </c>
      <c r="C87" s="381" t="s">
        <v>1541</v>
      </c>
      <c r="D87" s="273" t="s">
        <v>304</v>
      </c>
      <c r="E87" s="275" t="s">
        <v>392</v>
      </c>
      <c r="F87" s="272" t="s">
        <v>2644</v>
      </c>
      <c r="G87" s="255" t="s">
        <v>1540</v>
      </c>
      <c r="H87" s="333">
        <v>67988768.75</v>
      </c>
      <c r="I87" s="334">
        <v>0</v>
      </c>
      <c r="J87" s="682">
        <f t="shared" si="6"/>
        <v>61807971.590909086</v>
      </c>
      <c r="K87" s="682">
        <f t="shared" si="7"/>
        <v>6180797.1590909092</v>
      </c>
      <c r="L87" s="333">
        <f t="shared" si="8"/>
        <v>67988768.75</v>
      </c>
      <c r="M87" s="333"/>
    </row>
    <row r="88" spans="1:13" s="256" customFormat="1" x14ac:dyDescent="0.25">
      <c r="A88" s="274">
        <v>44600</v>
      </c>
      <c r="B88" s="511">
        <v>44596</v>
      </c>
      <c r="C88" s="381" t="s">
        <v>1543</v>
      </c>
      <c r="D88" s="273" t="s">
        <v>304</v>
      </c>
      <c r="E88" s="275" t="s">
        <v>392</v>
      </c>
      <c r="F88" s="272" t="s">
        <v>2644</v>
      </c>
      <c r="G88" s="255" t="s">
        <v>1542</v>
      </c>
      <c r="H88" s="333">
        <v>44618507.5</v>
      </c>
      <c r="I88" s="334">
        <v>0</v>
      </c>
      <c r="J88" s="682">
        <f t="shared" si="6"/>
        <v>40562279.545454539</v>
      </c>
      <c r="K88" s="682">
        <f t="shared" si="7"/>
        <v>4056227.9545454541</v>
      </c>
      <c r="L88" s="333">
        <f t="shared" si="8"/>
        <v>44618507.499999993</v>
      </c>
      <c r="M88" s="333"/>
    </row>
    <row r="89" spans="1:13" s="256" customFormat="1" x14ac:dyDescent="0.25">
      <c r="A89" s="274">
        <v>44600</v>
      </c>
      <c r="B89" s="511">
        <v>44596</v>
      </c>
      <c r="C89" s="381" t="s">
        <v>1545</v>
      </c>
      <c r="D89" s="273" t="s">
        <v>304</v>
      </c>
      <c r="E89" s="275" t="s">
        <v>392</v>
      </c>
      <c r="F89" s="272" t="s">
        <v>2644</v>
      </c>
      <c r="G89" s="255" t="s">
        <v>1544</v>
      </c>
      <c r="H89" s="333">
        <v>43289504</v>
      </c>
      <c r="I89" s="334">
        <v>0</v>
      </c>
      <c r="J89" s="682">
        <f t="shared" ref="J89" si="9">(H89-I89)/1.1</f>
        <v>39354094.545454539</v>
      </c>
      <c r="K89" s="682">
        <f t="shared" ref="K89" si="10">J89*10%</f>
        <v>3935409.4545454541</v>
      </c>
      <c r="L89" s="333">
        <f t="shared" si="8"/>
        <v>43289503.999999993</v>
      </c>
      <c r="M89" s="333"/>
    </row>
    <row r="90" spans="1:13" s="256" customFormat="1" x14ac:dyDescent="0.25">
      <c r="A90" s="274">
        <v>44603</v>
      </c>
      <c r="B90" s="511">
        <v>44600</v>
      </c>
      <c r="C90" s="381" t="s">
        <v>1547</v>
      </c>
      <c r="D90" s="273" t="s">
        <v>304</v>
      </c>
      <c r="E90" s="275" t="s">
        <v>392</v>
      </c>
      <c r="F90" s="272" t="s">
        <v>2644</v>
      </c>
      <c r="G90" s="255" t="s">
        <v>1546</v>
      </c>
      <c r="H90" s="333">
        <v>11469920</v>
      </c>
      <c r="I90" s="334">
        <v>0</v>
      </c>
      <c r="J90" s="682">
        <f t="shared" si="6"/>
        <v>10427200</v>
      </c>
      <c r="K90" s="682">
        <f t="shared" si="7"/>
        <v>1042720</v>
      </c>
      <c r="L90" s="333">
        <f t="shared" si="8"/>
        <v>11469920</v>
      </c>
      <c r="M90" s="333"/>
    </row>
    <row r="91" spans="1:13" s="256" customFormat="1" x14ac:dyDescent="0.25">
      <c r="A91" s="274">
        <v>44606</v>
      </c>
      <c r="B91" s="511">
        <v>44601</v>
      </c>
      <c r="C91" s="381" t="s">
        <v>1549</v>
      </c>
      <c r="D91" s="273" t="s">
        <v>304</v>
      </c>
      <c r="E91" s="275" t="s">
        <v>392</v>
      </c>
      <c r="F91" s="272" t="s">
        <v>2644</v>
      </c>
      <c r="G91" s="255" t="s">
        <v>1548</v>
      </c>
      <c r="H91" s="333">
        <v>22838760</v>
      </c>
      <c r="I91" s="334">
        <v>0</v>
      </c>
      <c r="J91" s="682">
        <f t="shared" si="6"/>
        <v>20762509.09090909</v>
      </c>
      <c r="K91" s="682">
        <f t="shared" si="7"/>
        <v>2076250.9090909092</v>
      </c>
      <c r="L91" s="333">
        <f t="shared" si="8"/>
        <v>22838760</v>
      </c>
      <c r="M91" s="333"/>
    </row>
    <row r="92" spans="1:13" s="256" customFormat="1" x14ac:dyDescent="0.25">
      <c r="A92" s="274">
        <v>44606</v>
      </c>
      <c r="B92" s="511">
        <v>44602</v>
      </c>
      <c r="C92" s="381" t="s">
        <v>1551</v>
      </c>
      <c r="D92" s="273" t="s">
        <v>304</v>
      </c>
      <c r="E92" s="275" t="s">
        <v>392</v>
      </c>
      <c r="F92" s="272" t="s">
        <v>2644</v>
      </c>
      <c r="G92" s="255" t="s">
        <v>1550</v>
      </c>
      <c r="H92" s="333">
        <v>8759795.6300000008</v>
      </c>
      <c r="I92" s="334">
        <v>0</v>
      </c>
      <c r="J92" s="682">
        <f t="shared" si="6"/>
        <v>7963450.5727272732</v>
      </c>
      <c r="K92" s="682">
        <f t="shared" si="7"/>
        <v>796345.05727272737</v>
      </c>
      <c r="L92" s="333">
        <f t="shared" si="8"/>
        <v>8759795.6300000008</v>
      </c>
      <c r="M92" s="333"/>
    </row>
    <row r="93" spans="1:13" s="256" customFormat="1" x14ac:dyDescent="0.25">
      <c r="A93" s="274">
        <v>44609</v>
      </c>
      <c r="B93" s="511">
        <v>44603</v>
      </c>
      <c r="C93" s="381" t="s">
        <v>1553</v>
      </c>
      <c r="D93" s="273" t="s">
        <v>304</v>
      </c>
      <c r="E93" s="275" t="s">
        <v>392</v>
      </c>
      <c r="F93" s="272" t="s">
        <v>2644</v>
      </c>
      <c r="G93" s="255" t="s">
        <v>1552</v>
      </c>
      <c r="H93" s="333">
        <v>22270683.75</v>
      </c>
      <c r="I93" s="334">
        <v>0</v>
      </c>
      <c r="J93" s="682">
        <f t="shared" si="6"/>
        <v>20246076.136363633</v>
      </c>
      <c r="K93" s="682">
        <f t="shared" si="7"/>
        <v>2024607.6136363633</v>
      </c>
      <c r="L93" s="333">
        <f t="shared" si="8"/>
        <v>22270683.749999996</v>
      </c>
      <c r="M93" s="333"/>
    </row>
    <row r="94" spans="1:13" s="256" customFormat="1" x14ac:dyDescent="0.25">
      <c r="A94" s="274">
        <v>44609</v>
      </c>
      <c r="B94" s="511">
        <v>44604</v>
      </c>
      <c r="C94" s="381" t="s">
        <v>1555</v>
      </c>
      <c r="D94" s="273" t="s">
        <v>304</v>
      </c>
      <c r="E94" s="275" t="s">
        <v>392</v>
      </c>
      <c r="F94" s="272" t="s">
        <v>2644</v>
      </c>
      <c r="G94" s="255" t="s">
        <v>1554</v>
      </c>
      <c r="H94" s="333">
        <v>70455490</v>
      </c>
      <c r="I94" s="334">
        <v>0</v>
      </c>
      <c r="J94" s="682">
        <f t="shared" si="6"/>
        <v>64050445.454545446</v>
      </c>
      <c r="K94" s="682">
        <f t="shared" si="7"/>
        <v>6405044.5454545449</v>
      </c>
      <c r="L94" s="333">
        <f t="shared" si="8"/>
        <v>70455489.999999985</v>
      </c>
      <c r="M94" s="333"/>
    </row>
    <row r="95" spans="1:13" s="256" customFormat="1" x14ac:dyDescent="0.25">
      <c r="A95" s="274">
        <v>44609</v>
      </c>
      <c r="B95" s="511">
        <v>44604</v>
      </c>
      <c r="C95" s="381" t="s">
        <v>1557</v>
      </c>
      <c r="D95" s="273" t="s">
        <v>304</v>
      </c>
      <c r="E95" s="275" t="s">
        <v>392</v>
      </c>
      <c r="F95" s="272" t="s">
        <v>2644</v>
      </c>
      <c r="G95" s="255" t="s">
        <v>1556</v>
      </c>
      <c r="H95" s="333">
        <v>32944598.75</v>
      </c>
      <c r="I95" s="334">
        <v>0</v>
      </c>
      <c r="J95" s="682">
        <f t="shared" si="6"/>
        <v>29949635.227272727</v>
      </c>
      <c r="K95" s="682">
        <f t="shared" si="7"/>
        <v>2994963.5227272729</v>
      </c>
      <c r="L95" s="333">
        <f t="shared" si="8"/>
        <v>32944598.75</v>
      </c>
      <c r="M95" s="333"/>
    </row>
    <row r="96" spans="1:13" s="256" customFormat="1" x14ac:dyDescent="0.25">
      <c r="A96" s="274">
        <v>44613</v>
      </c>
      <c r="B96" s="511">
        <v>44609</v>
      </c>
      <c r="C96" s="381" t="s">
        <v>1673</v>
      </c>
      <c r="D96" s="273" t="s">
        <v>304</v>
      </c>
      <c r="E96" s="275" t="s">
        <v>392</v>
      </c>
      <c r="F96" s="272" t="s">
        <v>2644</v>
      </c>
      <c r="G96" s="255" t="s">
        <v>1695</v>
      </c>
      <c r="H96" s="333">
        <v>9605925</v>
      </c>
      <c r="I96" s="334">
        <v>0</v>
      </c>
      <c r="J96" s="682">
        <f t="shared" si="6"/>
        <v>8732659.0909090899</v>
      </c>
      <c r="K96" s="682">
        <f t="shared" si="7"/>
        <v>873265.90909090906</v>
      </c>
      <c r="L96" s="333">
        <f t="shared" si="8"/>
        <v>9605924.9999999981</v>
      </c>
      <c r="M96" s="333"/>
    </row>
    <row r="97" spans="1:13" s="256" customFormat="1" x14ac:dyDescent="0.25">
      <c r="A97" s="274">
        <v>44615</v>
      </c>
      <c r="B97" s="511">
        <v>44610</v>
      </c>
      <c r="C97" s="381" t="s">
        <v>1674</v>
      </c>
      <c r="D97" s="273" t="s">
        <v>304</v>
      </c>
      <c r="E97" s="275" t="s">
        <v>392</v>
      </c>
      <c r="F97" s="272" t="s">
        <v>2644</v>
      </c>
      <c r="G97" s="255" t="s">
        <v>1696</v>
      </c>
      <c r="H97" s="333">
        <v>14872392.5</v>
      </c>
      <c r="I97" s="334">
        <v>0</v>
      </c>
      <c r="J97" s="682">
        <f t="shared" si="6"/>
        <v>13520356.818181816</v>
      </c>
      <c r="K97" s="682">
        <f t="shared" si="7"/>
        <v>1352035.6818181816</v>
      </c>
      <c r="L97" s="333">
        <f t="shared" si="8"/>
        <v>14872392.499999998</v>
      </c>
      <c r="M97" s="333"/>
    </row>
    <row r="98" spans="1:13" s="256" customFormat="1" x14ac:dyDescent="0.25">
      <c r="A98" s="274">
        <v>44616</v>
      </c>
      <c r="B98" s="511">
        <v>44613</v>
      </c>
      <c r="C98" s="381" t="s">
        <v>1675</v>
      </c>
      <c r="D98" s="273" t="s">
        <v>304</v>
      </c>
      <c r="E98" s="275" t="s">
        <v>392</v>
      </c>
      <c r="F98" s="272" t="s">
        <v>2644</v>
      </c>
      <c r="G98" s="255" t="s">
        <v>1697</v>
      </c>
      <c r="H98" s="333">
        <v>16389756.25</v>
      </c>
      <c r="I98" s="334">
        <v>0</v>
      </c>
      <c r="J98" s="682">
        <f t="shared" ref="J98:J129" si="11">(H98-I98)/1.1</f>
        <v>14899778.409090908</v>
      </c>
      <c r="K98" s="682">
        <f t="shared" ref="K98:K129" si="12">J98*10%</f>
        <v>1489977.8409090908</v>
      </c>
      <c r="L98" s="333">
        <f t="shared" ref="L98:L129" si="13">SUM(J98:K98)</f>
        <v>16389756.25</v>
      </c>
      <c r="M98" s="333"/>
    </row>
    <row r="99" spans="1:13" s="256" customFormat="1" x14ac:dyDescent="0.25">
      <c r="A99" s="274">
        <v>44616</v>
      </c>
      <c r="B99" s="511">
        <v>44613</v>
      </c>
      <c r="C99" s="381" t="s">
        <v>1676</v>
      </c>
      <c r="D99" s="273" t="s">
        <v>304</v>
      </c>
      <c r="E99" s="275" t="s">
        <v>392</v>
      </c>
      <c r="F99" s="272" t="s">
        <v>2644</v>
      </c>
      <c r="G99" s="255" t="s">
        <v>1698</v>
      </c>
      <c r="H99" s="333">
        <v>7714636.5</v>
      </c>
      <c r="I99" s="334">
        <v>70794</v>
      </c>
      <c r="J99" s="682">
        <f t="shared" si="11"/>
        <v>6948947.7272727266</v>
      </c>
      <c r="K99" s="682">
        <f t="shared" si="12"/>
        <v>694894.77272727271</v>
      </c>
      <c r="L99" s="333">
        <f t="shared" si="13"/>
        <v>7643842.4999999991</v>
      </c>
      <c r="M99" s="333"/>
    </row>
    <row r="100" spans="1:13" s="256" customFormat="1" x14ac:dyDescent="0.25">
      <c r="A100" s="274">
        <v>44616</v>
      </c>
      <c r="B100" s="511">
        <v>44613</v>
      </c>
      <c r="C100" s="381" t="s">
        <v>1677</v>
      </c>
      <c r="D100" s="273" t="s">
        <v>304</v>
      </c>
      <c r="E100" s="275" t="s">
        <v>392</v>
      </c>
      <c r="F100" s="272" t="s">
        <v>2644</v>
      </c>
      <c r="G100" s="255" t="s">
        <v>1699</v>
      </c>
      <c r="H100" s="333">
        <v>8873510.6300000008</v>
      </c>
      <c r="I100" s="334">
        <v>0</v>
      </c>
      <c r="J100" s="682">
        <f t="shared" si="11"/>
        <v>8066827.8454545457</v>
      </c>
      <c r="K100" s="682">
        <f t="shared" si="12"/>
        <v>806682.78454545466</v>
      </c>
      <c r="L100" s="333">
        <f t="shared" si="13"/>
        <v>8873510.6300000008</v>
      </c>
      <c r="M100" s="333"/>
    </row>
    <row r="101" spans="1:13" s="256" customFormat="1" x14ac:dyDescent="0.25">
      <c r="A101" s="274">
        <v>44621</v>
      </c>
      <c r="B101" s="511">
        <v>44614</v>
      </c>
      <c r="C101" s="381" t="s">
        <v>1701</v>
      </c>
      <c r="D101" s="273" t="s">
        <v>304</v>
      </c>
      <c r="E101" s="275" t="s">
        <v>392</v>
      </c>
      <c r="F101" s="272" t="s">
        <v>2644</v>
      </c>
      <c r="G101" s="255" t="s">
        <v>1700</v>
      </c>
      <c r="H101" s="333">
        <v>29887095</v>
      </c>
      <c r="I101" s="334">
        <v>894757.5</v>
      </c>
      <c r="J101" s="682">
        <f t="shared" si="11"/>
        <v>26356670.454545453</v>
      </c>
      <c r="K101" s="682">
        <f t="shared" si="12"/>
        <v>2635667.0454545454</v>
      </c>
      <c r="L101" s="333">
        <f t="shared" si="13"/>
        <v>28992337.5</v>
      </c>
      <c r="M101" s="333"/>
    </row>
    <row r="102" spans="1:13" s="256" customFormat="1" x14ac:dyDescent="0.25">
      <c r="A102" s="274">
        <v>44618</v>
      </c>
      <c r="B102" s="511">
        <v>44615</v>
      </c>
      <c r="C102" s="381" t="s">
        <v>1678</v>
      </c>
      <c r="D102" s="273" t="s">
        <v>304</v>
      </c>
      <c r="E102" s="275" t="s">
        <v>392</v>
      </c>
      <c r="F102" s="272" t="s">
        <v>2644</v>
      </c>
      <c r="G102" s="255" t="s">
        <v>1702</v>
      </c>
      <c r="H102" s="333">
        <v>16728075</v>
      </c>
      <c r="I102" s="334">
        <v>0</v>
      </c>
      <c r="J102" s="682">
        <f t="shared" si="11"/>
        <v>15207340.909090908</v>
      </c>
      <c r="K102" s="682">
        <f t="shared" si="12"/>
        <v>1520734.0909090908</v>
      </c>
      <c r="L102" s="333">
        <f t="shared" si="13"/>
        <v>16728075</v>
      </c>
      <c r="M102" s="333"/>
    </row>
    <row r="103" spans="1:13" s="256" customFormat="1" x14ac:dyDescent="0.25">
      <c r="A103" s="274">
        <v>44618</v>
      </c>
      <c r="B103" s="511">
        <v>44615</v>
      </c>
      <c r="C103" s="381" t="s">
        <v>1679</v>
      </c>
      <c r="D103" s="273" t="s">
        <v>304</v>
      </c>
      <c r="E103" s="275" t="s">
        <v>392</v>
      </c>
      <c r="F103" s="272" t="s">
        <v>2644</v>
      </c>
      <c r="G103" s="255" t="s">
        <v>1703</v>
      </c>
      <c r="H103" s="333">
        <v>9846156.25</v>
      </c>
      <c r="I103" s="334">
        <v>0</v>
      </c>
      <c r="J103" s="682">
        <f t="shared" si="11"/>
        <v>8951051.1363636348</v>
      </c>
      <c r="K103" s="682">
        <f t="shared" si="12"/>
        <v>895105.11363636353</v>
      </c>
      <c r="L103" s="333">
        <f t="shared" si="13"/>
        <v>9846156.2499999981</v>
      </c>
      <c r="M103" s="333"/>
    </row>
    <row r="104" spans="1:13" s="256" customFormat="1" x14ac:dyDescent="0.25">
      <c r="A104" s="274">
        <v>44622</v>
      </c>
      <c r="B104" s="511">
        <v>44616</v>
      </c>
      <c r="C104" s="381" t="s">
        <v>1705</v>
      </c>
      <c r="D104" s="273" t="s">
        <v>304</v>
      </c>
      <c r="E104" s="275" t="s">
        <v>392</v>
      </c>
      <c r="F104" s="272" t="s">
        <v>2644</v>
      </c>
      <c r="G104" s="255" t="s">
        <v>1704</v>
      </c>
      <c r="H104" s="333">
        <v>14328090</v>
      </c>
      <c r="I104" s="334">
        <v>0</v>
      </c>
      <c r="J104" s="682">
        <f t="shared" si="11"/>
        <v>13025536.363636363</v>
      </c>
      <c r="K104" s="682">
        <f t="shared" si="12"/>
        <v>1302553.6363636365</v>
      </c>
      <c r="L104" s="333">
        <f t="shared" si="13"/>
        <v>14328090</v>
      </c>
      <c r="M104" s="333"/>
    </row>
    <row r="105" spans="1:13" s="256" customFormat="1" x14ac:dyDescent="0.25">
      <c r="A105" s="274">
        <v>44623</v>
      </c>
      <c r="B105" s="511">
        <v>44618</v>
      </c>
      <c r="C105" s="381" t="s">
        <v>1707</v>
      </c>
      <c r="D105" s="273" t="s">
        <v>304</v>
      </c>
      <c r="E105" s="275" t="s">
        <v>392</v>
      </c>
      <c r="F105" s="272" t="s">
        <v>2644</v>
      </c>
      <c r="G105" s="255" t="s">
        <v>1706</v>
      </c>
      <c r="H105" s="333">
        <v>7585845</v>
      </c>
      <c r="I105" s="334">
        <v>353970</v>
      </c>
      <c r="J105" s="682">
        <f t="shared" si="11"/>
        <v>6574431.8181818174</v>
      </c>
      <c r="K105" s="682">
        <f t="shared" si="12"/>
        <v>657443.18181818177</v>
      </c>
      <c r="L105" s="333">
        <f t="shared" si="13"/>
        <v>7231874.9999999991</v>
      </c>
      <c r="M105" s="333"/>
    </row>
    <row r="106" spans="1:13" s="256" customFormat="1" x14ac:dyDescent="0.25">
      <c r="A106" s="274">
        <v>44613</v>
      </c>
      <c r="B106" s="511">
        <v>44609</v>
      </c>
      <c r="C106" s="381" t="s">
        <v>1536</v>
      </c>
      <c r="D106" s="670" t="s">
        <v>321</v>
      </c>
      <c r="E106" s="669" t="s">
        <v>393</v>
      </c>
      <c r="F106" s="668" t="s">
        <v>394</v>
      </c>
      <c r="G106" s="255" t="s">
        <v>1535</v>
      </c>
      <c r="H106" s="333">
        <v>9483107.9900000002</v>
      </c>
      <c r="I106" s="334">
        <v>0</v>
      </c>
      <c r="J106" s="682">
        <f t="shared" si="11"/>
        <v>8621007.2636363637</v>
      </c>
      <c r="K106" s="682">
        <f t="shared" si="12"/>
        <v>862100.72636363644</v>
      </c>
      <c r="L106" s="333">
        <f t="shared" si="13"/>
        <v>9483107.9900000002</v>
      </c>
      <c r="M106" s="333"/>
    </row>
    <row r="107" spans="1:13" s="256" customFormat="1" x14ac:dyDescent="0.25">
      <c r="A107" s="274">
        <v>44602</v>
      </c>
      <c r="B107" s="511">
        <v>44597</v>
      </c>
      <c r="C107" s="381" t="s">
        <v>1667</v>
      </c>
      <c r="D107" s="273" t="s">
        <v>317</v>
      </c>
      <c r="E107" s="275" t="s">
        <v>395</v>
      </c>
      <c r="F107" s="272" t="s">
        <v>396</v>
      </c>
      <c r="G107" s="255" t="s">
        <v>1666</v>
      </c>
      <c r="H107" s="333">
        <v>31404625</v>
      </c>
      <c r="I107" s="334">
        <v>0</v>
      </c>
      <c r="J107" s="682">
        <f t="shared" si="11"/>
        <v>28549659.09090909</v>
      </c>
      <c r="K107" s="682">
        <f t="shared" si="12"/>
        <v>2854965.9090909092</v>
      </c>
      <c r="L107" s="333">
        <f t="shared" si="13"/>
        <v>31404625</v>
      </c>
      <c r="M107" s="333"/>
    </row>
    <row r="108" spans="1:13" s="256" customFormat="1" x14ac:dyDescent="0.25">
      <c r="A108" s="274">
        <v>44611</v>
      </c>
      <c r="B108" s="511">
        <v>44604</v>
      </c>
      <c r="C108" s="381" t="s">
        <v>1669</v>
      </c>
      <c r="D108" s="273" t="s">
        <v>317</v>
      </c>
      <c r="E108" s="275" t="s">
        <v>395</v>
      </c>
      <c r="F108" s="272" t="s">
        <v>396</v>
      </c>
      <c r="G108" s="255" t="s">
        <v>1668</v>
      </c>
      <c r="H108" s="333">
        <v>7281750</v>
      </c>
      <c r="I108" s="334">
        <v>0</v>
      </c>
      <c r="J108" s="682">
        <f t="shared" si="11"/>
        <v>6619772.7272727266</v>
      </c>
      <c r="K108" s="682">
        <f t="shared" si="12"/>
        <v>661977.27272727271</v>
      </c>
      <c r="L108" s="333">
        <f t="shared" si="13"/>
        <v>7281749.9999999991</v>
      </c>
      <c r="M108" s="333"/>
    </row>
    <row r="109" spans="1:13" s="256" customFormat="1" x14ac:dyDescent="0.25">
      <c r="A109" s="274">
        <v>44592</v>
      </c>
      <c r="B109" s="511">
        <v>44594</v>
      </c>
      <c r="C109" s="381">
        <v>22020006</v>
      </c>
      <c r="D109" s="273" t="s">
        <v>400</v>
      </c>
      <c r="E109" s="275" t="s">
        <v>401</v>
      </c>
      <c r="F109" s="272" t="s">
        <v>402</v>
      </c>
      <c r="G109" s="255" t="s">
        <v>1558</v>
      </c>
      <c r="H109" s="333">
        <v>48161800</v>
      </c>
      <c r="I109" s="334">
        <v>8187506</v>
      </c>
      <c r="J109" s="682">
        <f t="shared" si="11"/>
        <v>36340267.272727273</v>
      </c>
      <c r="K109" s="682">
        <f t="shared" si="12"/>
        <v>3634026.7272727275</v>
      </c>
      <c r="L109" s="333">
        <f t="shared" si="13"/>
        <v>39974294</v>
      </c>
      <c r="M109" s="333"/>
    </row>
    <row r="110" spans="1:13" s="256" customFormat="1" x14ac:dyDescent="0.25">
      <c r="A110" s="274">
        <v>44594</v>
      </c>
      <c r="B110" s="511">
        <v>44595</v>
      </c>
      <c r="C110" s="381">
        <v>22020049</v>
      </c>
      <c r="D110" s="273" t="s">
        <v>400</v>
      </c>
      <c r="E110" s="275" t="s">
        <v>401</v>
      </c>
      <c r="F110" s="272" t="s">
        <v>402</v>
      </c>
      <c r="G110" s="255" t="s">
        <v>1559</v>
      </c>
      <c r="H110" s="333">
        <v>40606600</v>
      </c>
      <c r="I110" s="334">
        <v>6903122</v>
      </c>
      <c r="J110" s="682">
        <f t="shared" si="11"/>
        <v>30639525.454545453</v>
      </c>
      <c r="K110" s="682">
        <f t="shared" si="12"/>
        <v>3063952.5454545454</v>
      </c>
      <c r="L110" s="333">
        <f t="shared" si="13"/>
        <v>33703478</v>
      </c>
      <c r="M110" s="333"/>
    </row>
    <row r="111" spans="1:13" s="256" customFormat="1" x14ac:dyDescent="0.25">
      <c r="A111" s="274">
        <v>44594</v>
      </c>
      <c r="B111" s="511">
        <v>44595</v>
      </c>
      <c r="C111" s="381">
        <v>22020050</v>
      </c>
      <c r="D111" s="273" t="s">
        <v>400</v>
      </c>
      <c r="E111" s="275" t="s">
        <v>401</v>
      </c>
      <c r="F111" s="272" t="s">
        <v>402</v>
      </c>
      <c r="G111" s="255" t="s">
        <v>1560</v>
      </c>
      <c r="H111" s="333">
        <v>9823200</v>
      </c>
      <c r="I111" s="334">
        <v>1669944</v>
      </c>
      <c r="J111" s="682">
        <f t="shared" si="11"/>
        <v>7412050.9090909082</v>
      </c>
      <c r="K111" s="682">
        <f t="shared" si="12"/>
        <v>741205.09090909082</v>
      </c>
      <c r="L111" s="333">
        <f t="shared" si="13"/>
        <v>8153255.9999999991</v>
      </c>
      <c r="M111" s="333"/>
    </row>
    <row r="112" spans="1:13" s="256" customFormat="1" x14ac:dyDescent="0.25">
      <c r="A112" s="274">
        <v>44599</v>
      </c>
      <c r="B112" s="511">
        <v>44595</v>
      </c>
      <c r="C112" s="381">
        <v>22020085</v>
      </c>
      <c r="D112" s="273" t="s">
        <v>400</v>
      </c>
      <c r="E112" s="275" t="s">
        <v>401</v>
      </c>
      <c r="F112" s="272" t="s">
        <v>402</v>
      </c>
      <c r="G112" s="255" t="s">
        <v>1561</v>
      </c>
      <c r="H112" s="333">
        <v>27842400</v>
      </c>
      <c r="I112" s="334">
        <v>4733208</v>
      </c>
      <c r="J112" s="682">
        <f t="shared" si="11"/>
        <v>21008356.363636363</v>
      </c>
      <c r="K112" s="682">
        <f t="shared" si="12"/>
        <v>2100835.6363636362</v>
      </c>
      <c r="L112" s="333">
        <f t="shared" si="13"/>
        <v>23109192</v>
      </c>
      <c r="M112" s="333"/>
    </row>
    <row r="113" spans="1:13" s="256" customFormat="1" x14ac:dyDescent="0.25">
      <c r="A113" s="274">
        <v>44600</v>
      </c>
      <c r="B113" s="511">
        <v>44597</v>
      </c>
      <c r="C113" s="381">
        <v>22020192</v>
      </c>
      <c r="D113" s="273" t="s">
        <v>400</v>
      </c>
      <c r="E113" s="275" t="s">
        <v>401</v>
      </c>
      <c r="F113" s="272" t="s">
        <v>402</v>
      </c>
      <c r="G113" s="255" t="s">
        <v>1562</v>
      </c>
      <c r="H113" s="333">
        <v>24260800</v>
      </c>
      <c r="I113" s="334">
        <v>4124336</v>
      </c>
      <c r="J113" s="682">
        <f t="shared" si="11"/>
        <v>18305876.363636363</v>
      </c>
      <c r="K113" s="682">
        <f t="shared" si="12"/>
        <v>1830587.6363636365</v>
      </c>
      <c r="L113" s="333">
        <f t="shared" si="13"/>
        <v>20136464</v>
      </c>
      <c r="M113" s="333"/>
    </row>
    <row r="114" spans="1:13" s="256" customFormat="1" x14ac:dyDescent="0.25">
      <c r="A114" s="274">
        <v>44600</v>
      </c>
      <c r="B114" s="511">
        <v>44597</v>
      </c>
      <c r="C114" s="381">
        <v>22020200</v>
      </c>
      <c r="D114" s="273" t="s">
        <v>400</v>
      </c>
      <c r="E114" s="275" t="s">
        <v>401</v>
      </c>
      <c r="F114" s="272" t="s">
        <v>402</v>
      </c>
      <c r="G114" s="255" t="s">
        <v>1563</v>
      </c>
      <c r="H114" s="333">
        <v>65788800</v>
      </c>
      <c r="I114" s="334">
        <v>11184096</v>
      </c>
      <c r="J114" s="682">
        <f t="shared" si="11"/>
        <v>49640639.999999993</v>
      </c>
      <c r="K114" s="682">
        <f t="shared" si="12"/>
        <v>4964063.9999999991</v>
      </c>
      <c r="L114" s="333">
        <f t="shared" si="13"/>
        <v>54604703.999999993</v>
      </c>
      <c r="M114" s="333"/>
    </row>
    <row r="115" spans="1:13" s="256" customFormat="1" x14ac:dyDescent="0.25">
      <c r="A115" s="274">
        <v>44600</v>
      </c>
      <c r="B115" s="511">
        <v>44597</v>
      </c>
      <c r="C115" s="381">
        <v>22020215</v>
      </c>
      <c r="D115" s="273" t="s">
        <v>400</v>
      </c>
      <c r="E115" s="275" t="s">
        <v>401</v>
      </c>
      <c r="F115" s="272" t="s">
        <v>402</v>
      </c>
      <c r="G115" s="255" t="s">
        <v>1564</v>
      </c>
      <c r="H115" s="333">
        <v>46680000</v>
      </c>
      <c r="I115" s="334">
        <v>7935600</v>
      </c>
      <c r="J115" s="682">
        <f t="shared" si="11"/>
        <v>35222181.818181813</v>
      </c>
      <c r="K115" s="682">
        <f t="shared" si="12"/>
        <v>3522218.1818181816</v>
      </c>
      <c r="L115" s="333">
        <f t="shared" si="13"/>
        <v>38744399.999999993</v>
      </c>
      <c r="M115" s="333"/>
    </row>
    <row r="116" spans="1:13" s="256" customFormat="1" x14ac:dyDescent="0.25">
      <c r="A116" s="274">
        <v>44602</v>
      </c>
      <c r="B116" s="511">
        <v>44599</v>
      </c>
      <c r="C116" s="381">
        <v>22020257</v>
      </c>
      <c r="D116" s="273" t="s">
        <v>400</v>
      </c>
      <c r="E116" s="275" t="s">
        <v>401</v>
      </c>
      <c r="F116" s="272" t="s">
        <v>402</v>
      </c>
      <c r="G116" s="255" t="s">
        <v>1565</v>
      </c>
      <c r="H116" s="333">
        <v>20541600</v>
      </c>
      <c r="I116" s="334">
        <v>3492072</v>
      </c>
      <c r="J116" s="682">
        <f t="shared" si="11"/>
        <v>15499570.909090908</v>
      </c>
      <c r="K116" s="682">
        <f t="shared" si="12"/>
        <v>1549957.0909090908</v>
      </c>
      <c r="L116" s="333">
        <f t="shared" si="13"/>
        <v>17049528</v>
      </c>
      <c r="M116" s="333"/>
    </row>
    <row r="117" spans="1:13" s="256" customFormat="1" x14ac:dyDescent="0.25">
      <c r="A117" s="274">
        <v>44606</v>
      </c>
      <c r="B117" s="511">
        <v>44602</v>
      </c>
      <c r="C117" s="381">
        <v>22020568</v>
      </c>
      <c r="D117" s="273" t="s">
        <v>400</v>
      </c>
      <c r="E117" s="275" t="s">
        <v>401</v>
      </c>
      <c r="F117" s="272" t="s">
        <v>402</v>
      </c>
      <c r="G117" s="255" t="s">
        <v>1566</v>
      </c>
      <c r="H117" s="333">
        <v>33121200</v>
      </c>
      <c r="I117" s="334">
        <v>5630604</v>
      </c>
      <c r="J117" s="682">
        <f t="shared" si="11"/>
        <v>24991450.909090906</v>
      </c>
      <c r="K117" s="682">
        <f t="shared" si="12"/>
        <v>2499145.0909090908</v>
      </c>
      <c r="L117" s="333">
        <f t="shared" si="13"/>
        <v>27490595.999999996</v>
      </c>
      <c r="M117" s="333"/>
    </row>
    <row r="118" spans="1:13" s="256" customFormat="1" x14ac:dyDescent="0.25">
      <c r="A118" s="274">
        <v>44606</v>
      </c>
      <c r="B118" s="511">
        <v>44602</v>
      </c>
      <c r="C118" s="381">
        <v>22020584</v>
      </c>
      <c r="D118" s="273" t="s">
        <v>400</v>
      </c>
      <c r="E118" s="275" t="s">
        <v>401</v>
      </c>
      <c r="F118" s="272" t="s">
        <v>402</v>
      </c>
      <c r="G118" s="255" t="s">
        <v>1567</v>
      </c>
      <c r="H118" s="333">
        <v>9450000</v>
      </c>
      <c r="I118" s="334">
        <v>1606500</v>
      </c>
      <c r="J118" s="682">
        <f t="shared" si="11"/>
        <v>7130454.5454545449</v>
      </c>
      <c r="K118" s="682">
        <f t="shared" si="12"/>
        <v>713045.45454545459</v>
      </c>
      <c r="L118" s="333">
        <f t="shared" si="13"/>
        <v>7843500</v>
      </c>
      <c r="M118" s="333"/>
    </row>
    <row r="119" spans="1:13" s="256" customFormat="1" x14ac:dyDescent="0.25">
      <c r="A119" s="274">
        <v>44609</v>
      </c>
      <c r="B119" s="511">
        <v>44606</v>
      </c>
      <c r="C119" s="381">
        <v>22020913</v>
      </c>
      <c r="D119" s="273" t="s">
        <v>400</v>
      </c>
      <c r="E119" s="275" t="s">
        <v>401</v>
      </c>
      <c r="F119" s="272" t="s">
        <v>402</v>
      </c>
      <c r="G119" s="255" t="s">
        <v>1568</v>
      </c>
      <c r="H119" s="333">
        <v>65169400</v>
      </c>
      <c r="I119" s="334">
        <v>11078798</v>
      </c>
      <c r="J119" s="682">
        <f t="shared" si="11"/>
        <v>49173274.545454539</v>
      </c>
      <c r="K119" s="682">
        <f t="shared" si="12"/>
        <v>4917327.4545454541</v>
      </c>
      <c r="L119" s="333">
        <f t="shared" si="13"/>
        <v>54090601.999999993</v>
      </c>
      <c r="M119" s="333"/>
    </row>
    <row r="120" spans="1:13" s="256" customFormat="1" x14ac:dyDescent="0.25">
      <c r="A120" s="274">
        <v>44613</v>
      </c>
      <c r="B120" s="511">
        <v>44608</v>
      </c>
      <c r="C120" s="381">
        <v>22021080</v>
      </c>
      <c r="D120" s="273" t="s">
        <v>400</v>
      </c>
      <c r="E120" s="275" t="s">
        <v>401</v>
      </c>
      <c r="F120" s="272" t="s">
        <v>402</v>
      </c>
      <c r="G120" s="255" t="s">
        <v>1569</v>
      </c>
      <c r="H120" s="333">
        <v>76440000</v>
      </c>
      <c r="I120" s="334">
        <v>12994800</v>
      </c>
      <c r="J120" s="682">
        <f t="shared" si="11"/>
        <v>57677454.545454539</v>
      </c>
      <c r="K120" s="682">
        <f t="shared" si="12"/>
        <v>5767745.4545454541</v>
      </c>
      <c r="L120" s="333">
        <f t="shared" si="13"/>
        <v>63445199.999999993</v>
      </c>
      <c r="M120" s="333"/>
    </row>
    <row r="121" spans="1:13" s="256" customFormat="1" x14ac:dyDescent="0.25">
      <c r="A121" s="274">
        <v>44613</v>
      </c>
      <c r="B121" s="511">
        <v>44608</v>
      </c>
      <c r="C121" s="381">
        <v>22021102</v>
      </c>
      <c r="D121" s="273" t="s">
        <v>400</v>
      </c>
      <c r="E121" s="275" t="s">
        <v>401</v>
      </c>
      <c r="F121" s="272" t="s">
        <v>402</v>
      </c>
      <c r="G121" s="255" t="s">
        <v>1570</v>
      </c>
      <c r="H121" s="333">
        <v>5796000</v>
      </c>
      <c r="I121" s="334">
        <v>985320</v>
      </c>
      <c r="J121" s="682">
        <f t="shared" si="11"/>
        <v>4373345.4545454541</v>
      </c>
      <c r="K121" s="682">
        <f t="shared" si="12"/>
        <v>437334.54545454541</v>
      </c>
      <c r="L121" s="333">
        <f t="shared" si="13"/>
        <v>4810680</v>
      </c>
      <c r="M121" s="333"/>
    </row>
    <row r="122" spans="1:13" s="256" customFormat="1" x14ac:dyDescent="0.25">
      <c r="A122" s="274">
        <v>44613</v>
      </c>
      <c r="B122" s="511">
        <v>44609</v>
      </c>
      <c r="C122" s="381">
        <v>22021211</v>
      </c>
      <c r="D122" s="273" t="s">
        <v>400</v>
      </c>
      <c r="E122" s="275" t="s">
        <v>401</v>
      </c>
      <c r="F122" s="272" t="s">
        <v>402</v>
      </c>
      <c r="G122" s="255" t="s">
        <v>1659</v>
      </c>
      <c r="H122" s="333">
        <v>16070400</v>
      </c>
      <c r="I122" s="334">
        <v>2731968</v>
      </c>
      <c r="J122" s="682">
        <f t="shared" si="11"/>
        <v>12125847.272727272</v>
      </c>
      <c r="K122" s="682">
        <f t="shared" si="12"/>
        <v>1212584.7272727273</v>
      </c>
      <c r="L122" s="333">
        <f t="shared" si="13"/>
        <v>13338431.999999998</v>
      </c>
      <c r="M122" s="333"/>
    </row>
    <row r="123" spans="1:13" s="256" customFormat="1" x14ac:dyDescent="0.25">
      <c r="A123" s="274">
        <v>44613</v>
      </c>
      <c r="B123" s="511">
        <v>44610</v>
      </c>
      <c r="C123" s="381">
        <v>22021274</v>
      </c>
      <c r="D123" s="273" t="s">
        <v>400</v>
      </c>
      <c r="E123" s="275" t="s">
        <v>401</v>
      </c>
      <c r="F123" s="272" t="s">
        <v>402</v>
      </c>
      <c r="G123" s="255" t="s">
        <v>1660</v>
      </c>
      <c r="H123" s="333">
        <v>19087200</v>
      </c>
      <c r="I123" s="334">
        <v>3244824</v>
      </c>
      <c r="J123" s="682">
        <f t="shared" si="11"/>
        <v>14402159.999999998</v>
      </c>
      <c r="K123" s="682">
        <f t="shared" si="12"/>
        <v>1440216</v>
      </c>
      <c r="L123" s="333">
        <f t="shared" si="13"/>
        <v>15842375.999999998</v>
      </c>
      <c r="M123" s="333"/>
    </row>
    <row r="124" spans="1:13" s="256" customFormat="1" x14ac:dyDescent="0.25">
      <c r="A124" s="274">
        <v>44615</v>
      </c>
      <c r="B124" s="511">
        <v>44611</v>
      </c>
      <c r="C124" s="381">
        <v>22021381</v>
      </c>
      <c r="D124" s="273" t="s">
        <v>400</v>
      </c>
      <c r="E124" s="275" t="s">
        <v>401</v>
      </c>
      <c r="F124" s="272" t="s">
        <v>402</v>
      </c>
      <c r="G124" s="255" t="s">
        <v>1661</v>
      </c>
      <c r="H124" s="333">
        <v>32894400</v>
      </c>
      <c r="I124" s="334">
        <v>5592048</v>
      </c>
      <c r="J124" s="682">
        <f t="shared" si="11"/>
        <v>24820319.999999996</v>
      </c>
      <c r="K124" s="682">
        <f t="shared" si="12"/>
        <v>2482031.9999999995</v>
      </c>
      <c r="L124" s="333">
        <f t="shared" si="13"/>
        <v>27302351.999999996</v>
      </c>
      <c r="M124" s="333"/>
    </row>
    <row r="125" spans="1:13" s="256" customFormat="1" x14ac:dyDescent="0.25">
      <c r="A125" s="274">
        <v>44615</v>
      </c>
      <c r="B125" s="511">
        <v>44611</v>
      </c>
      <c r="C125" s="381">
        <v>22021400</v>
      </c>
      <c r="D125" s="273" t="s">
        <v>400</v>
      </c>
      <c r="E125" s="275" t="s">
        <v>401</v>
      </c>
      <c r="F125" s="272" t="s">
        <v>402</v>
      </c>
      <c r="G125" s="255" t="s">
        <v>1662</v>
      </c>
      <c r="H125" s="333">
        <v>3520800</v>
      </c>
      <c r="I125" s="334">
        <v>598536</v>
      </c>
      <c r="J125" s="682">
        <f t="shared" si="11"/>
        <v>2656603.6363636362</v>
      </c>
      <c r="K125" s="682">
        <f t="shared" si="12"/>
        <v>265660.36363636365</v>
      </c>
      <c r="L125" s="333">
        <f t="shared" si="13"/>
        <v>2922264</v>
      </c>
      <c r="M125" s="333"/>
    </row>
    <row r="126" spans="1:13" s="256" customFormat="1" x14ac:dyDescent="0.25">
      <c r="A126" s="274">
        <v>44616</v>
      </c>
      <c r="B126" s="511">
        <v>44614</v>
      </c>
      <c r="C126" s="381">
        <v>22021473</v>
      </c>
      <c r="D126" s="273" t="s">
        <v>400</v>
      </c>
      <c r="E126" s="275" t="s">
        <v>401</v>
      </c>
      <c r="F126" s="272" t="s">
        <v>402</v>
      </c>
      <c r="G126" s="255" t="s">
        <v>1663</v>
      </c>
      <c r="H126" s="333">
        <v>17135600</v>
      </c>
      <c r="I126" s="334">
        <v>2913052</v>
      </c>
      <c r="J126" s="682">
        <f t="shared" si="11"/>
        <v>12929589.09090909</v>
      </c>
      <c r="K126" s="682">
        <f t="shared" si="12"/>
        <v>1292958.9090909092</v>
      </c>
      <c r="L126" s="333">
        <f t="shared" si="13"/>
        <v>14222548</v>
      </c>
      <c r="M126" s="333"/>
    </row>
    <row r="127" spans="1:13" s="256" customFormat="1" x14ac:dyDescent="0.25">
      <c r="A127" s="274">
        <v>44616</v>
      </c>
      <c r="B127" s="511">
        <v>44614</v>
      </c>
      <c r="C127" s="381">
        <v>22021534</v>
      </c>
      <c r="D127" s="273" t="s">
        <v>400</v>
      </c>
      <c r="E127" s="275" t="s">
        <v>401</v>
      </c>
      <c r="F127" s="272" t="s">
        <v>402</v>
      </c>
      <c r="G127" s="255" t="s">
        <v>1664</v>
      </c>
      <c r="H127" s="333">
        <v>3696000</v>
      </c>
      <c r="I127" s="334">
        <v>628320</v>
      </c>
      <c r="J127" s="682">
        <f t="shared" si="11"/>
        <v>2788800</v>
      </c>
      <c r="K127" s="682">
        <f t="shared" si="12"/>
        <v>278880</v>
      </c>
      <c r="L127" s="333">
        <f t="shared" si="13"/>
        <v>3067680</v>
      </c>
      <c r="M127" s="333"/>
    </row>
    <row r="128" spans="1:13" s="256" customFormat="1" x14ac:dyDescent="0.25">
      <c r="A128" s="274">
        <v>44618</v>
      </c>
      <c r="B128" s="511">
        <v>44616</v>
      </c>
      <c r="C128" s="381">
        <v>22021640</v>
      </c>
      <c r="D128" s="273" t="s">
        <v>400</v>
      </c>
      <c r="E128" s="275" t="s">
        <v>401</v>
      </c>
      <c r="F128" s="272" t="s">
        <v>402</v>
      </c>
      <c r="G128" s="255" t="s">
        <v>1665</v>
      </c>
      <c r="H128" s="333">
        <v>35148000</v>
      </c>
      <c r="I128" s="334">
        <v>5975160</v>
      </c>
      <c r="J128" s="682">
        <f t="shared" si="11"/>
        <v>26520763.636363633</v>
      </c>
      <c r="K128" s="682">
        <f t="shared" si="12"/>
        <v>2652076.3636363633</v>
      </c>
      <c r="L128" s="333">
        <f t="shared" si="13"/>
        <v>29172839.999999996</v>
      </c>
      <c r="M128" s="333"/>
    </row>
    <row r="129" spans="1:13" s="256" customFormat="1" x14ac:dyDescent="0.25">
      <c r="A129" s="274">
        <v>44618</v>
      </c>
      <c r="B129" s="511">
        <v>44616</v>
      </c>
      <c r="C129" s="381" t="s">
        <v>1684</v>
      </c>
      <c r="D129" s="272" t="s">
        <v>811</v>
      </c>
      <c r="E129" s="272" t="s">
        <v>812</v>
      </c>
      <c r="F129" s="275" t="s">
        <v>2643</v>
      </c>
      <c r="G129" s="255" t="s">
        <v>1866</v>
      </c>
      <c r="H129" s="333">
        <v>37200000</v>
      </c>
      <c r="I129" s="334">
        <v>0</v>
      </c>
      <c r="J129" s="682">
        <f t="shared" si="11"/>
        <v>33818181.818181813</v>
      </c>
      <c r="K129" s="682">
        <f t="shared" si="12"/>
        <v>3381818.1818181816</v>
      </c>
      <c r="L129" s="333">
        <f t="shared" si="13"/>
        <v>37199999.999999993</v>
      </c>
      <c r="M129" s="333"/>
    </row>
    <row r="130" spans="1:13" s="256" customFormat="1" x14ac:dyDescent="0.25">
      <c r="A130" s="274">
        <v>44609</v>
      </c>
      <c r="B130" s="511">
        <v>44606</v>
      </c>
      <c r="C130" s="381" t="s">
        <v>1682</v>
      </c>
      <c r="D130" s="273" t="s">
        <v>322</v>
      </c>
      <c r="E130" s="275" t="s">
        <v>397</v>
      </c>
      <c r="F130" s="272" t="s">
        <v>2645</v>
      </c>
      <c r="G130" s="255" t="s">
        <v>1537</v>
      </c>
      <c r="H130" s="333">
        <v>23800000</v>
      </c>
      <c r="I130" s="334">
        <v>0</v>
      </c>
      <c r="J130" s="682">
        <f t="shared" ref="J130:J133" si="14">(H130-I130)/1.1</f>
        <v>21636363.636363633</v>
      </c>
      <c r="K130" s="682">
        <f t="shared" ref="K130:K133" si="15">J130*10%</f>
        <v>2163636.3636363633</v>
      </c>
      <c r="L130" s="333">
        <f t="shared" ref="L130:L133" si="16">SUM(J130:K130)</f>
        <v>23799999.999999996</v>
      </c>
      <c r="M130" s="333"/>
    </row>
    <row r="131" spans="1:13" s="256" customFormat="1" x14ac:dyDescent="0.25">
      <c r="A131" s="274">
        <v>44615</v>
      </c>
      <c r="B131" s="511">
        <v>44609</v>
      </c>
      <c r="C131" s="381" t="s">
        <v>1683</v>
      </c>
      <c r="D131" s="273" t="s">
        <v>322</v>
      </c>
      <c r="E131" s="275" t="s">
        <v>397</v>
      </c>
      <c r="F131" s="272" t="s">
        <v>2645</v>
      </c>
      <c r="G131" s="255" t="s">
        <v>1685</v>
      </c>
      <c r="H131" s="333">
        <v>47600000</v>
      </c>
      <c r="I131" s="334">
        <v>0</v>
      </c>
      <c r="J131" s="682">
        <f t="shared" si="14"/>
        <v>43272727.272727266</v>
      </c>
      <c r="K131" s="682">
        <f t="shared" si="15"/>
        <v>4327272.7272727266</v>
      </c>
      <c r="L131" s="333">
        <f t="shared" si="16"/>
        <v>47599999.999999993</v>
      </c>
      <c r="M131" s="333"/>
    </row>
    <row r="132" spans="1:13" s="256" customFormat="1" x14ac:dyDescent="0.25">
      <c r="A132" s="274">
        <v>44597</v>
      </c>
      <c r="B132" s="511">
        <v>44595</v>
      </c>
      <c r="C132" s="381" t="s">
        <v>1680</v>
      </c>
      <c r="D132" s="273" t="s">
        <v>305</v>
      </c>
      <c r="E132" s="275" t="s">
        <v>398</v>
      </c>
      <c r="F132" s="272" t="s">
        <v>399</v>
      </c>
      <c r="G132" s="255" t="s">
        <v>1533</v>
      </c>
      <c r="H132" s="333">
        <v>14160000</v>
      </c>
      <c r="I132" s="334">
        <v>0</v>
      </c>
      <c r="J132" s="682">
        <f t="shared" si="14"/>
        <v>12872727.272727272</v>
      </c>
      <c r="K132" s="682">
        <f t="shared" si="15"/>
        <v>1287272.7272727273</v>
      </c>
      <c r="L132" s="333">
        <f t="shared" si="16"/>
        <v>14159999.999999998</v>
      </c>
      <c r="M132" s="333"/>
    </row>
    <row r="133" spans="1:13" s="256" customFormat="1" x14ac:dyDescent="0.25">
      <c r="A133" s="274">
        <v>44602</v>
      </c>
      <c r="B133" s="511">
        <v>44599</v>
      </c>
      <c r="C133" s="381" t="s">
        <v>1681</v>
      </c>
      <c r="D133" s="273" t="s">
        <v>305</v>
      </c>
      <c r="E133" s="275" t="s">
        <v>398</v>
      </c>
      <c r="F133" s="272" t="s">
        <v>399</v>
      </c>
      <c r="G133" s="255" t="s">
        <v>1534</v>
      </c>
      <c r="H133" s="333">
        <v>5472000</v>
      </c>
      <c r="I133" s="334">
        <v>0</v>
      </c>
      <c r="J133" s="682">
        <f t="shared" si="14"/>
        <v>4974545.4545454541</v>
      </c>
      <c r="K133" s="682">
        <f t="shared" si="15"/>
        <v>497454.54545454541</v>
      </c>
      <c r="L133" s="333">
        <f t="shared" si="16"/>
        <v>5472000</v>
      </c>
      <c r="M133" s="333"/>
    </row>
    <row r="134" spans="1:13" s="256" customFormat="1" x14ac:dyDescent="0.25">
      <c r="A134" s="274"/>
      <c r="B134" s="511"/>
      <c r="C134" s="381"/>
      <c r="D134" s="273"/>
      <c r="E134" s="272"/>
      <c r="F134" s="275"/>
      <c r="G134" s="255"/>
      <c r="H134" s="333"/>
      <c r="I134" s="334"/>
      <c r="J134" s="682">
        <f t="shared" ref="J134" si="17">(H134-I134)/1.1</f>
        <v>0</v>
      </c>
      <c r="K134" s="682">
        <f t="shared" ref="K134" si="18">J134*10%</f>
        <v>0</v>
      </c>
      <c r="L134" s="333">
        <f t="shared" ref="L134" si="19">SUM(J134:K134)</f>
        <v>0</v>
      </c>
      <c r="M134" s="333"/>
    </row>
    <row r="135" spans="1:13" ht="18" x14ac:dyDescent="0.25">
      <c r="A135" s="513" t="s">
        <v>38</v>
      </c>
      <c r="B135" s="512"/>
      <c r="C135" s="515"/>
      <c r="D135" s="514"/>
      <c r="E135" s="519"/>
      <c r="F135" s="519"/>
      <c r="G135" s="516"/>
      <c r="H135" s="413">
        <f>SUM(H66:H134)</f>
        <v>1641594214.1300001</v>
      </c>
      <c r="I135" s="412"/>
      <c r="J135" s="683">
        <f>SUM(J66:J134)</f>
        <v>1354287149.6636364</v>
      </c>
      <c r="K135" s="683">
        <f>SUM(K66:K134)</f>
        <v>135428714.96636361</v>
      </c>
      <c r="L135" s="414">
        <f>SUM(L66:L134)</f>
        <v>1489715864.6299999</v>
      </c>
      <c r="M135" s="414"/>
    </row>
    <row r="136" spans="1:13" ht="18" x14ac:dyDescent="0.25">
      <c r="A136" s="510" t="s">
        <v>100</v>
      </c>
      <c r="B136" s="510"/>
      <c r="C136" s="421"/>
      <c r="D136" s="420"/>
      <c r="E136" s="518"/>
      <c r="F136" s="518"/>
      <c r="G136" s="420"/>
      <c r="H136" s="422"/>
      <c r="I136" s="422"/>
      <c r="J136" s="681"/>
      <c r="K136" s="681"/>
      <c r="L136" s="423"/>
      <c r="M136" s="423"/>
    </row>
    <row r="137" spans="1:13" s="256" customFormat="1" x14ac:dyDescent="0.25">
      <c r="A137" s="274">
        <v>44643</v>
      </c>
      <c r="B137" s="511">
        <v>44641</v>
      </c>
      <c r="C137" s="381" t="s">
        <v>2361</v>
      </c>
      <c r="D137" s="273" t="s">
        <v>403</v>
      </c>
      <c r="E137" s="275" t="s">
        <v>404</v>
      </c>
      <c r="F137" s="272" t="s">
        <v>405</v>
      </c>
      <c r="G137" s="255" t="s">
        <v>2345</v>
      </c>
      <c r="H137" s="333">
        <v>72822000</v>
      </c>
      <c r="I137" s="334">
        <v>0</v>
      </c>
      <c r="J137" s="682">
        <v>66201818</v>
      </c>
      <c r="K137" s="682">
        <f t="shared" ref="K137:K195" si="20">J137*10%</f>
        <v>6620181.8000000007</v>
      </c>
      <c r="L137" s="333">
        <f t="shared" ref="L137:L195" si="21">SUM(J137:K137)</f>
        <v>72821999.799999997</v>
      </c>
      <c r="M137" s="333">
        <f>H137-I137</f>
        <v>72822000</v>
      </c>
    </row>
    <row r="138" spans="1:13" s="256" customFormat="1" x14ac:dyDescent="0.25">
      <c r="A138" s="274">
        <v>44623</v>
      </c>
      <c r="B138" s="511">
        <v>44621</v>
      </c>
      <c r="C138" s="381" t="s">
        <v>2282</v>
      </c>
      <c r="D138" s="273" t="s">
        <v>304</v>
      </c>
      <c r="E138" s="275" t="s">
        <v>392</v>
      </c>
      <c r="F138" s="272" t="s">
        <v>2644</v>
      </c>
      <c r="G138" s="255" t="s">
        <v>2281</v>
      </c>
      <c r="H138" s="333">
        <v>32884250</v>
      </c>
      <c r="I138" s="334">
        <v>0</v>
      </c>
      <c r="J138" s="682">
        <v>29894772</v>
      </c>
      <c r="K138" s="682">
        <f t="shared" si="20"/>
        <v>2989477.2</v>
      </c>
      <c r="L138" s="333">
        <f t="shared" si="21"/>
        <v>32884249.199999999</v>
      </c>
      <c r="M138" s="333">
        <f t="shared" ref="M138:M196" si="22">H138-I138</f>
        <v>32884250</v>
      </c>
    </row>
    <row r="139" spans="1:13" s="256" customFormat="1" x14ac:dyDescent="0.25">
      <c r="A139" s="274">
        <v>44623</v>
      </c>
      <c r="B139" s="511">
        <v>44621</v>
      </c>
      <c r="C139" s="381" t="s">
        <v>2284</v>
      </c>
      <c r="D139" s="273" t="s">
        <v>304</v>
      </c>
      <c r="E139" s="275" t="s">
        <v>392</v>
      </c>
      <c r="F139" s="272" t="s">
        <v>2644</v>
      </c>
      <c r="G139" s="255" t="s">
        <v>2283</v>
      </c>
      <c r="H139" s="333">
        <v>19700568</v>
      </c>
      <c r="I139" s="334">
        <v>141588</v>
      </c>
      <c r="J139" s="682">
        <v>17780890</v>
      </c>
      <c r="K139" s="682">
        <f>J139*10%</f>
        <v>1778089</v>
      </c>
      <c r="L139" s="333">
        <f>SUM(J139:K139)</f>
        <v>19558979</v>
      </c>
      <c r="M139" s="333">
        <f t="shared" si="22"/>
        <v>19558980</v>
      </c>
    </row>
    <row r="140" spans="1:13" s="256" customFormat="1" x14ac:dyDescent="0.25">
      <c r="A140" s="274">
        <v>44628</v>
      </c>
      <c r="B140" s="511">
        <v>44624</v>
      </c>
      <c r="C140" s="381" t="s">
        <v>2286</v>
      </c>
      <c r="D140" s="273" t="s">
        <v>304</v>
      </c>
      <c r="E140" s="275" t="s">
        <v>392</v>
      </c>
      <c r="F140" s="272" t="s">
        <v>2644</v>
      </c>
      <c r="G140" s="255" t="s">
        <v>2285</v>
      </c>
      <c r="H140" s="333">
        <v>7736040</v>
      </c>
      <c r="I140" s="334">
        <v>338580</v>
      </c>
      <c r="J140" s="682">
        <v>6724963</v>
      </c>
      <c r="K140" s="682">
        <f>J140*10%</f>
        <v>672496.3</v>
      </c>
      <c r="L140" s="333">
        <f>SUM(J140:K140)</f>
        <v>7397459.2999999998</v>
      </c>
      <c r="M140" s="333">
        <f t="shared" si="22"/>
        <v>7397460</v>
      </c>
    </row>
    <row r="141" spans="1:13" s="256" customFormat="1" x14ac:dyDescent="0.25">
      <c r="A141" s="274">
        <v>44628</v>
      </c>
      <c r="B141" s="511">
        <v>44624</v>
      </c>
      <c r="C141" s="381" t="s">
        <v>2288</v>
      </c>
      <c r="D141" s="273" t="s">
        <v>304</v>
      </c>
      <c r="E141" s="275" t="s">
        <v>392</v>
      </c>
      <c r="F141" s="272" t="s">
        <v>2644</v>
      </c>
      <c r="G141" s="255" t="s">
        <v>2287</v>
      </c>
      <c r="H141" s="333">
        <v>5622750</v>
      </c>
      <c r="I141" s="334">
        <v>0</v>
      </c>
      <c r="J141" s="682">
        <v>5111590</v>
      </c>
      <c r="K141" s="682">
        <f>J141*10%</f>
        <v>511159</v>
      </c>
      <c r="L141" s="333">
        <f>SUM(J141:K141)</f>
        <v>5622749</v>
      </c>
      <c r="M141" s="333">
        <f t="shared" si="22"/>
        <v>5622750</v>
      </c>
    </row>
    <row r="142" spans="1:13" s="256" customFormat="1" x14ac:dyDescent="0.25">
      <c r="A142" s="274">
        <v>44630</v>
      </c>
      <c r="B142" s="511">
        <v>44625</v>
      </c>
      <c r="C142" s="381" t="s">
        <v>2290</v>
      </c>
      <c r="D142" s="273" t="s">
        <v>304</v>
      </c>
      <c r="E142" s="275" t="s">
        <v>392</v>
      </c>
      <c r="F142" s="272" t="s">
        <v>2644</v>
      </c>
      <c r="G142" s="255" t="s">
        <v>2289</v>
      </c>
      <c r="H142" s="333">
        <v>644218.75</v>
      </c>
      <c r="I142" s="334">
        <v>0</v>
      </c>
      <c r="J142" s="682">
        <v>585653</v>
      </c>
      <c r="K142" s="682">
        <f t="shared" ref="K142:K147" si="23">J142*10%</f>
        <v>58565.3</v>
      </c>
      <c r="L142" s="333">
        <f t="shared" ref="L142:L147" si="24">SUM(J142:K142)</f>
        <v>644218.30000000005</v>
      </c>
      <c r="M142" s="333">
        <f t="shared" si="22"/>
        <v>644218.75</v>
      </c>
    </row>
    <row r="143" spans="1:13" s="256" customFormat="1" x14ac:dyDescent="0.25">
      <c r="A143" s="274">
        <v>44631</v>
      </c>
      <c r="B143" s="511">
        <v>44628</v>
      </c>
      <c r="C143" s="381" t="s">
        <v>2292</v>
      </c>
      <c r="D143" s="273" t="s">
        <v>304</v>
      </c>
      <c r="E143" s="275" t="s">
        <v>392</v>
      </c>
      <c r="F143" s="272" t="s">
        <v>2644</v>
      </c>
      <c r="G143" s="255" t="s">
        <v>2291</v>
      </c>
      <c r="H143" s="333">
        <f>19943682.5</f>
        <v>19943682.5</v>
      </c>
      <c r="I143" s="334">
        <v>7047180</v>
      </c>
      <c r="J143" s="682">
        <v>8695320</v>
      </c>
      <c r="K143" s="682">
        <f t="shared" si="23"/>
        <v>869532</v>
      </c>
      <c r="L143" s="333">
        <f t="shared" si="24"/>
        <v>9564852</v>
      </c>
      <c r="M143" s="333">
        <f t="shared" si="22"/>
        <v>12896502.5</v>
      </c>
    </row>
    <row r="144" spans="1:13" s="256" customFormat="1" x14ac:dyDescent="0.25">
      <c r="A144" s="274">
        <v>44631</v>
      </c>
      <c r="B144" s="511">
        <v>44628</v>
      </c>
      <c r="C144" s="381" t="s">
        <v>2294</v>
      </c>
      <c r="D144" s="273" t="s">
        <v>304</v>
      </c>
      <c r="E144" s="275" t="s">
        <v>392</v>
      </c>
      <c r="F144" s="272" t="s">
        <v>2644</v>
      </c>
      <c r="G144" s="255" t="s">
        <v>2293</v>
      </c>
      <c r="H144" s="333">
        <v>3956085</v>
      </c>
      <c r="I144" s="334">
        <v>0</v>
      </c>
      <c r="J144" s="682">
        <v>3596440</v>
      </c>
      <c r="K144" s="682">
        <f t="shared" si="23"/>
        <v>359644</v>
      </c>
      <c r="L144" s="333">
        <f t="shared" si="24"/>
        <v>3956084</v>
      </c>
      <c r="M144" s="333">
        <f t="shared" si="22"/>
        <v>3956085</v>
      </c>
    </row>
    <row r="145" spans="1:13" s="256" customFormat="1" x14ac:dyDescent="0.25">
      <c r="A145" s="274">
        <v>44635</v>
      </c>
      <c r="B145" s="511">
        <v>44629</v>
      </c>
      <c r="C145" s="381" t="s">
        <v>2296</v>
      </c>
      <c r="D145" s="273" t="s">
        <v>304</v>
      </c>
      <c r="E145" s="275" t="s">
        <v>392</v>
      </c>
      <c r="F145" s="272" t="s">
        <v>2644</v>
      </c>
      <c r="G145" s="255" t="s">
        <v>2295</v>
      </c>
      <c r="H145" s="333">
        <v>22685643.75</v>
      </c>
      <c r="I145" s="334">
        <v>0</v>
      </c>
      <c r="J145" s="682">
        <v>20623312</v>
      </c>
      <c r="K145" s="682">
        <f t="shared" si="23"/>
        <v>2062331.2000000002</v>
      </c>
      <c r="L145" s="333">
        <f t="shared" si="24"/>
        <v>22685643.199999999</v>
      </c>
      <c r="M145" s="333">
        <f t="shared" si="22"/>
        <v>22685643.75</v>
      </c>
    </row>
    <row r="146" spans="1:13" s="256" customFormat="1" x14ac:dyDescent="0.25">
      <c r="A146" s="274">
        <v>44635</v>
      </c>
      <c r="B146" s="511">
        <v>44630</v>
      </c>
      <c r="C146" s="381" t="s">
        <v>2298</v>
      </c>
      <c r="D146" s="273" t="s">
        <v>304</v>
      </c>
      <c r="E146" s="275" t="s">
        <v>392</v>
      </c>
      <c r="F146" s="272" t="s">
        <v>2644</v>
      </c>
      <c r="G146" s="255" t="s">
        <v>2297</v>
      </c>
      <c r="H146" s="333">
        <v>14064750</v>
      </c>
      <c r="I146" s="334">
        <v>0</v>
      </c>
      <c r="J146" s="682">
        <v>12786136</v>
      </c>
      <c r="K146" s="682">
        <f t="shared" si="23"/>
        <v>1278613.6000000001</v>
      </c>
      <c r="L146" s="333">
        <f t="shared" si="24"/>
        <v>14064749.6</v>
      </c>
      <c r="M146" s="333">
        <f t="shared" si="22"/>
        <v>14064750</v>
      </c>
    </row>
    <row r="147" spans="1:13" s="256" customFormat="1" x14ac:dyDescent="0.25">
      <c r="A147" s="274">
        <v>44635</v>
      </c>
      <c r="B147" s="511">
        <v>44630</v>
      </c>
      <c r="C147" s="381" t="s">
        <v>2300</v>
      </c>
      <c r="D147" s="273" t="s">
        <v>304</v>
      </c>
      <c r="E147" s="275" t="s">
        <v>392</v>
      </c>
      <c r="F147" s="272" t="s">
        <v>2644</v>
      </c>
      <c r="G147" s="255" t="s">
        <v>2299</v>
      </c>
      <c r="H147" s="333">
        <v>1143843.75</v>
      </c>
      <c r="I147" s="334">
        <v>0</v>
      </c>
      <c r="J147" s="682">
        <v>1039857</v>
      </c>
      <c r="K147" s="682">
        <f t="shared" si="23"/>
        <v>103985.70000000001</v>
      </c>
      <c r="L147" s="333">
        <f t="shared" si="24"/>
        <v>1143842.7</v>
      </c>
      <c r="M147" s="333">
        <f t="shared" si="22"/>
        <v>1143843.75</v>
      </c>
    </row>
    <row r="148" spans="1:13" s="256" customFormat="1" x14ac:dyDescent="0.25">
      <c r="A148" s="274">
        <v>44635</v>
      </c>
      <c r="B148" s="511">
        <v>44631</v>
      </c>
      <c r="C148" s="381" t="s">
        <v>2302</v>
      </c>
      <c r="D148" s="273" t="s">
        <v>304</v>
      </c>
      <c r="E148" s="275" t="s">
        <v>392</v>
      </c>
      <c r="F148" s="272" t="s">
        <v>2644</v>
      </c>
      <c r="G148" s="255" t="s">
        <v>2301</v>
      </c>
      <c r="H148" s="333">
        <v>28466987.5</v>
      </c>
      <c r="I148" s="334">
        <v>0</v>
      </c>
      <c r="J148" s="682">
        <v>25879079</v>
      </c>
      <c r="K148" s="682">
        <f t="shared" ref="K148:K153" si="25">J148*10%</f>
        <v>2587907.9000000004</v>
      </c>
      <c r="L148" s="333">
        <f t="shared" ref="L148:L153" si="26">SUM(J148:K148)</f>
        <v>28466986.899999999</v>
      </c>
      <c r="M148" s="333">
        <f t="shared" si="22"/>
        <v>28466987.5</v>
      </c>
    </row>
    <row r="149" spans="1:13" s="256" customFormat="1" x14ac:dyDescent="0.25">
      <c r="A149" s="274">
        <v>44635</v>
      </c>
      <c r="B149" s="511">
        <v>44631</v>
      </c>
      <c r="C149" s="381" t="s">
        <v>2304</v>
      </c>
      <c r="D149" s="273" t="s">
        <v>304</v>
      </c>
      <c r="E149" s="275" t="s">
        <v>392</v>
      </c>
      <c r="F149" s="272" t="s">
        <v>2644</v>
      </c>
      <c r="G149" s="255" t="s">
        <v>2303</v>
      </c>
      <c r="H149" s="333">
        <v>8128722.5</v>
      </c>
      <c r="I149" s="334">
        <v>338580</v>
      </c>
      <c r="J149" s="682">
        <v>7081947</v>
      </c>
      <c r="K149" s="682">
        <f t="shared" si="25"/>
        <v>708194.70000000007</v>
      </c>
      <c r="L149" s="333">
        <f t="shared" si="26"/>
        <v>7790141.7000000002</v>
      </c>
      <c r="M149" s="333">
        <f t="shared" si="22"/>
        <v>7790142.5</v>
      </c>
    </row>
    <row r="150" spans="1:13" s="256" customFormat="1" x14ac:dyDescent="0.25">
      <c r="A150" s="274">
        <v>44641</v>
      </c>
      <c r="B150" s="511">
        <v>44635</v>
      </c>
      <c r="C150" s="381" t="s">
        <v>2306</v>
      </c>
      <c r="D150" s="273" t="s">
        <v>304</v>
      </c>
      <c r="E150" s="275" t="s">
        <v>392</v>
      </c>
      <c r="F150" s="272" t="s">
        <v>2644</v>
      </c>
      <c r="G150" s="255" t="s">
        <v>2305</v>
      </c>
      <c r="H150" s="333">
        <v>37635675</v>
      </c>
      <c r="I150" s="334">
        <v>0</v>
      </c>
      <c r="J150" s="682">
        <v>34214250</v>
      </c>
      <c r="K150" s="682">
        <f t="shared" si="25"/>
        <v>3421425</v>
      </c>
      <c r="L150" s="333">
        <f t="shared" si="26"/>
        <v>37635675</v>
      </c>
      <c r="M150" s="333">
        <f t="shared" si="22"/>
        <v>37635675</v>
      </c>
    </row>
    <row r="151" spans="1:13" s="256" customFormat="1" x14ac:dyDescent="0.25">
      <c r="A151" s="274">
        <v>44641</v>
      </c>
      <c r="B151" s="511">
        <v>44635</v>
      </c>
      <c r="C151" s="381" t="s">
        <v>2308</v>
      </c>
      <c r="D151" s="273" t="s">
        <v>304</v>
      </c>
      <c r="E151" s="275" t="s">
        <v>392</v>
      </c>
      <c r="F151" s="272" t="s">
        <v>2644</v>
      </c>
      <c r="G151" s="255" t="s">
        <v>2307</v>
      </c>
      <c r="H151" s="333">
        <v>20241103.75</v>
      </c>
      <c r="I151" s="334">
        <v>0</v>
      </c>
      <c r="J151" s="682">
        <v>18401003</v>
      </c>
      <c r="K151" s="682">
        <f t="shared" si="25"/>
        <v>1840100.3</v>
      </c>
      <c r="L151" s="333">
        <f t="shared" si="26"/>
        <v>20241103.300000001</v>
      </c>
      <c r="M151" s="333">
        <f t="shared" si="22"/>
        <v>20241103.75</v>
      </c>
    </row>
    <row r="152" spans="1:13" s="256" customFormat="1" x14ac:dyDescent="0.25">
      <c r="A152" s="274">
        <v>44641</v>
      </c>
      <c r="B152" s="511">
        <v>44635</v>
      </c>
      <c r="C152" s="381" t="s">
        <v>2310</v>
      </c>
      <c r="D152" s="273" t="s">
        <v>304</v>
      </c>
      <c r="E152" s="275" t="s">
        <v>392</v>
      </c>
      <c r="F152" s="272" t="s">
        <v>2644</v>
      </c>
      <c r="G152" s="255" t="s">
        <v>2309</v>
      </c>
      <c r="H152" s="333">
        <v>4089750</v>
      </c>
      <c r="I152" s="334">
        <v>0</v>
      </c>
      <c r="J152" s="682">
        <v>3717954</v>
      </c>
      <c r="K152" s="682">
        <f t="shared" si="25"/>
        <v>371795.4</v>
      </c>
      <c r="L152" s="333">
        <f t="shared" si="26"/>
        <v>4089749.4</v>
      </c>
      <c r="M152" s="333">
        <f t="shared" si="22"/>
        <v>4089750</v>
      </c>
    </row>
    <row r="153" spans="1:13" s="256" customFormat="1" x14ac:dyDescent="0.25">
      <c r="A153" s="274">
        <v>44642</v>
      </c>
      <c r="B153" s="511">
        <v>44637</v>
      </c>
      <c r="C153" s="381" t="s">
        <v>2329</v>
      </c>
      <c r="D153" s="273" t="s">
        <v>304</v>
      </c>
      <c r="E153" s="275" t="s">
        <v>392</v>
      </c>
      <c r="F153" s="272" t="s">
        <v>2644</v>
      </c>
      <c r="G153" s="255" t="s">
        <v>2346</v>
      </c>
      <c r="H153" s="333">
        <v>26017127.5</v>
      </c>
      <c r="I153" s="334">
        <v>0</v>
      </c>
      <c r="J153" s="682">
        <v>23651934</v>
      </c>
      <c r="K153" s="682">
        <f t="shared" si="25"/>
        <v>2365193.4</v>
      </c>
      <c r="L153" s="333">
        <f t="shared" si="26"/>
        <v>26017127.399999999</v>
      </c>
      <c r="M153" s="333">
        <f t="shared" si="22"/>
        <v>26017127.5</v>
      </c>
    </row>
    <row r="154" spans="1:13" s="256" customFormat="1" x14ac:dyDescent="0.25">
      <c r="A154" s="274">
        <v>44643</v>
      </c>
      <c r="B154" s="511">
        <v>44638</v>
      </c>
      <c r="C154" s="381" t="s">
        <v>2330</v>
      </c>
      <c r="D154" s="273" t="s">
        <v>304</v>
      </c>
      <c r="E154" s="275" t="s">
        <v>392</v>
      </c>
      <c r="F154" s="272" t="s">
        <v>2644</v>
      </c>
      <c r="G154" s="255" t="s">
        <v>2347</v>
      </c>
      <c r="H154" s="333">
        <v>1881950</v>
      </c>
      <c r="I154" s="334">
        <v>0</v>
      </c>
      <c r="J154" s="682">
        <v>1710863</v>
      </c>
      <c r="K154" s="682">
        <f t="shared" ref="K154:K163" si="27">J154*10%</f>
        <v>171086.30000000002</v>
      </c>
      <c r="L154" s="333">
        <f t="shared" ref="L154:L163" si="28">SUM(J154:K154)</f>
        <v>1881949.3</v>
      </c>
      <c r="M154" s="333">
        <f t="shared" ref="M154:M163" si="29">H154-I154</f>
        <v>1881950</v>
      </c>
    </row>
    <row r="155" spans="1:13" s="256" customFormat="1" x14ac:dyDescent="0.25">
      <c r="A155" s="274">
        <v>44644</v>
      </c>
      <c r="B155" s="511">
        <v>44641</v>
      </c>
      <c r="C155" s="381" t="s">
        <v>2331</v>
      </c>
      <c r="D155" s="273" t="s">
        <v>304</v>
      </c>
      <c r="E155" s="275" t="s">
        <v>392</v>
      </c>
      <c r="F155" s="272" t="s">
        <v>2644</v>
      </c>
      <c r="G155" s="255" t="s">
        <v>2348</v>
      </c>
      <c r="H155" s="333">
        <v>19135612.5</v>
      </c>
      <c r="I155" s="334">
        <v>1555672.5</v>
      </c>
      <c r="J155" s="682">
        <v>15981763</v>
      </c>
      <c r="K155" s="682">
        <f t="shared" si="27"/>
        <v>1598176.3</v>
      </c>
      <c r="L155" s="333">
        <f t="shared" si="28"/>
        <v>17579939.300000001</v>
      </c>
      <c r="M155" s="333">
        <f t="shared" si="29"/>
        <v>17579940</v>
      </c>
    </row>
    <row r="156" spans="1:13" s="256" customFormat="1" x14ac:dyDescent="0.25">
      <c r="A156" s="274">
        <v>44645</v>
      </c>
      <c r="B156" s="511">
        <v>44642</v>
      </c>
      <c r="C156" s="381" t="s">
        <v>2333</v>
      </c>
      <c r="D156" s="273" t="s">
        <v>304</v>
      </c>
      <c r="E156" s="275" t="s">
        <v>392</v>
      </c>
      <c r="F156" s="272" t="s">
        <v>2644</v>
      </c>
      <c r="G156" s="255" t="s">
        <v>2349</v>
      </c>
      <c r="H156" s="333">
        <v>35836850</v>
      </c>
      <c r="I156" s="334">
        <v>0</v>
      </c>
      <c r="J156" s="682">
        <v>32578954</v>
      </c>
      <c r="K156" s="682">
        <f>J156*10%</f>
        <v>3257895.4000000004</v>
      </c>
      <c r="L156" s="333">
        <f>SUM(J156:K156)</f>
        <v>35836849.399999999</v>
      </c>
      <c r="M156" s="333">
        <f>H156-I156</f>
        <v>35836850</v>
      </c>
    </row>
    <row r="157" spans="1:13" s="256" customFormat="1" x14ac:dyDescent="0.25">
      <c r="A157" s="274">
        <v>44645</v>
      </c>
      <c r="B157" s="511">
        <v>44642</v>
      </c>
      <c r="C157" s="381" t="s">
        <v>2332</v>
      </c>
      <c r="D157" s="273" t="s">
        <v>304</v>
      </c>
      <c r="E157" s="275" t="s">
        <v>392</v>
      </c>
      <c r="F157" s="272" t="s">
        <v>2644</v>
      </c>
      <c r="G157" s="255" t="s">
        <v>2350</v>
      </c>
      <c r="H157" s="333">
        <v>19320743.75</v>
      </c>
      <c r="I157" s="334">
        <v>0</v>
      </c>
      <c r="J157" s="682">
        <v>14691512</v>
      </c>
      <c r="K157" s="682">
        <f t="shared" si="27"/>
        <v>1469151.2000000002</v>
      </c>
      <c r="L157" s="333">
        <f t="shared" si="28"/>
        <v>16160663.199999999</v>
      </c>
      <c r="M157" s="333">
        <f t="shared" si="29"/>
        <v>19320743.75</v>
      </c>
    </row>
    <row r="158" spans="1:13" s="256" customFormat="1" x14ac:dyDescent="0.25">
      <c r="A158" s="274">
        <v>44646</v>
      </c>
      <c r="B158" s="511">
        <v>44643</v>
      </c>
      <c r="C158" s="381" t="s">
        <v>2334</v>
      </c>
      <c r="D158" s="273" t="s">
        <v>304</v>
      </c>
      <c r="E158" s="275" t="s">
        <v>392</v>
      </c>
      <c r="F158" s="272" t="s">
        <v>2644</v>
      </c>
      <c r="G158" s="255" t="s">
        <v>2351</v>
      </c>
      <c r="H158" s="333">
        <v>17254921.25</v>
      </c>
      <c r="I158" s="334">
        <v>0</v>
      </c>
      <c r="J158" s="682">
        <v>15686292</v>
      </c>
      <c r="K158" s="682">
        <f t="shared" si="27"/>
        <v>1568629.2000000002</v>
      </c>
      <c r="L158" s="333">
        <f t="shared" si="28"/>
        <v>17254921.199999999</v>
      </c>
      <c r="M158" s="333">
        <f t="shared" si="29"/>
        <v>17254921.25</v>
      </c>
    </row>
    <row r="159" spans="1:13" s="256" customFormat="1" x14ac:dyDescent="0.25">
      <c r="A159" s="274">
        <v>44646</v>
      </c>
      <c r="B159" s="511">
        <v>44643</v>
      </c>
      <c r="C159" s="381" t="s">
        <v>2335</v>
      </c>
      <c r="D159" s="273" t="s">
        <v>304</v>
      </c>
      <c r="E159" s="275" t="s">
        <v>392</v>
      </c>
      <c r="F159" s="272" t="s">
        <v>2644</v>
      </c>
      <c r="G159" s="255" t="s">
        <v>2352</v>
      </c>
      <c r="H159" s="333">
        <v>6200460</v>
      </c>
      <c r="I159" s="334">
        <v>0</v>
      </c>
      <c r="J159" s="682">
        <v>5636781</v>
      </c>
      <c r="K159" s="682">
        <f t="shared" si="27"/>
        <v>563678.1</v>
      </c>
      <c r="L159" s="333">
        <f t="shared" si="28"/>
        <v>6200459.0999999996</v>
      </c>
      <c r="M159" s="333">
        <f t="shared" si="29"/>
        <v>6200460</v>
      </c>
    </row>
    <row r="160" spans="1:13" s="256" customFormat="1" x14ac:dyDescent="0.25">
      <c r="A160" s="274">
        <v>44646</v>
      </c>
      <c r="B160" s="511">
        <v>44643</v>
      </c>
      <c r="C160" s="381" t="s">
        <v>2336</v>
      </c>
      <c r="D160" s="273" t="s">
        <v>304</v>
      </c>
      <c r="E160" s="275" t="s">
        <v>392</v>
      </c>
      <c r="F160" s="272" t="s">
        <v>2644</v>
      </c>
      <c r="G160" s="255" t="s">
        <v>2353</v>
      </c>
      <c r="H160" s="333">
        <v>10301681.25</v>
      </c>
      <c r="I160" s="334">
        <v>0</v>
      </c>
      <c r="J160" s="682">
        <v>9365164</v>
      </c>
      <c r="K160" s="682">
        <f t="shared" si="27"/>
        <v>936516.4</v>
      </c>
      <c r="L160" s="333">
        <f t="shared" si="28"/>
        <v>10301680.4</v>
      </c>
      <c r="M160" s="333">
        <f t="shared" si="29"/>
        <v>10301681.25</v>
      </c>
    </row>
    <row r="161" spans="1:13" s="256" customFormat="1" x14ac:dyDescent="0.25">
      <c r="A161" s="274">
        <v>44652</v>
      </c>
      <c r="B161" s="511">
        <v>44648</v>
      </c>
      <c r="C161" s="381" t="s">
        <v>2355</v>
      </c>
      <c r="D161" s="273" t="s">
        <v>304</v>
      </c>
      <c r="E161" s="275" t="s">
        <v>392</v>
      </c>
      <c r="F161" s="272" t="s">
        <v>2644</v>
      </c>
      <c r="G161" s="255" t="s">
        <v>2354</v>
      </c>
      <c r="H161" s="333">
        <v>2082281.25</v>
      </c>
      <c r="I161" s="334">
        <v>0</v>
      </c>
      <c r="J161" s="682">
        <v>1892982</v>
      </c>
      <c r="K161" s="682">
        <f t="shared" si="27"/>
        <v>189298.2</v>
      </c>
      <c r="L161" s="333">
        <f t="shared" si="28"/>
        <v>2082280.2</v>
      </c>
      <c r="M161" s="333">
        <f t="shared" si="29"/>
        <v>2082281.25</v>
      </c>
    </row>
    <row r="162" spans="1:13" s="256" customFormat="1" x14ac:dyDescent="0.25">
      <c r="A162" s="274">
        <v>44653</v>
      </c>
      <c r="B162" s="511">
        <v>44649</v>
      </c>
      <c r="C162" s="381" t="s">
        <v>2357</v>
      </c>
      <c r="D162" s="273" t="s">
        <v>304</v>
      </c>
      <c r="E162" s="275" t="s">
        <v>392</v>
      </c>
      <c r="F162" s="272" t="s">
        <v>2644</v>
      </c>
      <c r="G162" s="255" t="s">
        <v>2356</v>
      </c>
      <c r="H162" s="333">
        <v>3782520</v>
      </c>
      <c r="I162" s="334">
        <v>0</v>
      </c>
      <c r="J162" s="682">
        <v>3438654</v>
      </c>
      <c r="K162" s="682">
        <f t="shared" si="27"/>
        <v>343865.4</v>
      </c>
      <c r="L162" s="333">
        <f t="shared" si="28"/>
        <v>3782519.4</v>
      </c>
      <c r="M162" s="333">
        <f t="shared" si="29"/>
        <v>3782520</v>
      </c>
    </row>
    <row r="163" spans="1:13" s="256" customFormat="1" x14ac:dyDescent="0.25">
      <c r="A163" s="274">
        <v>44653</v>
      </c>
      <c r="B163" s="511">
        <v>44650</v>
      </c>
      <c r="C163" s="381" t="s">
        <v>2359</v>
      </c>
      <c r="D163" s="273" t="s">
        <v>304</v>
      </c>
      <c r="E163" s="275" t="s">
        <v>392</v>
      </c>
      <c r="F163" s="272" t="s">
        <v>2644</v>
      </c>
      <c r="G163" s="255" t="s">
        <v>2358</v>
      </c>
      <c r="H163" s="333">
        <v>718200</v>
      </c>
      <c r="I163" s="334">
        <v>0</v>
      </c>
      <c r="J163" s="682">
        <v>652909</v>
      </c>
      <c r="K163" s="682">
        <f t="shared" si="27"/>
        <v>65290.9</v>
      </c>
      <c r="L163" s="333">
        <f t="shared" si="28"/>
        <v>718199.9</v>
      </c>
      <c r="M163" s="333">
        <f t="shared" si="29"/>
        <v>718200</v>
      </c>
    </row>
    <row r="164" spans="1:13" s="256" customFormat="1" x14ac:dyDescent="0.25">
      <c r="A164" s="274">
        <v>44648</v>
      </c>
      <c r="B164" s="511">
        <v>44644</v>
      </c>
      <c r="C164" s="381" t="s">
        <v>2344</v>
      </c>
      <c r="D164" s="273" t="s">
        <v>317</v>
      </c>
      <c r="E164" s="275" t="s">
        <v>395</v>
      </c>
      <c r="F164" s="272" t="s">
        <v>396</v>
      </c>
      <c r="G164" s="255" t="s">
        <v>2343</v>
      </c>
      <c r="H164" s="333">
        <v>8578500</v>
      </c>
      <c r="I164" s="334">
        <v>0</v>
      </c>
      <c r="J164" s="682">
        <v>7798636</v>
      </c>
      <c r="K164" s="682">
        <f t="shared" si="20"/>
        <v>779863.60000000009</v>
      </c>
      <c r="L164" s="333">
        <f t="shared" si="21"/>
        <v>8578499.5999999996</v>
      </c>
      <c r="M164" s="333">
        <f t="shared" si="22"/>
        <v>8578500</v>
      </c>
    </row>
    <row r="165" spans="1:13" s="256" customFormat="1" x14ac:dyDescent="0.25">
      <c r="A165" s="274">
        <v>44622</v>
      </c>
      <c r="B165" s="511">
        <v>44621</v>
      </c>
      <c r="C165" s="381">
        <v>22030014</v>
      </c>
      <c r="D165" s="273" t="s">
        <v>400</v>
      </c>
      <c r="E165" s="275" t="s">
        <v>401</v>
      </c>
      <c r="F165" s="272" t="s">
        <v>402</v>
      </c>
      <c r="G165" s="255" t="s">
        <v>1947</v>
      </c>
      <c r="H165" s="333">
        <v>3648000</v>
      </c>
      <c r="I165" s="334">
        <v>620160</v>
      </c>
      <c r="J165" s="682">
        <v>2752581</v>
      </c>
      <c r="K165" s="682">
        <f t="shared" si="20"/>
        <v>275258.10000000003</v>
      </c>
      <c r="L165" s="333">
        <f t="shared" si="21"/>
        <v>3027839.1</v>
      </c>
      <c r="M165" s="333">
        <f t="shared" si="22"/>
        <v>3027840</v>
      </c>
    </row>
    <row r="166" spans="1:13" s="256" customFormat="1" x14ac:dyDescent="0.25">
      <c r="A166" s="274">
        <v>44622</v>
      </c>
      <c r="B166" s="511">
        <v>44621</v>
      </c>
      <c r="C166" s="381">
        <v>22030032</v>
      </c>
      <c r="D166" s="273" t="s">
        <v>400</v>
      </c>
      <c r="E166" s="275" t="s">
        <v>401</v>
      </c>
      <c r="F166" s="272" t="s">
        <v>402</v>
      </c>
      <c r="G166" s="255" t="s">
        <v>1948</v>
      </c>
      <c r="H166" s="333">
        <v>29952000</v>
      </c>
      <c r="I166" s="334">
        <v>5091840</v>
      </c>
      <c r="J166" s="682">
        <v>22600145</v>
      </c>
      <c r="K166" s="682">
        <f t="shared" ref="K166:K182" si="30">J166*10%</f>
        <v>2260014.5</v>
      </c>
      <c r="L166" s="333">
        <f t="shared" ref="L166:L182" si="31">SUM(J166:K166)</f>
        <v>24860159.5</v>
      </c>
      <c r="M166" s="333">
        <f t="shared" si="22"/>
        <v>24860160</v>
      </c>
    </row>
    <row r="167" spans="1:13" s="256" customFormat="1" x14ac:dyDescent="0.25">
      <c r="A167" s="274">
        <v>44623</v>
      </c>
      <c r="B167" s="511">
        <v>44621</v>
      </c>
      <c r="C167" s="381">
        <v>22030081</v>
      </c>
      <c r="D167" s="273" t="s">
        <v>400</v>
      </c>
      <c r="E167" s="275" t="s">
        <v>401</v>
      </c>
      <c r="F167" s="272" t="s">
        <v>402</v>
      </c>
      <c r="G167" s="255" t="s">
        <v>1949</v>
      </c>
      <c r="H167" s="333">
        <v>20505600</v>
      </c>
      <c r="I167" s="334">
        <v>3485952</v>
      </c>
      <c r="J167" s="682">
        <v>15472407</v>
      </c>
      <c r="K167" s="682">
        <f t="shared" si="30"/>
        <v>1547240.7000000002</v>
      </c>
      <c r="L167" s="333">
        <f t="shared" si="31"/>
        <v>17019647.699999999</v>
      </c>
      <c r="M167" s="333">
        <f t="shared" si="22"/>
        <v>17019648</v>
      </c>
    </row>
    <row r="168" spans="1:13" s="256" customFormat="1" x14ac:dyDescent="0.25">
      <c r="A168" s="274">
        <v>44623</v>
      </c>
      <c r="B168" s="511">
        <v>44622</v>
      </c>
      <c r="C168" s="381">
        <v>22030109</v>
      </c>
      <c r="D168" s="273" t="s">
        <v>400</v>
      </c>
      <c r="E168" s="275" t="s">
        <v>401</v>
      </c>
      <c r="F168" s="272" t="s">
        <v>402</v>
      </c>
      <c r="G168" s="255" t="s">
        <v>1950</v>
      </c>
      <c r="H168" s="333">
        <v>18786000</v>
      </c>
      <c r="I168" s="334">
        <v>3193620</v>
      </c>
      <c r="J168" s="682">
        <v>14174890</v>
      </c>
      <c r="K168" s="682">
        <f t="shared" si="30"/>
        <v>1417489</v>
      </c>
      <c r="L168" s="333">
        <f t="shared" si="31"/>
        <v>15592379</v>
      </c>
      <c r="M168" s="333">
        <f t="shared" si="22"/>
        <v>15592380</v>
      </c>
    </row>
    <row r="169" spans="1:13" s="256" customFormat="1" x14ac:dyDescent="0.25">
      <c r="A169" s="274">
        <v>44624</v>
      </c>
      <c r="B169" s="511">
        <v>44624</v>
      </c>
      <c r="C169" s="381">
        <v>22030151</v>
      </c>
      <c r="D169" s="273" t="s">
        <v>400</v>
      </c>
      <c r="E169" s="275" t="s">
        <v>401</v>
      </c>
      <c r="F169" s="272" t="s">
        <v>402</v>
      </c>
      <c r="G169" s="255" t="s">
        <v>1951</v>
      </c>
      <c r="H169" s="333">
        <v>9515200</v>
      </c>
      <c r="I169" s="334">
        <v>1617584</v>
      </c>
      <c r="J169" s="682">
        <v>7179650</v>
      </c>
      <c r="K169" s="682">
        <f t="shared" si="30"/>
        <v>717965</v>
      </c>
      <c r="L169" s="333">
        <f t="shared" si="31"/>
        <v>7897615</v>
      </c>
      <c r="M169" s="333">
        <f t="shared" si="22"/>
        <v>7897616</v>
      </c>
    </row>
    <row r="170" spans="1:13" s="256" customFormat="1" x14ac:dyDescent="0.25">
      <c r="A170" s="274">
        <v>44627</v>
      </c>
      <c r="B170" s="511">
        <v>44625</v>
      </c>
      <c r="C170" s="381">
        <v>22030224</v>
      </c>
      <c r="D170" s="273" t="s">
        <v>400</v>
      </c>
      <c r="E170" s="275" t="s">
        <v>401</v>
      </c>
      <c r="F170" s="272" t="s">
        <v>402</v>
      </c>
      <c r="G170" s="255" t="s">
        <v>1952</v>
      </c>
      <c r="H170" s="333">
        <v>49255200</v>
      </c>
      <c r="I170" s="334">
        <v>8373384</v>
      </c>
      <c r="J170" s="682">
        <v>37165287</v>
      </c>
      <c r="K170" s="682">
        <f t="shared" si="30"/>
        <v>3716528.7</v>
      </c>
      <c r="L170" s="333">
        <f t="shared" si="31"/>
        <v>40881815.700000003</v>
      </c>
      <c r="M170" s="333">
        <f t="shared" si="22"/>
        <v>40881816</v>
      </c>
    </row>
    <row r="171" spans="1:13" s="256" customFormat="1" x14ac:dyDescent="0.25">
      <c r="A171" s="274">
        <v>44631</v>
      </c>
      <c r="B171" s="511">
        <v>44629</v>
      </c>
      <c r="C171" s="381">
        <v>22030490</v>
      </c>
      <c r="D171" s="273" t="s">
        <v>400</v>
      </c>
      <c r="E171" s="275" t="s">
        <v>401</v>
      </c>
      <c r="F171" s="272" t="s">
        <v>402</v>
      </c>
      <c r="G171" s="255" t="s">
        <v>1953</v>
      </c>
      <c r="H171" s="333">
        <v>38097040</v>
      </c>
      <c r="I171" s="334">
        <v>6476496.7999999998</v>
      </c>
      <c r="J171" s="682">
        <v>28745948</v>
      </c>
      <c r="K171" s="682">
        <f t="shared" si="30"/>
        <v>2874594.8000000003</v>
      </c>
      <c r="L171" s="333">
        <f t="shared" si="31"/>
        <v>31620542.800000001</v>
      </c>
      <c r="M171" s="333">
        <f t="shared" si="22"/>
        <v>31620543.199999999</v>
      </c>
    </row>
    <row r="172" spans="1:13" s="256" customFormat="1" x14ac:dyDescent="0.25">
      <c r="A172" s="274">
        <v>44631</v>
      </c>
      <c r="B172" s="511">
        <v>44629</v>
      </c>
      <c r="C172" s="381">
        <v>22030529</v>
      </c>
      <c r="D172" s="273" t="s">
        <v>400</v>
      </c>
      <c r="E172" s="275" t="s">
        <v>401</v>
      </c>
      <c r="F172" s="272" t="s">
        <v>402</v>
      </c>
      <c r="G172" s="255" t="s">
        <v>1954</v>
      </c>
      <c r="H172" s="333">
        <v>30072000</v>
      </c>
      <c r="I172" s="334">
        <v>5112240</v>
      </c>
      <c r="J172" s="682">
        <v>22690690</v>
      </c>
      <c r="K172" s="682">
        <f t="shared" si="30"/>
        <v>2269069</v>
      </c>
      <c r="L172" s="333">
        <f t="shared" si="31"/>
        <v>24959759</v>
      </c>
      <c r="M172" s="333">
        <f t="shared" si="22"/>
        <v>24959760</v>
      </c>
    </row>
    <row r="173" spans="1:13" s="256" customFormat="1" x14ac:dyDescent="0.25">
      <c r="A173" s="274">
        <v>44631</v>
      </c>
      <c r="B173" s="511">
        <v>44629</v>
      </c>
      <c r="C173" s="381">
        <v>22030530</v>
      </c>
      <c r="D173" s="273" t="s">
        <v>400</v>
      </c>
      <c r="E173" s="275" t="s">
        <v>401</v>
      </c>
      <c r="F173" s="272" t="s">
        <v>402</v>
      </c>
      <c r="G173" s="255" t="s">
        <v>1955</v>
      </c>
      <c r="H173" s="333">
        <v>60693600</v>
      </c>
      <c r="I173" s="334">
        <v>10317912</v>
      </c>
      <c r="J173" s="682">
        <v>45796080</v>
      </c>
      <c r="K173" s="682">
        <f t="shared" si="30"/>
        <v>4579608</v>
      </c>
      <c r="L173" s="333">
        <f t="shared" si="31"/>
        <v>50375688</v>
      </c>
      <c r="M173" s="333">
        <f t="shared" si="22"/>
        <v>50375688</v>
      </c>
    </row>
    <row r="174" spans="1:13" s="256" customFormat="1" x14ac:dyDescent="0.25">
      <c r="A174" s="274">
        <v>44634</v>
      </c>
      <c r="B174" s="511">
        <v>44630</v>
      </c>
      <c r="C174" s="381">
        <v>22030667</v>
      </c>
      <c r="D174" s="273" t="s">
        <v>400</v>
      </c>
      <c r="E174" s="275" t="s">
        <v>401</v>
      </c>
      <c r="F174" s="272" t="s">
        <v>402</v>
      </c>
      <c r="G174" s="255" t="s">
        <v>1956</v>
      </c>
      <c r="H174" s="333">
        <v>30146400</v>
      </c>
      <c r="I174" s="334">
        <v>5124888</v>
      </c>
      <c r="J174" s="682">
        <v>22746829</v>
      </c>
      <c r="K174" s="682">
        <f t="shared" si="30"/>
        <v>2274682.9</v>
      </c>
      <c r="L174" s="333">
        <f t="shared" si="31"/>
        <v>25021511.899999999</v>
      </c>
      <c r="M174" s="333">
        <f t="shared" si="22"/>
        <v>25021512</v>
      </c>
    </row>
    <row r="175" spans="1:13" s="256" customFormat="1" x14ac:dyDescent="0.25">
      <c r="A175" s="274">
        <v>44635</v>
      </c>
      <c r="B175" s="511">
        <v>44632</v>
      </c>
      <c r="C175" s="381">
        <v>22030855</v>
      </c>
      <c r="D175" s="273" t="s">
        <v>400</v>
      </c>
      <c r="E175" s="275" t="s">
        <v>401</v>
      </c>
      <c r="F175" s="272" t="s">
        <v>402</v>
      </c>
      <c r="G175" s="255" t="s">
        <v>1957</v>
      </c>
      <c r="H175" s="333">
        <v>43181600</v>
      </c>
      <c r="I175" s="334">
        <v>7340872</v>
      </c>
      <c r="J175" s="682">
        <v>32582480</v>
      </c>
      <c r="K175" s="682">
        <f t="shared" si="30"/>
        <v>3258248</v>
      </c>
      <c r="L175" s="333">
        <f t="shared" si="31"/>
        <v>35840728</v>
      </c>
      <c r="M175" s="333">
        <f t="shared" si="22"/>
        <v>35840728</v>
      </c>
    </row>
    <row r="176" spans="1:13" s="256" customFormat="1" x14ac:dyDescent="0.25">
      <c r="A176" s="274">
        <v>44635</v>
      </c>
      <c r="B176" s="511">
        <v>44632</v>
      </c>
      <c r="C176" s="381">
        <v>22030872</v>
      </c>
      <c r="D176" s="273" t="s">
        <v>400</v>
      </c>
      <c r="E176" s="275" t="s">
        <v>401</v>
      </c>
      <c r="F176" s="272" t="s">
        <v>402</v>
      </c>
      <c r="G176" s="255" t="s">
        <v>1958</v>
      </c>
      <c r="H176" s="333">
        <v>11134800</v>
      </c>
      <c r="I176" s="334">
        <v>1892916</v>
      </c>
      <c r="J176" s="682">
        <v>8401712</v>
      </c>
      <c r="K176" s="682">
        <f t="shared" si="30"/>
        <v>840171.20000000007</v>
      </c>
      <c r="L176" s="333">
        <f t="shared" si="31"/>
        <v>9241883.1999999993</v>
      </c>
      <c r="M176" s="333">
        <f t="shared" si="22"/>
        <v>9241884</v>
      </c>
    </row>
    <row r="177" spans="1:13" s="256" customFormat="1" x14ac:dyDescent="0.25">
      <c r="A177" s="274">
        <v>44637</v>
      </c>
      <c r="B177" s="511">
        <v>44634</v>
      </c>
      <c r="C177" s="381">
        <v>22030989</v>
      </c>
      <c r="D177" s="273" t="s">
        <v>400</v>
      </c>
      <c r="E177" s="275" t="s">
        <v>401</v>
      </c>
      <c r="F177" s="272" t="s">
        <v>402</v>
      </c>
      <c r="G177" s="255" t="s">
        <v>1959</v>
      </c>
      <c r="H177" s="333">
        <v>18648000</v>
      </c>
      <c r="I177" s="334">
        <v>3170160</v>
      </c>
      <c r="J177" s="682">
        <v>14070763</v>
      </c>
      <c r="K177" s="682">
        <f t="shared" si="30"/>
        <v>1407076.3</v>
      </c>
      <c r="L177" s="333">
        <f t="shared" si="31"/>
        <v>15477839.300000001</v>
      </c>
      <c r="M177" s="333">
        <f t="shared" si="22"/>
        <v>15477840</v>
      </c>
    </row>
    <row r="178" spans="1:13" s="256" customFormat="1" x14ac:dyDescent="0.25">
      <c r="A178" s="274">
        <v>44637</v>
      </c>
      <c r="B178" s="511">
        <v>44636</v>
      </c>
      <c r="C178" s="381">
        <v>22031095</v>
      </c>
      <c r="D178" s="273" t="s">
        <v>400</v>
      </c>
      <c r="E178" s="275" t="s">
        <v>401</v>
      </c>
      <c r="F178" s="272" t="s">
        <v>402</v>
      </c>
      <c r="G178" s="255" t="s">
        <v>1960</v>
      </c>
      <c r="H178" s="333">
        <v>61329000</v>
      </c>
      <c r="I178" s="334">
        <v>10425930</v>
      </c>
      <c r="J178" s="682">
        <v>46275518</v>
      </c>
      <c r="K178" s="682">
        <f t="shared" si="30"/>
        <v>4627551.8</v>
      </c>
      <c r="L178" s="333">
        <f t="shared" si="31"/>
        <v>50903069.799999997</v>
      </c>
      <c r="M178" s="333">
        <f t="shared" si="22"/>
        <v>50903070</v>
      </c>
    </row>
    <row r="179" spans="1:13" s="256" customFormat="1" x14ac:dyDescent="0.25">
      <c r="A179" s="274">
        <v>44639</v>
      </c>
      <c r="B179" s="511">
        <v>44637</v>
      </c>
      <c r="C179" s="381">
        <v>22031222</v>
      </c>
      <c r="D179" s="273" t="s">
        <v>400</v>
      </c>
      <c r="E179" s="275" t="s">
        <v>401</v>
      </c>
      <c r="F179" s="272" t="s">
        <v>402</v>
      </c>
      <c r="G179" s="255" t="s">
        <v>1961</v>
      </c>
      <c r="H179" s="333">
        <v>68079600</v>
      </c>
      <c r="I179" s="334">
        <v>11573532</v>
      </c>
      <c r="J179" s="682">
        <v>51369152</v>
      </c>
      <c r="K179" s="682">
        <f t="shared" si="30"/>
        <v>5136915.2</v>
      </c>
      <c r="L179" s="333">
        <f t="shared" si="31"/>
        <v>56506067.200000003</v>
      </c>
      <c r="M179" s="333">
        <f t="shared" si="22"/>
        <v>56506068</v>
      </c>
    </row>
    <row r="180" spans="1:13" s="256" customFormat="1" x14ac:dyDescent="0.25">
      <c r="A180" s="274">
        <v>44642</v>
      </c>
      <c r="B180" s="511">
        <v>44638</v>
      </c>
      <c r="C180" s="381">
        <v>22031286</v>
      </c>
      <c r="D180" s="273" t="s">
        <v>400</v>
      </c>
      <c r="E180" s="275" t="s">
        <v>401</v>
      </c>
      <c r="F180" s="272" t="s">
        <v>402</v>
      </c>
      <c r="G180" s="255" t="s">
        <v>1962</v>
      </c>
      <c r="H180" s="333">
        <v>12197600</v>
      </c>
      <c r="I180" s="334">
        <v>2073592</v>
      </c>
      <c r="J180" s="682">
        <v>9203643</v>
      </c>
      <c r="K180" s="682">
        <f t="shared" si="30"/>
        <v>920364.3</v>
      </c>
      <c r="L180" s="333">
        <f t="shared" si="31"/>
        <v>10124007.300000001</v>
      </c>
      <c r="M180" s="333">
        <f t="shared" si="22"/>
        <v>10124008</v>
      </c>
    </row>
    <row r="181" spans="1:13" s="256" customFormat="1" x14ac:dyDescent="0.25">
      <c r="A181" s="274">
        <v>44643</v>
      </c>
      <c r="B181" s="511">
        <v>44639</v>
      </c>
      <c r="C181" s="381">
        <v>22031391</v>
      </c>
      <c r="D181" s="273" t="s">
        <v>400</v>
      </c>
      <c r="E181" s="275" t="s">
        <v>401</v>
      </c>
      <c r="F181" s="272" t="s">
        <v>402</v>
      </c>
      <c r="G181" s="255" t="s">
        <v>1963</v>
      </c>
      <c r="H181" s="333">
        <v>8124000</v>
      </c>
      <c r="I181" s="334">
        <v>1381080</v>
      </c>
      <c r="J181" s="682">
        <v>6129927</v>
      </c>
      <c r="K181" s="682">
        <f t="shared" si="30"/>
        <v>612992.70000000007</v>
      </c>
      <c r="L181" s="333">
        <f t="shared" si="31"/>
        <v>6742919.7000000002</v>
      </c>
      <c r="M181" s="333">
        <f t="shared" si="22"/>
        <v>6742920</v>
      </c>
    </row>
    <row r="182" spans="1:13" s="256" customFormat="1" x14ac:dyDescent="0.25">
      <c r="A182" s="274">
        <v>44644</v>
      </c>
      <c r="B182" s="511">
        <v>44641</v>
      </c>
      <c r="C182" s="381">
        <v>22031522</v>
      </c>
      <c r="D182" s="273" t="s">
        <v>400</v>
      </c>
      <c r="E182" s="275" t="s">
        <v>401</v>
      </c>
      <c r="F182" s="272" t="s">
        <v>402</v>
      </c>
      <c r="G182" s="255" t="s">
        <v>1964</v>
      </c>
      <c r="H182" s="333">
        <v>24367800</v>
      </c>
      <c r="I182" s="334">
        <v>4142526</v>
      </c>
      <c r="J182" s="682">
        <v>18386612</v>
      </c>
      <c r="K182" s="682">
        <f t="shared" si="30"/>
        <v>1838661.2000000002</v>
      </c>
      <c r="L182" s="333">
        <f t="shared" si="31"/>
        <v>20225273.199999999</v>
      </c>
      <c r="M182" s="333">
        <f t="shared" si="22"/>
        <v>20225274</v>
      </c>
    </row>
    <row r="183" spans="1:13" s="256" customFormat="1" x14ac:dyDescent="0.25">
      <c r="A183" s="274">
        <v>44645</v>
      </c>
      <c r="B183" s="511">
        <v>44643</v>
      </c>
      <c r="C183" s="381">
        <v>22031712</v>
      </c>
      <c r="D183" s="273" t="s">
        <v>400</v>
      </c>
      <c r="E183" s="275" t="s">
        <v>401</v>
      </c>
      <c r="F183" s="272" t="s">
        <v>402</v>
      </c>
      <c r="G183" s="255" t="s">
        <v>2311</v>
      </c>
      <c r="H183" s="333">
        <v>30452400</v>
      </c>
      <c r="I183" s="334">
        <v>5176908</v>
      </c>
      <c r="J183" s="682">
        <v>22977720</v>
      </c>
      <c r="K183" s="682">
        <f t="shared" ref="K183:K191" si="32">J183*10%</f>
        <v>2297772</v>
      </c>
      <c r="L183" s="333">
        <f t="shared" ref="L183:L191" si="33">SUM(J183:K183)</f>
        <v>25275492</v>
      </c>
      <c r="M183" s="333">
        <f t="shared" si="22"/>
        <v>25275492</v>
      </c>
    </row>
    <row r="184" spans="1:13" s="256" customFormat="1" x14ac:dyDescent="0.25">
      <c r="A184" s="274">
        <v>44645</v>
      </c>
      <c r="B184" s="511">
        <v>44643</v>
      </c>
      <c r="C184" s="381">
        <v>22031715</v>
      </c>
      <c r="D184" s="273" t="s">
        <v>400</v>
      </c>
      <c r="E184" s="275" t="s">
        <v>401</v>
      </c>
      <c r="F184" s="272" t="s">
        <v>402</v>
      </c>
      <c r="G184" s="255" t="s">
        <v>2312</v>
      </c>
      <c r="H184" s="333">
        <v>14880000</v>
      </c>
      <c r="I184" s="334">
        <v>2529600</v>
      </c>
      <c r="J184" s="682">
        <v>11227636</v>
      </c>
      <c r="K184" s="682">
        <f t="shared" si="32"/>
        <v>1122763.6000000001</v>
      </c>
      <c r="L184" s="333">
        <f t="shared" si="33"/>
        <v>12350399.6</v>
      </c>
      <c r="M184" s="333">
        <f t="shared" si="22"/>
        <v>12350400</v>
      </c>
    </row>
    <row r="185" spans="1:13" s="256" customFormat="1" x14ac:dyDescent="0.25">
      <c r="A185" s="274">
        <v>44646</v>
      </c>
      <c r="B185" s="511">
        <v>44644</v>
      </c>
      <c r="C185" s="381">
        <v>22031842</v>
      </c>
      <c r="D185" s="273" t="s">
        <v>400</v>
      </c>
      <c r="E185" s="275" t="s">
        <v>401</v>
      </c>
      <c r="F185" s="272" t="s">
        <v>402</v>
      </c>
      <c r="G185" s="255" t="s">
        <v>2313</v>
      </c>
      <c r="H185" s="333">
        <v>10388000</v>
      </c>
      <c r="I185" s="334">
        <v>1765960</v>
      </c>
      <c r="J185" s="682">
        <v>7838218</v>
      </c>
      <c r="K185" s="682">
        <f t="shared" si="32"/>
        <v>783821.8</v>
      </c>
      <c r="L185" s="333">
        <f t="shared" si="33"/>
        <v>8622039.8000000007</v>
      </c>
      <c r="M185" s="333">
        <f t="shared" si="22"/>
        <v>8622040</v>
      </c>
    </row>
    <row r="186" spans="1:13" s="256" customFormat="1" x14ac:dyDescent="0.25">
      <c r="A186" s="274">
        <v>44646</v>
      </c>
      <c r="B186" s="511">
        <v>44644</v>
      </c>
      <c r="C186" s="381">
        <v>22031857</v>
      </c>
      <c r="D186" s="273" t="s">
        <v>400</v>
      </c>
      <c r="E186" s="275" t="s">
        <v>401</v>
      </c>
      <c r="F186" s="272" t="s">
        <v>402</v>
      </c>
      <c r="G186" s="255" t="s">
        <v>2314</v>
      </c>
      <c r="H186" s="333">
        <v>6361600</v>
      </c>
      <c r="I186" s="334">
        <v>1081472</v>
      </c>
      <c r="J186" s="682">
        <v>4800116</v>
      </c>
      <c r="K186" s="682">
        <f t="shared" si="32"/>
        <v>480011.60000000003</v>
      </c>
      <c r="L186" s="333">
        <f t="shared" si="33"/>
        <v>5280127.5999999996</v>
      </c>
      <c r="M186" s="333">
        <f t="shared" si="22"/>
        <v>5280128</v>
      </c>
    </row>
    <row r="187" spans="1:13" s="256" customFormat="1" x14ac:dyDescent="0.25">
      <c r="A187" s="274">
        <v>44618</v>
      </c>
      <c r="B187" s="511">
        <v>44644</v>
      </c>
      <c r="C187" s="381">
        <v>22031880</v>
      </c>
      <c r="D187" s="273" t="s">
        <v>400</v>
      </c>
      <c r="E187" s="275" t="s">
        <v>401</v>
      </c>
      <c r="F187" s="272" t="s">
        <v>402</v>
      </c>
      <c r="G187" s="255" t="s">
        <v>2315</v>
      </c>
      <c r="H187" s="333">
        <v>18096000</v>
      </c>
      <c r="I187" s="334">
        <v>2076320</v>
      </c>
      <c r="J187" s="682">
        <v>13654254</v>
      </c>
      <c r="K187" s="682">
        <f t="shared" si="32"/>
        <v>1365425.4000000001</v>
      </c>
      <c r="L187" s="333">
        <f t="shared" si="33"/>
        <v>15019679.4</v>
      </c>
      <c r="M187" s="333">
        <f t="shared" si="22"/>
        <v>16019680</v>
      </c>
    </row>
    <row r="188" spans="1:13" s="256" customFormat="1" x14ac:dyDescent="0.25">
      <c r="A188" s="274">
        <v>44648</v>
      </c>
      <c r="B188" s="511">
        <v>44645</v>
      </c>
      <c r="C188" s="381">
        <v>22031945</v>
      </c>
      <c r="D188" s="273" t="s">
        <v>400</v>
      </c>
      <c r="E188" s="275" t="s">
        <v>401</v>
      </c>
      <c r="F188" s="272" t="s">
        <v>402</v>
      </c>
      <c r="G188" s="255" t="s">
        <v>2316</v>
      </c>
      <c r="H188" s="333">
        <v>7398000</v>
      </c>
      <c r="I188" s="334">
        <v>1257660</v>
      </c>
      <c r="J188" s="682">
        <v>5582127</v>
      </c>
      <c r="K188" s="682">
        <f t="shared" si="32"/>
        <v>558212.70000000007</v>
      </c>
      <c r="L188" s="333">
        <f t="shared" si="33"/>
        <v>6140339.7000000002</v>
      </c>
      <c r="M188" s="333">
        <f t="shared" si="22"/>
        <v>6140340</v>
      </c>
    </row>
    <row r="189" spans="1:13" s="256" customFormat="1" x14ac:dyDescent="0.25">
      <c r="A189" s="274">
        <v>44650</v>
      </c>
      <c r="B189" s="511">
        <v>44646</v>
      </c>
      <c r="C189" s="381">
        <v>22031993</v>
      </c>
      <c r="D189" s="273" t="s">
        <v>400</v>
      </c>
      <c r="E189" s="275" t="s">
        <v>401</v>
      </c>
      <c r="F189" s="272" t="s">
        <v>402</v>
      </c>
      <c r="G189" s="255" t="s">
        <v>2317</v>
      </c>
      <c r="H189" s="333">
        <v>48654000</v>
      </c>
      <c r="I189" s="334">
        <v>8271180</v>
      </c>
      <c r="J189" s="682">
        <v>36711654</v>
      </c>
      <c r="K189" s="682">
        <f t="shared" si="32"/>
        <v>3671165.4000000004</v>
      </c>
      <c r="L189" s="333">
        <f t="shared" si="33"/>
        <v>40382819.399999999</v>
      </c>
      <c r="M189" s="333">
        <f t="shared" si="22"/>
        <v>40382820</v>
      </c>
    </row>
    <row r="190" spans="1:13" s="256" customFormat="1" x14ac:dyDescent="0.25">
      <c r="A190" s="274">
        <v>44652</v>
      </c>
      <c r="B190" s="511">
        <v>44648</v>
      </c>
      <c r="C190" s="381">
        <v>22032073</v>
      </c>
      <c r="D190" s="273" t="s">
        <v>400</v>
      </c>
      <c r="E190" s="275" t="s">
        <v>401</v>
      </c>
      <c r="F190" s="272" t="s">
        <v>402</v>
      </c>
      <c r="G190" s="255" t="s">
        <v>2318</v>
      </c>
      <c r="H190" s="333">
        <v>8664000</v>
      </c>
      <c r="I190" s="334">
        <v>1472880</v>
      </c>
      <c r="J190" s="682">
        <v>6537381</v>
      </c>
      <c r="K190" s="682">
        <f t="shared" si="32"/>
        <v>653738.10000000009</v>
      </c>
      <c r="L190" s="333">
        <f t="shared" si="33"/>
        <v>7191119.0999999996</v>
      </c>
      <c r="M190" s="333">
        <f t="shared" si="22"/>
        <v>7191120</v>
      </c>
    </row>
    <row r="191" spans="1:13" s="256" customFormat="1" x14ac:dyDescent="0.25">
      <c r="A191" s="274">
        <v>44653</v>
      </c>
      <c r="B191" s="511">
        <v>44650</v>
      </c>
      <c r="C191" s="381">
        <v>22032169</v>
      </c>
      <c r="D191" s="273" t="s">
        <v>400</v>
      </c>
      <c r="E191" s="275" t="s">
        <v>401</v>
      </c>
      <c r="F191" s="272" t="s">
        <v>402</v>
      </c>
      <c r="G191" s="255" t="s">
        <v>2319</v>
      </c>
      <c r="H191" s="333">
        <v>179020800</v>
      </c>
      <c r="I191" s="334">
        <v>30433536</v>
      </c>
      <c r="J191" s="682">
        <v>135079330</v>
      </c>
      <c r="K191" s="682">
        <f t="shared" si="32"/>
        <v>13507933</v>
      </c>
      <c r="L191" s="333">
        <f t="shared" si="33"/>
        <v>148587263</v>
      </c>
      <c r="M191" s="333">
        <f t="shared" si="22"/>
        <v>148587264</v>
      </c>
    </row>
    <row r="192" spans="1:13" s="256" customFormat="1" x14ac:dyDescent="0.25">
      <c r="A192" s="274">
        <v>44634</v>
      </c>
      <c r="B192" s="511">
        <v>44630</v>
      </c>
      <c r="C192" s="381" t="s">
        <v>2339</v>
      </c>
      <c r="D192" s="273" t="s">
        <v>322</v>
      </c>
      <c r="E192" s="275" t="s">
        <v>397</v>
      </c>
      <c r="F192" s="272" t="s">
        <v>2645</v>
      </c>
      <c r="G192" s="255" t="s">
        <v>1946</v>
      </c>
      <c r="H192" s="333">
        <v>12000000</v>
      </c>
      <c r="I192" s="334">
        <v>0</v>
      </c>
      <c r="J192" s="682">
        <v>10909095</v>
      </c>
      <c r="K192" s="682">
        <f t="shared" si="20"/>
        <v>1090909.5</v>
      </c>
      <c r="L192" s="333">
        <f t="shared" si="21"/>
        <v>12000004.5</v>
      </c>
      <c r="M192" s="333">
        <f t="shared" si="22"/>
        <v>12000000</v>
      </c>
    </row>
    <row r="193" spans="1:13" s="256" customFormat="1" x14ac:dyDescent="0.25">
      <c r="A193" s="274">
        <v>44655</v>
      </c>
      <c r="B193" s="511">
        <v>44650</v>
      </c>
      <c r="C193" s="381" t="s">
        <v>2362</v>
      </c>
      <c r="D193" s="273" t="s">
        <v>322</v>
      </c>
      <c r="E193" s="275" t="s">
        <v>397</v>
      </c>
      <c r="F193" s="272" t="s">
        <v>2645</v>
      </c>
      <c r="G193" s="255" t="s">
        <v>2598</v>
      </c>
      <c r="H193" s="333">
        <v>12000000</v>
      </c>
      <c r="I193" s="334">
        <v>0</v>
      </c>
      <c r="J193" s="682">
        <f>(H193-I193)/1.1</f>
        <v>10909090.909090908</v>
      </c>
      <c r="K193" s="682">
        <f>J193*10%</f>
        <v>1090909.0909090908</v>
      </c>
      <c r="L193" s="333">
        <f>SUM(J193:K193)</f>
        <v>12000000</v>
      </c>
      <c r="M193" s="333">
        <f t="shared" si="22"/>
        <v>12000000</v>
      </c>
    </row>
    <row r="194" spans="1:13" s="256" customFormat="1" x14ac:dyDescent="0.25">
      <c r="A194" s="274">
        <v>44652</v>
      </c>
      <c r="B194" s="511">
        <v>44648</v>
      </c>
      <c r="C194" s="381" t="s">
        <v>2363</v>
      </c>
      <c r="D194" s="273" t="s">
        <v>305</v>
      </c>
      <c r="E194" s="275" t="s">
        <v>398</v>
      </c>
      <c r="F194" s="272" t="s">
        <v>399</v>
      </c>
      <c r="G194" s="255" t="s">
        <v>2324</v>
      </c>
      <c r="H194" s="333">
        <v>39277000</v>
      </c>
      <c r="I194" s="334">
        <v>0</v>
      </c>
      <c r="J194" s="682">
        <v>35706058</v>
      </c>
      <c r="K194" s="682">
        <f t="shared" si="20"/>
        <v>3570605.8000000003</v>
      </c>
      <c r="L194" s="333">
        <f t="shared" si="21"/>
        <v>39276663.799999997</v>
      </c>
      <c r="M194" s="333">
        <f t="shared" si="22"/>
        <v>39277000</v>
      </c>
    </row>
    <row r="195" spans="1:13" s="256" customFormat="1" x14ac:dyDescent="0.25">
      <c r="A195" s="274">
        <v>44653</v>
      </c>
      <c r="B195" s="511">
        <v>44651</v>
      </c>
      <c r="C195" s="381" t="s">
        <v>2364</v>
      </c>
      <c r="D195" s="273" t="s">
        <v>305</v>
      </c>
      <c r="E195" s="275" t="s">
        <v>398</v>
      </c>
      <c r="F195" s="272" t="s">
        <v>399</v>
      </c>
      <c r="G195" s="255" t="s">
        <v>2325</v>
      </c>
      <c r="H195" s="333">
        <v>23670000</v>
      </c>
      <c r="I195" s="334">
        <v>0</v>
      </c>
      <c r="J195" s="682">
        <v>21518352</v>
      </c>
      <c r="K195" s="682">
        <f t="shared" si="20"/>
        <v>2151835.2000000002</v>
      </c>
      <c r="L195" s="333">
        <f t="shared" si="21"/>
        <v>23670187.199999999</v>
      </c>
      <c r="M195" s="333">
        <f t="shared" si="22"/>
        <v>23670000</v>
      </c>
    </row>
    <row r="196" spans="1:13" s="256" customFormat="1" x14ac:dyDescent="0.25">
      <c r="A196" s="274"/>
      <c r="B196" s="511"/>
      <c r="C196" s="381"/>
      <c r="D196" s="273"/>
      <c r="E196" s="272"/>
      <c r="F196" s="275"/>
      <c r="G196" s="255"/>
      <c r="H196" s="333"/>
      <c r="I196" s="334"/>
      <c r="J196" s="682">
        <f t="shared" ref="J196" si="34">(H196-I196)/1.1</f>
        <v>0</v>
      </c>
      <c r="K196" s="682">
        <f t="shared" ref="K196" si="35">J196*10%</f>
        <v>0</v>
      </c>
      <c r="L196" s="333">
        <f t="shared" ref="L196" si="36">SUM(J196:K196)</f>
        <v>0</v>
      </c>
      <c r="M196" s="333">
        <f t="shared" si="22"/>
        <v>0</v>
      </c>
    </row>
    <row r="197" spans="1:13" ht="18" x14ac:dyDescent="0.25">
      <c r="A197" s="513" t="s">
        <v>38</v>
      </c>
      <c r="B197" s="512"/>
      <c r="C197" s="515"/>
      <c r="D197" s="514"/>
      <c r="E197" s="519"/>
      <c r="F197" s="519"/>
      <c r="G197" s="516"/>
      <c r="H197" s="413">
        <f>SUM(H137:H196)</f>
        <v>1399472158</v>
      </c>
      <c r="I197" s="412"/>
      <c r="J197" s="683">
        <f>SUM(J137:J196)</f>
        <v>1124616773.909091</v>
      </c>
      <c r="K197" s="683">
        <f>SUM(K137:K196)</f>
        <v>112461677.39090911</v>
      </c>
      <c r="L197" s="414">
        <f>SUM(L137:L196)</f>
        <v>1237078451.3</v>
      </c>
      <c r="M197" s="414">
        <f>SUM(M137:M196)</f>
        <v>1244570356.7</v>
      </c>
    </row>
    <row r="198" spans="1:13" ht="27" x14ac:dyDescent="0.25">
      <c r="A198" s="257" t="s">
        <v>224</v>
      </c>
      <c r="B198" s="509" t="s">
        <v>391</v>
      </c>
      <c r="C198" s="380" t="s">
        <v>167</v>
      </c>
      <c r="D198" s="258" t="s">
        <v>176</v>
      </c>
      <c r="E198" s="258" t="s">
        <v>177</v>
      </c>
      <c r="F198" s="729"/>
      <c r="G198" s="258" t="s">
        <v>110</v>
      </c>
      <c r="H198" s="332" t="s">
        <v>230</v>
      </c>
      <c r="I198" s="332" t="s">
        <v>231</v>
      </c>
      <c r="J198" s="680" t="s">
        <v>111</v>
      </c>
      <c r="K198" s="680" t="s">
        <v>2133</v>
      </c>
      <c r="L198" s="386" t="s">
        <v>38</v>
      </c>
      <c r="M198" s="386" t="s">
        <v>38</v>
      </c>
    </row>
    <row r="199" spans="1:13" ht="18" x14ac:dyDescent="0.25">
      <c r="A199" s="510" t="s">
        <v>101</v>
      </c>
      <c r="B199" s="510"/>
      <c r="C199" s="421"/>
      <c r="D199" s="420"/>
      <c r="E199" s="518"/>
      <c r="F199" s="518"/>
      <c r="G199" s="420"/>
      <c r="H199" s="422"/>
      <c r="I199" s="422"/>
      <c r="J199" s="681"/>
      <c r="K199" s="681"/>
      <c r="L199" s="423"/>
      <c r="M199" s="423"/>
    </row>
    <row r="200" spans="1:13" s="256" customFormat="1" x14ac:dyDescent="0.25">
      <c r="A200" s="274">
        <v>44659</v>
      </c>
      <c r="B200" s="511">
        <v>44655</v>
      </c>
      <c r="C200" s="381" t="s">
        <v>2646</v>
      </c>
      <c r="D200" s="273" t="s">
        <v>304</v>
      </c>
      <c r="E200" s="275" t="s">
        <v>392</v>
      </c>
      <c r="F200" s="272" t="s">
        <v>2644</v>
      </c>
      <c r="G200" s="255" t="s">
        <v>2682</v>
      </c>
      <c r="H200" s="333">
        <v>12671910</v>
      </c>
      <c r="I200" s="334">
        <v>615600</v>
      </c>
      <c r="J200" s="682">
        <v>10861540</v>
      </c>
      <c r="K200" s="682">
        <f t="shared" ref="K200:K246" si="37">J200*11%</f>
        <v>1194769.3999999999</v>
      </c>
      <c r="L200" s="333">
        <f t="shared" ref="L200:L246" si="38">SUM(J200:K200)</f>
        <v>12056309.4</v>
      </c>
      <c r="M200" s="333">
        <f t="shared" ref="M200:M246" si="39">H200-I200</f>
        <v>12056310</v>
      </c>
    </row>
    <row r="201" spans="1:13" s="256" customFormat="1" x14ac:dyDescent="0.25">
      <c r="A201" s="274">
        <v>44660</v>
      </c>
      <c r="B201" s="511">
        <v>44657</v>
      </c>
      <c r="C201" s="381" t="s">
        <v>2647</v>
      </c>
      <c r="D201" s="273" t="s">
        <v>304</v>
      </c>
      <c r="E201" s="275" t="s">
        <v>392</v>
      </c>
      <c r="F201" s="272" t="s">
        <v>2644</v>
      </c>
      <c r="G201" s="255" t="s">
        <v>2683</v>
      </c>
      <c r="H201" s="333">
        <v>16808706.25</v>
      </c>
      <c r="I201" s="334">
        <v>0</v>
      </c>
      <c r="J201" s="682">
        <v>15142978</v>
      </c>
      <c r="K201" s="682">
        <f t="shared" si="37"/>
        <v>1665727.58</v>
      </c>
      <c r="L201" s="333">
        <f t="shared" si="38"/>
        <v>16808705.579999998</v>
      </c>
      <c r="M201" s="333">
        <f t="shared" si="39"/>
        <v>16808706.25</v>
      </c>
    </row>
    <row r="202" spans="1:13" s="256" customFormat="1" x14ac:dyDescent="0.25">
      <c r="A202" s="274">
        <v>44664</v>
      </c>
      <c r="B202" s="511">
        <v>44660</v>
      </c>
      <c r="C202" s="381" t="s">
        <v>2649</v>
      </c>
      <c r="D202" s="273" t="s">
        <v>304</v>
      </c>
      <c r="E202" s="275" t="s">
        <v>392</v>
      </c>
      <c r="F202" s="272" t="s">
        <v>2644</v>
      </c>
      <c r="G202" s="255" t="s">
        <v>2684</v>
      </c>
      <c r="H202" s="333">
        <v>26998833.75</v>
      </c>
      <c r="I202" s="334">
        <v>0</v>
      </c>
      <c r="J202" s="682">
        <v>24323273</v>
      </c>
      <c r="K202" s="682">
        <f t="shared" si="37"/>
        <v>2675560.0299999998</v>
      </c>
      <c r="L202" s="333">
        <f t="shared" si="38"/>
        <v>26998833.030000001</v>
      </c>
      <c r="M202" s="333">
        <f t="shared" si="39"/>
        <v>26998833.75</v>
      </c>
    </row>
    <row r="203" spans="1:13" s="256" customFormat="1" x14ac:dyDescent="0.25">
      <c r="A203" s="274">
        <v>44664</v>
      </c>
      <c r="B203" s="511">
        <v>44660</v>
      </c>
      <c r="C203" s="381" t="s">
        <v>2650</v>
      </c>
      <c r="D203" s="273" t="s">
        <v>304</v>
      </c>
      <c r="E203" s="275" t="s">
        <v>392</v>
      </c>
      <c r="F203" s="272" t="s">
        <v>2644</v>
      </c>
      <c r="G203" s="255" t="s">
        <v>2685</v>
      </c>
      <c r="H203" s="333">
        <v>20881875</v>
      </c>
      <c r="I203" s="334">
        <v>718200</v>
      </c>
      <c r="J203" s="682">
        <v>18165472</v>
      </c>
      <c r="K203" s="682">
        <f t="shared" si="37"/>
        <v>1998201.92</v>
      </c>
      <c r="L203" s="333">
        <f t="shared" si="38"/>
        <v>20163673.920000002</v>
      </c>
      <c r="M203" s="333">
        <f t="shared" si="39"/>
        <v>20163675</v>
      </c>
    </row>
    <row r="204" spans="1:13" s="256" customFormat="1" x14ac:dyDescent="0.25">
      <c r="A204" s="274">
        <v>44664</v>
      </c>
      <c r="B204" s="511">
        <v>44660</v>
      </c>
      <c r="C204" s="381" t="s">
        <v>2651</v>
      </c>
      <c r="D204" s="273" t="s">
        <v>304</v>
      </c>
      <c r="E204" s="275" t="s">
        <v>392</v>
      </c>
      <c r="F204" s="272" t="s">
        <v>2644</v>
      </c>
      <c r="G204" s="255" t="s">
        <v>2686</v>
      </c>
      <c r="H204" s="333">
        <v>23139270</v>
      </c>
      <c r="I204" s="334">
        <v>1077300</v>
      </c>
      <c r="J204" s="682">
        <v>19875648</v>
      </c>
      <c r="K204" s="682">
        <f t="shared" si="37"/>
        <v>2186321.2799999998</v>
      </c>
      <c r="L204" s="333">
        <f t="shared" si="38"/>
        <v>22061969.280000001</v>
      </c>
      <c r="M204" s="333">
        <f t="shared" si="39"/>
        <v>22061970</v>
      </c>
    </row>
    <row r="205" spans="1:13" s="256" customFormat="1" x14ac:dyDescent="0.25">
      <c r="A205" s="274">
        <v>44665</v>
      </c>
      <c r="B205" s="511">
        <v>44662</v>
      </c>
      <c r="C205" s="381" t="s">
        <v>2653</v>
      </c>
      <c r="D205" s="273" t="s">
        <v>304</v>
      </c>
      <c r="E205" s="275" t="s">
        <v>392</v>
      </c>
      <c r="F205" s="272" t="s">
        <v>2644</v>
      </c>
      <c r="G205" s="255" t="s">
        <v>2687</v>
      </c>
      <c r="H205" s="333">
        <v>33909680</v>
      </c>
      <c r="I205" s="334">
        <v>0</v>
      </c>
      <c r="J205" s="682">
        <v>30549261</v>
      </c>
      <c r="K205" s="682">
        <f t="shared" si="37"/>
        <v>3360418.71</v>
      </c>
      <c r="L205" s="333">
        <f t="shared" si="38"/>
        <v>33909679.710000001</v>
      </c>
      <c r="M205" s="333">
        <f t="shared" si="39"/>
        <v>33909680</v>
      </c>
    </row>
    <row r="206" spans="1:13" s="256" customFormat="1" x14ac:dyDescent="0.25">
      <c r="A206" s="274">
        <v>44667</v>
      </c>
      <c r="B206" s="511">
        <v>44663</v>
      </c>
      <c r="C206" s="381" t="s">
        <v>2668</v>
      </c>
      <c r="D206" s="273" t="s">
        <v>304</v>
      </c>
      <c r="E206" s="275" t="s">
        <v>392</v>
      </c>
      <c r="F206" s="272" t="s">
        <v>2644</v>
      </c>
      <c r="G206" s="255" t="s">
        <v>2688</v>
      </c>
      <c r="H206" s="333">
        <v>8624670</v>
      </c>
      <c r="I206" s="334">
        <v>369360</v>
      </c>
      <c r="J206" s="682">
        <v>7437216</v>
      </c>
      <c r="K206" s="682">
        <f t="shared" si="37"/>
        <v>818093.76</v>
      </c>
      <c r="L206" s="333">
        <f t="shared" si="38"/>
        <v>8255309.7599999998</v>
      </c>
      <c r="M206" s="333">
        <f t="shared" si="39"/>
        <v>8255310</v>
      </c>
    </row>
    <row r="207" spans="1:13" s="256" customFormat="1" x14ac:dyDescent="0.25">
      <c r="A207" s="274">
        <v>44669</v>
      </c>
      <c r="B207" s="511">
        <v>44664</v>
      </c>
      <c r="C207" s="381" t="s">
        <v>2672</v>
      </c>
      <c r="D207" s="273" t="s">
        <v>304</v>
      </c>
      <c r="E207" s="275" t="s">
        <v>392</v>
      </c>
      <c r="F207" s="272" t="s">
        <v>2644</v>
      </c>
      <c r="G207" s="255" t="s">
        <v>2689</v>
      </c>
      <c r="H207" s="333">
        <v>76423462.5</v>
      </c>
      <c r="I207" s="334">
        <v>0</v>
      </c>
      <c r="J207" s="682">
        <v>68849966</v>
      </c>
      <c r="K207" s="682">
        <f t="shared" si="37"/>
        <v>7573496.2599999998</v>
      </c>
      <c r="L207" s="333">
        <f t="shared" si="38"/>
        <v>76423462.260000005</v>
      </c>
      <c r="M207" s="333">
        <f t="shared" si="39"/>
        <v>76423462.5</v>
      </c>
    </row>
    <row r="208" spans="1:13" s="256" customFormat="1" x14ac:dyDescent="0.25">
      <c r="A208" s="274">
        <v>44669</v>
      </c>
      <c r="B208" s="511">
        <v>44664</v>
      </c>
      <c r="C208" s="381" t="s">
        <v>2671</v>
      </c>
      <c r="D208" s="273" t="s">
        <v>304</v>
      </c>
      <c r="E208" s="275" t="s">
        <v>392</v>
      </c>
      <c r="F208" s="272" t="s">
        <v>2644</v>
      </c>
      <c r="G208" s="255" t="s">
        <v>2690</v>
      </c>
      <c r="H208" s="333">
        <v>47921895</v>
      </c>
      <c r="I208" s="334">
        <v>0</v>
      </c>
      <c r="J208" s="682">
        <v>43172878</v>
      </c>
      <c r="K208" s="682">
        <f t="shared" si="37"/>
        <v>4749016.58</v>
      </c>
      <c r="L208" s="333">
        <f t="shared" si="38"/>
        <v>47921894.579999998</v>
      </c>
      <c r="M208" s="333">
        <f t="shared" si="39"/>
        <v>47921895</v>
      </c>
    </row>
    <row r="209" spans="1:13" s="256" customFormat="1" x14ac:dyDescent="0.25">
      <c r="A209" s="274">
        <v>44669</v>
      </c>
      <c r="B209" s="511">
        <v>44664</v>
      </c>
      <c r="C209" s="381" t="s">
        <v>2670</v>
      </c>
      <c r="D209" s="273" t="s">
        <v>304</v>
      </c>
      <c r="E209" s="275" t="s">
        <v>392</v>
      </c>
      <c r="F209" s="272" t="s">
        <v>2644</v>
      </c>
      <c r="G209" s="255" t="s">
        <v>2691</v>
      </c>
      <c r="H209" s="333">
        <v>30833390</v>
      </c>
      <c r="I209" s="334">
        <v>0</v>
      </c>
      <c r="J209" s="682">
        <v>27777828</v>
      </c>
      <c r="K209" s="682">
        <f t="shared" si="37"/>
        <v>3055561.08</v>
      </c>
      <c r="L209" s="333">
        <f t="shared" si="38"/>
        <v>30833389.079999998</v>
      </c>
      <c r="M209" s="333">
        <f t="shared" si="39"/>
        <v>30833390</v>
      </c>
    </row>
    <row r="210" spans="1:13" s="256" customFormat="1" x14ac:dyDescent="0.25">
      <c r="A210" s="274">
        <v>44669</v>
      </c>
      <c r="B210" s="511">
        <v>44664</v>
      </c>
      <c r="C210" s="381" t="s">
        <v>2669</v>
      </c>
      <c r="D210" s="273" t="s">
        <v>304</v>
      </c>
      <c r="E210" s="275" t="s">
        <v>392</v>
      </c>
      <c r="F210" s="272" t="s">
        <v>2644</v>
      </c>
      <c r="G210" s="255" t="s">
        <v>2692</v>
      </c>
      <c r="H210" s="333">
        <v>6894720</v>
      </c>
      <c r="I210" s="334">
        <v>0</v>
      </c>
      <c r="J210" s="682">
        <v>6211459</v>
      </c>
      <c r="K210" s="682">
        <f t="shared" si="37"/>
        <v>683260.49</v>
      </c>
      <c r="L210" s="333">
        <f t="shared" si="38"/>
        <v>6894719.4900000002</v>
      </c>
      <c r="M210" s="333">
        <f t="shared" si="39"/>
        <v>6894720</v>
      </c>
    </row>
    <row r="211" spans="1:13" s="256" customFormat="1" x14ac:dyDescent="0.25">
      <c r="A211" s="274">
        <v>44670</v>
      </c>
      <c r="B211" s="511">
        <v>44665</v>
      </c>
      <c r="C211" s="381" t="s">
        <v>2673</v>
      </c>
      <c r="D211" s="273" t="s">
        <v>304</v>
      </c>
      <c r="E211" s="275" t="s">
        <v>392</v>
      </c>
      <c r="F211" s="272" t="s">
        <v>2644</v>
      </c>
      <c r="G211" s="255" t="s">
        <v>2693</v>
      </c>
      <c r="H211" s="333">
        <v>25728018.75</v>
      </c>
      <c r="I211" s="334">
        <v>0</v>
      </c>
      <c r="J211" s="682">
        <v>23178395</v>
      </c>
      <c r="K211" s="682">
        <f t="shared" si="37"/>
        <v>2549623.4500000002</v>
      </c>
      <c r="L211" s="333">
        <f t="shared" si="38"/>
        <v>25728018.449999999</v>
      </c>
      <c r="M211" s="333">
        <f t="shared" si="39"/>
        <v>25728018.75</v>
      </c>
    </row>
    <row r="212" spans="1:13" s="256" customFormat="1" x14ac:dyDescent="0.25">
      <c r="A212" s="274">
        <v>44670</v>
      </c>
      <c r="B212" s="511">
        <v>44667</v>
      </c>
      <c r="C212" s="381" t="s">
        <v>2674</v>
      </c>
      <c r="D212" s="273" t="s">
        <v>304</v>
      </c>
      <c r="E212" s="275" t="s">
        <v>392</v>
      </c>
      <c r="F212" s="272" t="s">
        <v>2644</v>
      </c>
      <c r="G212" s="255" t="s">
        <v>3002</v>
      </c>
      <c r="H212" s="333">
        <v>2971980</v>
      </c>
      <c r="I212" s="334">
        <v>123120</v>
      </c>
      <c r="J212" s="682">
        <v>2566540</v>
      </c>
      <c r="K212" s="682">
        <f t="shared" si="37"/>
        <v>282319.40000000002</v>
      </c>
      <c r="L212" s="333">
        <f t="shared" si="38"/>
        <v>2848859.4</v>
      </c>
      <c r="M212" s="333">
        <f t="shared" si="39"/>
        <v>2848860</v>
      </c>
    </row>
    <row r="213" spans="1:13" s="256" customFormat="1" x14ac:dyDescent="0.25">
      <c r="A213" s="274">
        <v>44672</v>
      </c>
      <c r="B213" s="511">
        <v>44669</v>
      </c>
      <c r="C213" s="381" t="s">
        <v>2675</v>
      </c>
      <c r="D213" s="273" t="s">
        <v>304</v>
      </c>
      <c r="E213" s="275" t="s">
        <v>392</v>
      </c>
      <c r="F213" s="272" t="s">
        <v>2644</v>
      </c>
      <c r="G213" s="255" t="s">
        <v>3003</v>
      </c>
      <c r="H213" s="333">
        <v>1865325</v>
      </c>
      <c r="I213" s="334">
        <v>0</v>
      </c>
      <c r="J213" s="682">
        <v>1680472</v>
      </c>
      <c r="K213" s="682">
        <f t="shared" si="37"/>
        <v>184851.92</v>
      </c>
      <c r="L213" s="333">
        <f t="shared" si="38"/>
        <v>1865323.92</v>
      </c>
      <c r="M213" s="333">
        <f t="shared" si="39"/>
        <v>1865325</v>
      </c>
    </row>
    <row r="214" spans="1:13" s="256" customFormat="1" x14ac:dyDescent="0.25">
      <c r="A214" s="274">
        <v>44674</v>
      </c>
      <c r="B214" s="511">
        <v>44670</v>
      </c>
      <c r="C214" s="381" t="s">
        <v>2676</v>
      </c>
      <c r="D214" s="273" t="s">
        <v>304</v>
      </c>
      <c r="E214" s="275" t="s">
        <v>392</v>
      </c>
      <c r="F214" s="272" t="s">
        <v>2644</v>
      </c>
      <c r="G214" s="255" t="s">
        <v>3004</v>
      </c>
      <c r="H214" s="333">
        <v>4309200</v>
      </c>
      <c r="I214" s="334">
        <v>0</v>
      </c>
      <c r="J214" s="682">
        <v>3882162</v>
      </c>
      <c r="K214" s="682">
        <f t="shared" si="37"/>
        <v>427037.82</v>
      </c>
      <c r="L214" s="333">
        <f t="shared" si="38"/>
        <v>4309199.82</v>
      </c>
      <c r="M214" s="333">
        <f t="shared" si="39"/>
        <v>4309200</v>
      </c>
    </row>
    <row r="215" spans="1:13" s="256" customFormat="1" x14ac:dyDescent="0.25">
      <c r="A215" s="274">
        <v>44674</v>
      </c>
      <c r="B215" s="511">
        <v>44671</v>
      </c>
      <c r="C215" s="381" t="s">
        <v>2677</v>
      </c>
      <c r="D215" s="273" t="s">
        <v>304</v>
      </c>
      <c r="E215" s="275" t="s">
        <v>392</v>
      </c>
      <c r="F215" s="272" t="s">
        <v>2644</v>
      </c>
      <c r="G215" s="255" t="s">
        <v>3005</v>
      </c>
      <c r="H215" s="333">
        <v>2298240</v>
      </c>
      <c r="I215" s="334">
        <v>0</v>
      </c>
      <c r="J215" s="682">
        <v>2070486</v>
      </c>
      <c r="K215" s="682">
        <f t="shared" si="37"/>
        <v>227753.46</v>
      </c>
      <c r="L215" s="333">
        <f t="shared" si="38"/>
        <v>2298239.46</v>
      </c>
      <c r="M215" s="333">
        <f t="shared" si="39"/>
        <v>2298240</v>
      </c>
    </row>
    <row r="216" spans="1:13" s="256" customFormat="1" x14ac:dyDescent="0.25">
      <c r="A216" s="274">
        <v>44676</v>
      </c>
      <c r="B216" s="511">
        <v>44672</v>
      </c>
      <c r="C216" s="381" t="s">
        <v>2697</v>
      </c>
      <c r="D216" s="273" t="s">
        <v>304</v>
      </c>
      <c r="E216" s="275" t="s">
        <v>392</v>
      </c>
      <c r="F216" s="272" t="s">
        <v>2644</v>
      </c>
      <c r="G216" s="255" t="s">
        <v>3006</v>
      </c>
      <c r="H216" s="333">
        <v>19533543.75</v>
      </c>
      <c r="I216" s="334">
        <v>0</v>
      </c>
      <c r="J216" s="682">
        <v>17597787</v>
      </c>
      <c r="K216" s="682">
        <f t="shared" si="37"/>
        <v>1935756.57</v>
      </c>
      <c r="L216" s="333">
        <f t="shared" si="38"/>
        <v>19533543.57</v>
      </c>
      <c r="M216" s="333">
        <f t="shared" si="39"/>
        <v>19533543.75</v>
      </c>
    </row>
    <row r="217" spans="1:13" s="256" customFormat="1" x14ac:dyDescent="0.25">
      <c r="A217" s="274">
        <v>44676</v>
      </c>
      <c r="B217" s="511">
        <v>44672</v>
      </c>
      <c r="C217" s="381" t="s">
        <v>2696</v>
      </c>
      <c r="D217" s="273" t="s">
        <v>304</v>
      </c>
      <c r="E217" s="275" t="s">
        <v>392</v>
      </c>
      <c r="F217" s="272" t="s">
        <v>2644</v>
      </c>
      <c r="G217" s="255" t="s">
        <v>3007</v>
      </c>
      <c r="H217" s="333">
        <v>11910150</v>
      </c>
      <c r="I217" s="334">
        <v>0</v>
      </c>
      <c r="J217" s="682">
        <v>10729864</v>
      </c>
      <c r="K217" s="682">
        <f t="shared" si="37"/>
        <v>1180285.04</v>
      </c>
      <c r="L217" s="333">
        <f t="shared" si="38"/>
        <v>11910149.039999999</v>
      </c>
      <c r="M217" s="333">
        <f t="shared" si="39"/>
        <v>11910150</v>
      </c>
    </row>
    <row r="218" spans="1:13" s="256" customFormat="1" x14ac:dyDescent="0.25">
      <c r="A218" s="274">
        <v>44676</v>
      </c>
      <c r="B218" s="511">
        <v>44672</v>
      </c>
      <c r="C218" s="381" t="s">
        <v>2679</v>
      </c>
      <c r="D218" s="273" t="s">
        <v>304</v>
      </c>
      <c r="E218" s="275" t="s">
        <v>392</v>
      </c>
      <c r="F218" s="272" t="s">
        <v>2644</v>
      </c>
      <c r="G218" s="255" t="s">
        <v>3008</v>
      </c>
      <c r="H218" s="333">
        <v>24291143.75</v>
      </c>
      <c r="I218" s="334">
        <v>246240</v>
      </c>
      <c r="J218" s="682">
        <v>21662075</v>
      </c>
      <c r="K218" s="682">
        <f t="shared" si="37"/>
        <v>2382828.25</v>
      </c>
      <c r="L218" s="333">
        <f t="shared" si="38"/>
        <v>24044903.25</v>
      </c>
      <c r="M218" s="333">
        <f t="shared" si="39"/>
        <v>24044903.75</v>
      </c>
    </row>
    <row r="219" spans="1:13" s="256" customFormat="1" x14ac:dyDescent="0.25">
      <c r="A219" s="274">
        <v>44677</v>
      </c>
      <c r="B219" s="511">
        <v>44673</v>
      </c>
      <c r="C219" s="381" t="s">
        <v>2698</v>
      </c>
      <c r="D219" s="273" t="s">
        <v>304</v>
      </c>
      <c r="E219" s="275" t="s">
        <v>392</v>
      </c>
      <c r="F219" s="272" t="s">
        <v>2644</v>
      </c>
      <c r="G219" s="255" t="s">
        <v>3009</v>
      </c>
      <c r="H219" s="333">
        <v>18570125</v>
      </c>
      <c r="I219" s="334">
        <v>825930</v>
      </c>
      <c r="J219" s="682">
        <v>15985761</v>
      </c>
      <c r="K219" s="682">
        <f t="shared" si="37"/>
        <v>1758433.71</v>
      </c>
      <c r="L219" s="333">
        <f t="shared" si="38"/>
        <v>17744194.710000001</v>
      </c>
      <c r="M219" s="333">
        <f t="shared" si="39"/>
        <v>17744195</v>
      </c>
    </row>
    <row r="220" spans="1:13" s="256" customFormat="1" x14ac:dyDescent="0.25">
      <c r="A220" s="274">
        <v>44677</v>
      </c>
      <c r="B220" s="511">
        <v>44673</v>
      </c>
      <c r="C220" s="381" t="s">
        <v>2699</v>
      </c>
      <c r="D220" s="273" t="s">
        <v>304</v>
      </c>
      <c r="E220" s="275" t="s">
        <v>392</v>
      </c>
      <c r="F220" s="272" t="s">
        <v>2644</v>
      </c>
      <c r="G220" s="255" t="s">
        <v>3010</v>
      </c>
      <c r="H220" s="333">
        <v>18161458.75</v>
      </c>
      <c r="I220" s="334">
        <v>615600</v>
      </c>
      <c r="J220" s="682">
        <v>15807079</v>
      </c>
      <c r="K220" s="682">
        <f t="shared" si="37"/>
        <v>1738778.69</v>
      </c>
      <c r="L220" s="333">
        <f t="shared" si="38"/>
        <v>17545857.690000001</v>
      </c>
      <c r="M220" s="333">
        <f t="shared" si="39"/>
        <v>17545858.75</v>
      </c>
    </row>
    <row r="221" spans="1:13" s="256" customFormat="1" x14ac:dyDescent="0.25">
      <c r="A221" s="274">
        <v>44660</v>
      </c>
      <c r="B221" s="511">
        <v>44656</v>
      </c>
      <c r="C221" s="381" t="s">
        <v>2655</v>
      </c>
      <c r="D221" s="273" t="s">
        <v>317</v>
      </c>
      <c r="E221" s="275" t="s">
        <v>395</v>
      </c>
      <c r="F221" s="272" t="s">
        <v>396</v>
      </c>
      <c r="G221" s="255" t="s">
        <v>3012</v>
      </c>
      <c r="H221" s="333">
        <v>24638250</v>
      </c>
      <c r="I221" s="334">
        <v>0</v>
      </c>
      <c r="J221" s="682">
        <v>22196620</v>
      </c>
      <c r="K221" s="682">
        <f t="shared" si="37"/>
        <v>2441628.2000000002</v>
      </c>
      <c r="L221" s="333">
        <f t="shared" si="38"/>
        <v>24638248.199999999</v>
      </c>
      <c r="M221" s="333">
        <f t="shared" si="39"/>
        <v>24638250</v>
      </c>
    </row>
    <row r="222" spans="1:13" s="256" customFormat="1" x14ac:dyDescent="0.25">
      <c r="A222" s="274">
        <v>44667</v>
      </c>
      <c r="B222" s="511">
        <v>44663</v>
      </c>
      <c r="C222" s="381" t="s">
        <v>2680</v>
      </c>
      <c r="D222" s="273" t="s">
        <v>317</v>
      </c>
      <c r="E222" s="275" t="s">
        <v>395</v>
      </c>
      <c r="F222" s="272" t="s">
        <v>396</v>
      </c>
      <c r="G222" s="255" t="s">
        <v>3013</v>
      </c>
      <c r="H222" s="333">
        <v>4688250</v>
      </c>
      <c r="I222" s="334">
        <v>0</v>
      </c>
      <c r="J222" s="682">
        <v>4223648</v>
      </c>
      <c r="K222" s="682">
        <f t="shared" si="37"/>
        <v>464601.28</v>
      </c>
      <c r="L222" s="333">
        <f t="shared" si="38"/>
        <v>4688249.28</v>
      </c>
      <c r="M222" s="333">
        <f t="shared" si="39"/>
        <v>4688250</v>
      </c>
    </row>
    <row r="223" spans="1:13" s="256" customFormat="1" x14ac:dyDescent="0.25">
      <c r="A223" s="274">
        <v>44669</v>
      </c>
      <c r="B223" s="511">
        <v>44664</v>
      </c>
      <c r="C223" s="381" t="s">
        <v>2678</v>
      </c>
      <c r="D223" s="273" t="s">
        <v>317</v>
      </c>
      <c r="E223" s="275" t="s">
        <v>395</v>
      </c>
      <c r="F223" s="272" t="s">
        <v>396</v>
      </c>
      <c r="G223" s="255" t="s">
        <v>3014</v>
      </c>
      <c r="H223" s="333">
        <v>7182000</v>
      </c>
      <c r="I223" s="334">
        <v>0</v>
      </c>
      <c r="J223" s="682">
        <v>6470270</v>
      </c>
      <c r="K223" s="682">
        <f t="shared" si="37"/>
        <v>711729.7</v>
      </c>
      <c r="L223" s="333">
        <f t="shared" si="38"/>
        <v>7181999.7000000002</v>
      </c>
      <c r="M223" s="333">
        <f t="shared" si="39"/>
        <v>7182000</v>
      </c>
    </row>
    <row r="224" spans="1:13" s="256" customFormat="1" x14ac:dyDescent="0.25">
      <c r="A224" s="274">
        <v>44656</v>
      </c>
      <c r="B224" s="511">
        <v>44653</v>
      </c>
      <c r="C224" s="381">
        <v>22032450</v>
      </c>
      <c r="D224" s="273" t="s">
        <v>400</v>
      </c>
      <c r="E224" s="275" t="s">
        <v>401</v>
      </c>
      <c r="F224" s="272" t="s">
        <v>402</v>
      </c>
      <c r="G224" s="255" t="s">
        <v>2621</v>
      </c>
      <c r="H224" s="333">
        <v>39144600</v>
      </c>
      <c r="I224" s="334">
        <v>6654582</v>
      </c>
      <c r="J224" s="682">
        <v>29270286</v>
      </c>
      <c r="K224" s="682">
        <f t="shared" si="37"/>
        <v>3219731.46</v>
      </c>
      <c r="L224" s="333">
        <f t="shared" si="38"/>
        <v>32490017.460000001</v>
      </c>
      <c r="M224" s="333">
        <f t="shared" si="39"/>
        <v>32490018</v>
      </c>
    </row>
    <row r="225" spans="1:13" s="256" customFormat="1" x14ac:dyDescent="0.25">
      <c r="A225" s="274">
        <v>44658</v>
      </c>
      <c r="B225" s="511">
        <v>44655</v>
      </c>
      <c r="C225" s="381">
        <v>22040009</v>
      </c>
      <c r="D225" s="273" t="s">
        <v>400</v>
      </c>
      <c r="E225" s="275" t="s">
        <v>401</v>
      </c>
      <c r="F225" s="272" t="s">
        <v>402</v>
      </c>
      <c r="G225" s="255" t="s">
        <v>2622</v>
      </c>
      <c r="H225" s="333">
        <v>13251600</v>
      </c>
      <c r="I225" s="334">
        <v>2252772</v>
      </c>
      <c r="J225" s="682">
        <v>9908854</v>
      </c>
      <c r="K225" s="682">
        <f t="shared" si="37"/>
        <v>1089973.94</v>
      </c>
      <c r="L225" s="333">
        <f t="shared" si="38"/>
        <v>10998827.939999999</v>
      </c>
      <c r="M225" s="333">
        <f t="shared" si="39"/>
        <v>10998828</v>
      </c>
    </row>
    <row r="226" spans="1:13" s="256" customFormat="1" x14ac:dyDescent="0.25">
      <c r="A226" s="274">
        <v>44660</v>
      </c>
      <c r="B226" s="511">
        <v>44657</v>
      </c>
      <c r="C226" s="381">
        <v>22040125</v>
      </c>
      <c r="D226" s="273" t="s">
        <v>400</v>
      </c>
      <c r="E226" s="275" t="s">
        <v>401</v>
      </c>
      <c r="F226" s="272" t="s">
        <v>402</v>
      </c>
      <c r="G226" s="255" t="s">
        <v>2623</v>
      </c>
      <c r="H226" s="333">
        <v>14760000</v>
      </c>
      <c r="I226" s="334">
        <v>2509200</v>
      </c>
      <c r="J226" s="682">
        <v>11036756</v>
      </c>
      <c r="K226" s="682">
        <f t="shared" si="37"/>
        <v>1214043.1599999999</v>
      </c>
      <c r="L226" s="333">
        <f t="shared" si="38"/>
        <v>12250799.16</v>
      </c>
      <c r="M226" s="333">
        <f t="shared" si="39"/>
        <v>12250800</v>
      </c>
    </row>
    <row r="227" spans="1:13" s="256" customFormat="1" x14ac:dyDescent="0.25">
      <c r="A227" s="274">
        <v>44662</v>
      </c>
      <c r="B227" s="511">
        <v>44658</v>
      </c>
      <c r="C227" s="381">
        <v>22040220</v>
      </c>
      <c r="D227" s="273" t="s">
        <v>400</v>
      </c>
      <c r="E227" s="275" t="s">
        <v>401</v>
      </c>
      <c r="F227" s="272" t="s">
        <v>402</v>
      </c>
      <c r="G227" s="255" t="s">
        <v>2624</v>
      </c>
      <c r="H227" s="333">
        <v>48648900</v>
      </c>
      <c r="I227" s="334">
        <v>8270313</v>
      </c>
      <c r="J227" s="682">
        <v>36377105</v>
      </c>
      <c r="K227" s="682">
        <f t="shared" si="37"/>
        <v>4001481.55</v>
      </c>
      <c r="L227" s="333">
        <f t="shared" si="38"/>
        <v>40378586.549999997</v>
      </c>
      <c r="M227" s="333">
        <f t="shared" si="39"/>
        <v>40378587</v>
      </c>
    </row>
    <row r="228" spans="1:13" s="256" customFormat="1" x14ac:dyDescent="0.25">
      <c r="A228" s="274">
        <v>44662</v>
      </c>
      <c r="B228" s="511">
        <v>44658</v>
      </c>
      <c r="C228" s="381">
        <v>22040230</v>
      </c>
      <c r="D228" s="273" t="s">
        <v>400</v>
      </c>
      <c r="E228" s="275" t="s">
        <v>401</v>
      </c>
      <c r="F228" s="272" t="s">
        <v>402</v>
      </c>
      <c r="G228" s="255" t="s">
        <v>2625</v>
      </c>
      <c r="H228" s="333">
        <v>39024000</v>
      </c>
      <c r="I228" s="334">
        <v>6634080</v>
      </c>
      <c r="J228" s="682">
        <v>29180108</v>
      </c>
      <c r="K228" s="682">
        <f t="shared" si="37"/>
        <v>3209811.88</v>
      </c>
      <c r="L228" s="333">
        <f t="shared" si="38"/>
        <v>32389919.879999999</v>
      </c>
      <c r="M228" s="333">
        <f t="shared" si="39"/>
        <v>32389920</v>
      </c>
    </row>
    <row r="229" spans="1:13" s="256" customFormat="1" x14ac:dyDescent="0.25">
      <c r="A229" s="274">
        <v>44662</v>
      </c>
      <c r="B229" s="511">
        <v>44660</v>
      </c>
      <c r="C229" s="381">
        <v>22040443</v>
      </c>
      <c r="D229" s="273" t="s">
        <v>400</v>
      </c>
      <c r="E229" s="275" t="s">
        <v>401</v>
      </c>
      <c r="F229" s="272" t="s">
        <v>402</v>
      </c>
      <c r="G229" s="255" t="s">
        <v>2626</v>
      </c>
      <c r="H229" s="333">
        <v>28255200</v>
      </c>
      <c r="I229" s="334">
        <v>4803384</v>
      </c>
      <c r="J229" s="682">
        <v>21127762</v>
      </c>
      <c r="K229" s="682">
        <f t="shared" si="37"/>
        <v>2324053.8199999998</v>
      </c>
      <c r="L229" s="333">
        <f t="shared" si="38"/>
        <v>23451815.82</v>
      </c>
      <c r="M229" s="333">
        <f t="shared" si="39"/>
        <v>23451816</v>
      </c>
    </row>
    <row r="230" spans="1:13" s="256" customFormat="1" x14ac:dyDescent="0.25">
      <c r="A230" s="274">
        <v>44662</v>
      </c>
      <c r="B230" s="511">
        <v>44660</v>
      </c>
      <c r="C230" s="381">
        <v>22040463</v>
      </c>
      <c r="D230" s="273" t="s">
        <v>400</v>
      </c>
      <c r="E230" s="275" t="s">
        <v>401</v>
      </c>
      <c r="F230" s="272" t="s">
        <v>402</v>
      </c>
      <c r="G230" s="255" t="s">
        <v>2627</v>
      </c>
      <c r="H230" s="333">
        <v>10170000</v>
      </c>
      <c r="I230" s="334">
        <v>1728900</v>
      </c>
      <c r="J230" s="682">
        <v>7604594</v>
      </c>
      <c r="K230" s="682">
        <f t="shared" si="37"/>
        <v>836505.34</v>
      </c>
      <c r="L230" s="333">
        <f t="shared" si="38"/>
        <v>8441099.3399999999</v>
      </c>
      <c r="M230" s="333">
        <f t="shared" si="39"/>
        <v>8441100</v>
      </c>
    </row>
    <row r="231" spans="1:13" s="256" customFormat="1" x14ac:dyDescent="0.25">
      <c r="A231" s="274">
        <v>44667</v>
      </c>
      <c r="B231" s="511">
        <v>44664</v>
      </c>
      <c r="C231" s="381">
        <v>22040689</v>
      </c>
      <c r="D231" s="273" t="s">
        <v>400</v>
      </c>
      <c r="E231" s="275" t="s">
        <v>401</v>
      </c>
      <c r="F231" s="272" t="s">
        <v>402</v>
      </c>
      <c r="G231" s="255" t="s">
        <v>2628</v>
      </c>
      <c r="H231" s="333">
        <v>6603200</v>
      </c>
      <c r="I231" s="334">
        <v>1122544</v>
      </c>
      <c r="J231" s="682">
        <v>4937527</v>
      </c>
      <c r="K231" s="682">
        <f t="shared" si="37"/>
        <v>543127.97</v>
      </c>
      <c r="L231" s="333">
        <f t="shared" si="38"/>
        <v>5480654.9699999997</v>
      </c>
      <c r="M231" s="333">
        <f t="shared" si="39"/>
        <v>5480656</v>
      </c>
    </row>
    <row r="232" spans="1:13" s="256" customFormat="1" x14ac:dyDescent="0.25">
      <c r="A232" s="274">
        <v>44669</v>
      </c>
      <c r="B232" s="511">
        <v>44665</v>
      </c>
      <c r="C232" s="381">
        <v>22040790</v>
      </c>
      <c r="D232" s="273" t="s">
        <v>400</v>
      </c>
      <c r="E232" s="275" t="s">
        <v>401</v>
      </c>
      <c r="F232" s="272" t="s">
        <v>402</v>
      </c>
      <c r="G232" s="255" t="s">
        <v>2629</v>
      </c>
      <c r="H232" s="333">
        <v>32813400</v>
      </c>
      <c r="I232" s="334">
        <v>5578278</v>
      </c>
      <c r="J232" s="682">
        <v>24536145</v>
      </c>
      <c r="K232" s="682">
        <f t="shared" si="37"/>
        <v>2698975.95</v>
      </c>
      <c r="L232" s="333">
        <f t="shared" si="38"/>
        <v>27235120.949999999</v>
      </c>
      <c r="M232" s="333">
        <f t="shared" si="39"/>
        <v>27235122</v>
      </c>
    </row>
    <row r="233" spans="1:13" s="256" customFormat="1" x14ac:dyDescent="0.25">
      <c r="A233" s="274">
        <v>44670</v>
      </c>
      <c r="B233" s="511">
        <v>44667</v>
      </c>
      <c r="C233" s="381">
        <v>22040860</v>
      </c>
      <c r="D233" s="273" t="s">
        <v>400</v>
      </c>
      <c r="E233" s="275" t="s">
        <v>401</v>
      </c>
      <c r="F233" s="272" t="s">
        <v>402</v>
      </c>
      <c r="G233" s="255" t="s">
        <v>2630</v>
      </c>
      <c r="H233" s="333">
        <v>85276800</v>
      </c>
      <c r="I233" s="334">
        <v>14497056</v>
      </c>
      <c r="J233" s="682">
        <v>63765535</v>
      </c>
      <c r="K233" s="682">
        <f t="shared" si="37"/>
        <v>7014208.8499999996</v>
      </c>
      <c r="L233" s="333">
        <f t="shared" si="38"/>
        <v>70779743.849999994</v>
      </c>
      <c r="M233" s="333">
        <f t="shared" si="39"/>
        <v>70779744</v>
      </c>
    </row>
    <row r="234" spans="1:13" s="256" customFormat="1" x14ac:dyDescent="0.25">
      <c r="A234" s="274">
        <v>44670</v>
      </c>
      <c r="B234" s="511">
        <v>44669</v>
      </c>
      <c r="C234" s="381">
        <v>22040967</v>
      </c>
      <c r="D234" s="273" t="s">
        <v>400</v>
      </c>
      <c r="E234" s="275" t="s">
        <v>401</v>
      </c>
      <c r="F234" s="272" t="s">
        <v>402</v>
      </c>
      <c r="G234" s="255" t="s">
        <v>2631</v>
      </c>
      <c r="H234" s="333">
        <v>14760000</v>
      </c>
      <c r="I234" s="334">
        <v>2509200</v>
      </c>
      <c r="J234" s="682">
        <v>11036756</v>
      </c>
      <c r="K234" s="682">
        <f t="shared" si="37"/>
        <v>1214043.1599999999</v>
      </c>
      <c r="L234" s="333">
        <f t="shared" si="38"/>
        <v>12250799.16</v>
      </c>
      <c r="M234" s="333">
        <f t="shared" si="39"/>
        <v>12250800</v>
      </c>
    </row>
    <row r="235" spans="1:13" s="256" customFormat="1" x14ac:dyDescent="0.25">
      <c r="A235" s="274">
        <v>44674</v>
      </c>
      <c r="B235" s="511">
        <v>44671</v>
      </c>
      <c r="C235" s="381">
        <v>22041077</v>
      </c>
      <c r="D235" s="273" t="s">
        <v>400</v>
      </c>
      <c r="E235" s="275" t="s">
        <v>401</v>
      </c>
      <c r="F235" s="272" t="s">
        <v>402</v>
      </c>
      <c r="G235" s="255" t="s">
        <v>2662</v>
      </c>
      <c r="H235" s="333">
        <v>17681000</v>
      </c>
      <c r="I235" s="334">
        <v>3005770</v>
      </c>
      <c r="J235" s="682">
        <v>13220927</v>
      </c>
      <c r="K235" s="682">
        <f t="shared" si="37"/>
        <v>1454301.97</v>
      </c>
      <c r="L235" s="333">
        <f t="shared" si="38"/>
        <v>14675228.970000001</v>
      </c>
      <c r="M235" s="333">
        <f t="shared" si="39"/>
        <v>14675230</v>
      </c>
    </row>
    <row r="236" spans="1:13" s="256" customFormat="1" x14ac:dyDescent="0.25">
      <c r="A236" s="274">
        <v>44674</v>
      </c>
      <c r="B236" s="511">
        <v>44672</v>
      </c>
      <c r="C236" s="381">
        <v>22041178</v>
      </c>
      <c r="D236" s="273" t="s">
        <v>400</v>
      </c>
      <c r="E236" s="275" t="s">
        <v>401</v>
      </c>
      <c r="F236" s="272" t="s">
        <v>402</v>
      </c>
      <c r="G236" s="255" t="s">
        <v>2663</v>
      </c>
      <c r="H236" s="333">
        <v>41817600</v>
      </c>
      <c r="I236" s="334">
        <v>7108992</v>
      </c>
      <c r="J236" s="682">
        <v>31269016</v>
      </c>
      <c r="K236" s="682">
        <f t="shared" si="37"/>
        <v>3439591.7600000002</v>
      </c>
      <c r="L236" s="333">
        <f t="shared" si="38"/>
        <v>34708607.759999998</v>
      </c>
      <c r="M236" s="333">
        <f t="shared" si="39"/>
        <v>34708608</v>
      </c>
    </row>
    <row r="237" spans="1:13" s="256" customFormat="1" x14ac:dyDescent="0.25">
      <c r="A237" s="274">
        <v>44676</v>
      </c>
      <c r="B237" s="511">
        <v>44673</v>
      </c>
      <c r="C237" s="381">
        <v>22041269</v>
      </c>
      <c r="D237" s="273" t="s">
        <v>400</v>
      </c>
      <c r="E237" s="275" t="s">
        <v>401</v>
      </c>
      <c r="F237" s="272" t="s">
        <v>402</v>
      </c>
      <c r="G237" s="255" t="s">
        <v>2664</v>
      </c>
      <c r="H237" s="333">
        <v>32415600</v>
      </c>
      <c r="I237" s="334">
        <v>5510652</v>
      </c>
      <c r="J237" s="682">
        <v>24238691</v>
      </c>
      <c r="K237" s="682">
        <f t="shared" si="37"/>
        <v>2666256.0100000002</v>
      </c>
      <c r="L237" s="333">
        <f t="shared" si="38"/>
        <v>26904947.010000002</v>
      </c>
      <c r="M237" s="333">
        <f t="shared" si="39"/>
        <v>26904948</v>
      </c>
    </row>
    <row r="238" spans="1:13" s="256" customFormat="1" x14ac:dyDescent="0.25">
      <c r="A238" s="274">
        <v>44676</v>
      </c>
      <c r="B238" s="511">
        <v>44673</v>
      </c>
      <c r="C238" s="381">
        <v>22041270</v>
      </c>
      <c r="D238" s="273" t="s">
        <v>400</v>
      </c>
      <c r="E238" s="275" t="s">
        <v>401</v>
      </c>
      <c r="F238" s="272" t="s">
        <v>402</v>
      </c>
      <c r="G238" s="255" t="s">
        <v>2665</v>
      </c>
      <c r="H238" s="333">
        <v>34732800</v>
      </c>
      <c r="I238" s="334">
        <v>5904576</v>
      </c>
      <c r="J238" s="682">
        <v>25971372</v>
      </c>
      <c r="K238" s="682">
        <f t="shared" si="37"/>
        <v>2856850.92</v>
      </c>
      <c r="L238" s="333">
        <f t="shared" si="38"/>
        <v>28828222.920000002</v>
      </c>
      <c r="M238" s="333">
        <f t="shared" si="39"/>
        <v>28828224</v>
      </c>
    </row>
    <row r="239" spans="1:13" s="256" customFormat="1" x14ac:dyDescent="0.25">
      <c r="A239" s="274">
        <v>44677</v>
      </c>
      <c r="B239" s="511">
        <v>44674</v>
      </c>
      <c r="C239" s="381">
        <v>22041354</v>
      </c>
      <c r="D239" s="273" t="s">
        <v>400</v>
      </c>
      <c r="E239" s="275" t="s">
        <v>401</v>
      </c>
      <c r="F239" s="272" t="s">
        <v>402</v>
      </c>
      <c r="G239" s="255" t="s">
        <v>2666</v>
      </c>
      <c r="H239" s="333">
        <v>20053200</v>
      </c>
      <c r="I239" s="334">
        <v>3409044</v>
      </c>
      <c r="J239" s="682">
        <v>14994735</v>
      </c>
      <c r="K239" s="682">
        <f t="shared" si="37"/>
        <v>1649420.85</v>
      </c>
      <c r="L239" s="333">
        <f t="shared" si="38"/>
        <v>16644155.85</v>
      </c>
      <c r="M239" s="333">
        <f t="shared" si="39"/>
        <v>16644156</v>
      </c>
    </row>
    <row r="240" spans="1:13" s="256" customFormat="1" x14ac:dyDescent="0.25">
      <c r="A240" s="274">
        <v>44677</v>
      </c>
      <c r="B240" s="511">
        <v>44676</v>
      </c>
      <c r="C240" s="381">
        <v>22041403</v>
      </c>
      <c r="D240" s="273" t="s">
        <v>400</v>
      </c>
      <c r="E240" s="275" t="s">
        <v>401</v>
      </c>
      <c r="F240" s="272" t="s">
        <v>402</v>
      </c>
      <c r="G240" s="255" t="s">
        <v>2667</v>
      </c>
      <c r="H240" s="333">
        <v>23657600</v>
      </c>
      <c r="I240" s="334">
        <v>4021792</v>
      </c>
      <c r="J240" s="682">
        <v>17689917</v>
      </c>
      <c r="K240" s="682">
        <f t="shared" si="37"/>
        <v>1945890.87</v>
      </c>
      <c r="L240" s="333">
        <f t="shared" si="38"/>
        <v>19635807.870000001</v>
      </c>
      <c r="M240" s="333">
        <f t="shared" si="39"/>
        <v>19635808</v>
      </c>
    </row>
    <row r="241" spans="1:13" s="256" customFormat="1" x14ac:dyDescent="0.25">
      <c r="A241" s="274">
        <v>44656</v>
      </c>
      <c r="B241" s="511">
        <v>44653</v>
      </c>
      <c r="C241" s="381" t="s">
        <v>2654</v>
      </c>
      <c r="D241" s="273" t="s">
        <v>322</v>
      </c>
      <c r="E241" s="275" t="s">
        <v>397</v>
      </c>
      <c r="F241" s="272" t="s">
        <v>2645</v>
      </c>
      <c r="G241" s="255" t="s">
        <v>2991</v>
      </c>
      <c r="H241" s="333">
        <v>35700000</v>
      </c>
      <c r="I241" s="334">
        <v>0</v>
      </c>
      <c r="J241" s="682">
        <v>32162190</v>
      </c>
      <c r="K241" s="682">
        <f t="shared" si="37"/>
        <v>3537840.9</v>
      </c>
      <c r="L241" s="333">
        <f t="shared" si="38"/>
        <v>35700030.899999999</v>
      </c>
      <c r="M241" s="333">
        <f t="shared" si="39"/>
        <v>35700000</v>
      </c>
    </row>
    <row r="242" spans="1:13" s="256" customFormat="1" x14ac:dyDescent="0.25">
      <c r="A242" s="274">
        <v>44670</v>
      </c>
      <c r="B242" s="511">
        <v>44667</v>
      </c>
      <c r="C242" s="381" t="s">
        <v>2700</v>
      </c>
      <c r="D242" s="273" t="s">
        <v>322</v>
      </c>
      <c r="E242" s="275" t="s">
        <v>397</v>
      </c>
      <c r="F242" s="272" t="s">
        <v>2645</v>
      </c>
      <c r="G242" s="255" t="s">
        <v>2992</v>
      </c>
      <c r="H242" s="333">
        <v>18000000</v>
      </c>
      <c r="I242" s="334">
        <v>0</v>
      </c>
      <c r="J242" s="682">
        <v>16216222</v>
      </c>
      <c r="K242" s="682">
        <f t="shared" si="37"/>
        <v>1783784.42</v>
      </c>
      <c r="L242" s="333">
        <f t="shared" si="38"/>
        <v>18000006.420000002</v>
      </c>
      <c r="M242" s="333">
        <f t="shared" si="39"/>
        <v>18000000</v>
      </c>
    </row>
    <row r="243" spans="1:13" s="256" customFormat="1" x14ac:dyDescent="0.25">
      <c r="A243" s="274">
        <v>44674</v>
      </c>
      <c r="B243" s="511">
        <v>44672</v>
      </c>
      <c r="C243" s="381" t="s">
        <v>2701</v>
      </c>
      <c r="D243" s="273" t="s">
        <v>322</v>
      </c>
      <c r="E243" s="275" t="s">
        <v>397</v>
      </c>
      <c r="F243" s="272" t="s">
        <v>2645</v>
      </c>
      <c r="G243" s="255" t="s">
        <v>2993</v>
      </c>
      <c r="H243" s="333">
        <v>25200000</v>
      </c>
      <c r="I243" s="334">
        <v>0</v>
      </c>
      <c r="J243" s="682">
        <v>22702700</v>
      </c>
      <c r="K243" s="682">
        <f t="shared" si="37"/>
        <v>2497297</v>
      </c>
      <c r="L243" s="333">
        <f t="shared" si="38"/>
        <v>25199997</v>
      </c>
      <c r="M243" s="333">
        <f t="shared" si="39"/>
        <v>25200000</v>
      </c>
    </row>
    <row r="244" spans="1:13" s="256" customFormat="1" x14ac:dyDescent="0.25">
      <c r="A244" s="274">
        <v>44660</v>
      </c>
      <c r="B244" s="511">
        <v>44657</v>
      </c>
      <c r="C244" s="381" t="s">
        <v>2658</v>
      </c>
      <c r="D244" s="273" t="s">
        <v>305</v>
      </c>
      <c r="E244" s="275" t="s">
        <v>398</v>
      </c>
      <c r="F244" s="272" t="s">
        <v>399</v>
      </c>
      <c r="G244" s="255" t="s">
        <v>2659</v>
      </c>
      <c r="H244" s="333">
        <v>24918000</v>
      </c>
      <c r="I244" s="334">
        <v>0</v>
      </c>
      <c r="J244" s="682">
        <v>22449336</v>
      </c>
      <c r="K244" s="682">
        <f t="shared" si="37"/>
        <v>2469426.96</v>
      </c>
      <c r="L244" s="333">
        <f t="shared" si="38"/>
        <v>24918762.960000001</v>
      </c>
      <c r="M244" s="333">
        <f t="shared" si="39"/>
        <v>24918000</v>
      </c>
    </row>
    <row r="245" spans="1:13" s="256" customFormat="1" x14ac:dyDescent="0.25">
      <c r="A245" s="274">
        <v>44667</v>
      </c>
      <c r="B245" s="511">
        <v>44662</v>
      </c>
      <c r="C245" s="381" t="s">
        <v>2681</v>
      </c>
      <c r="D245" s="273" t="s">
        <v>305</v>
      </c>
      <c r="E245" s="275" t="s">
        <v>398</v>
      </c>
      <c r="F245" s="272" t="s">
        <v>399</v>
      </c>
      <c r="G245" s="255" t="s">
        <v>2660</v>
      </c>
      <c r="H245" s="333">
        <v>3060000</v>
      </c>
      <c r="I245" s="334">
        <v>0</v>
      </c>
      <c r="J245" s="682">
        <v>2756760</v>
      </c>
      <c r="K245" s="682">
        <f t="shared" si="37"/>
        <v>303243.59999999998</v>
      </c>
      <c r="L245" s="333">
        <f t="shared" si="38"/>
        <v>3060003.6</v>
      </c>
      <c r="M245" s="333">
        <f t="shared" si="39"/>
        <v>3060000</v>
      </c>
    </row>
    <row r="246" spans="1:13" s="256" customFormat="1" x14ac:dyDescent="0.25">
      <c r="A246" s="274">
        <v>44672</v>
      </c>
      <c r="B246" s="511">
        <v>44669</v>
      </c>
      <c r="C246" s="381" t="s">
        <v>2702</v>
      </c>
      <c r="D246" s="273" t="s">
        <v>305</v>
      </c>
      <c r="E246" s="275" t="s">
        <v>398</v>
      </c>
      <c r="F246" s="272" t="s">
        <v>399</v>
      </c>
      <c r="G246" s="255" t="s">
        <v>2661</v>
      </c>
      <c r="H246" s="333">
        <v>6048000</v>
      </c>
      <c r="I246" s="334">
        <v>0</v>
      </c>
      <c r="J246" s="682">
        <v>5448672</v>
      </c>
      <c r="K246" s="682">
        <f t="shared" si="37"/>
        <v>599353.92000000004</v>
      </c>
      <c r="L246" s="333">
        <f t="shared" si="38"/>
        <v>6048025.9199999999</v>
      </c>
      <c r="M246" s="333">
        <f t="shared" si="39"/>
        <v>6048000</v>
      </c>
    </row>
    <row r="247" spans="1:13" s="256" customFormat="1" x14ac:dyDescent="0.25">
      <c r="A247" s="274"/>
      <c r="B247" s="511"/>
      <c r="C247" s="381"/>
      <c r="D247" s="273"/>
      <c r="E247" s="272"/>
      <c r="F247" s="275"/>
      <c r="G247" s="255"/>
      <c r="H247" s="333"/>
      <c r="I247" s="334"/>
      <c r="J247" s="682">
        <f t="shared" ref="J247" si="40">(H247-I247)/1.11</f>
        <v>0</v>
      </c>
      <c r="K247" s="682">
        <f t="shared" ref="K247" si="41">J247*11%</f>
        <v>0</v>
      </c>
      <c r="L247" s="333">
        <f t="shared" ref="L247" si="42">SUM(J247:K247)</f>
        <v>0</v>
      </c>
      <c r="M247" s="333">
        <f t="shared" ref="M247" si="43">H247-I247</f>
        <v>0</v>
      </c>
    </row>
    <row r="248" spans="1:13" ht="18" x14ac:dyDescent="0.25">
      <c r="A248" s="513" t="s">
        <v>38</v>
      </c>
      <c r="B248" s="512"/>
      <c r="C248" s="515"/>
      <c r="D248" s="514"/>
      <c r="E248" s="519"/>
      <c r="F248" s="519"/>
      <c r="G248" s="516"/>
      <c r="H248" s="413">
        <f>SUM(H200:H247)</f>
        <v>1087247597.5</v>
      </c>
      <c r="I248" s="412"/>
      <c r="J248" s="683">
        <f>SUM(J200:J247)</f>
        <v>898320644</v>
      </c>
      <c r="K248" s="683">
        <f>SUM(K200:K247)</f>
        <v>98815270.840000004</v>
      </c>
      <c r="L248" s="414">
        <f>SUM(L200:L247)</f>
        <v>997135914.83999991</v>
      </c>
      <c r="M248" s="414">
        <f>SUM(M200:M247)</f>
        <v>997135112.5</v>
      </c>
    </row>
    <row r="249" spans="1:13" ht="18" x14ac:dyDescent="0.25">
      <c r="A249" s="510" t="s">
        <v>102</v>
      </c>
      <c r="B249" s="510"/>
      <c r="C249" s="421"/>
      <c r="D249" s="420"/>
      <c r="E249" s="518"/>
      <c r="F249" s="518"/>
      <c r="G249" s="420"/>
      <c r="H249" s="422"/>
      <c r="I249" s="422"/>
      <c r="J249" s="681"/>
      <c r="K249" s="681"/>
      <c r="L249" s="423"/>
      <c r="M249" s="423"/>
    </row>
    <row r="250" spans="1:13" s="256" customFormat="1" x14ac:dyDescent="0.25">
      <c r="A250" s="274">
        <v>44711</v>
      </c>
      <c r="B250" s="511">
        <v>44699</v>
      </c>
      <c r="C250" s="381" t="s">
        <v>3238</v>
      </c>
      <c r="D250" s="273" t="s">
        <v>403</v>
      </c>
      <c r="E250" s="275" t="s">
        <v>404</v>
      </c>
      <c r="F250" s="272" t="s">
        <v>405</v>
      </c>
      <c r="G250" s="255" t="s">
        <v>3305</v>
      </c>
      <c r="H250" s="333">
        <v>12768000</v>
      </c>
      <c r="I250" s="334">
        <v>0</v>
      </c>
      <c r="J250" s="682">
        <v>11502703</v>
      </c>
      <c r="K250" s="682">
        <f t="shared" ref="K250:K281" si="44">J250*11%</f>
        <v>1265297.33</v>
      </c>
      <c r="L250" s="333">
        <f t="shared" ref="L250:L281" si="45">SUM(J250:K250)</f>
        <v>12768000.33</v>
      </c>
      <c r="M250" s="333">
        <f t="shared" ref="M250:M281" si="46">H250-I250</f>
        <v>12768000</v>
      </c>
    </row>
    <row r="251" spans="1:13" s="256" customFormat="1" x14ac:dyDescent="0.25">
      <c r="A251" s="274">
        <v>44695</v>
      </c>
      <c r="B251" s="511">
        <v>44690</v>
      </c>
      <c r="C251" s="381" t="s">
        <v>3015</v>
      </c>
      <c r="D251" s="273" t="s">
        <v>304</v>
      </c>
      <c r="E251" s="275" t="s">
        <v>392</v>
      </c>
      <c r="F251" s="272" t="s">
        <v>2644</v>
      </c>
      <c r="G251" s="255" t="s">
        <v>3245</v>
      </c>
      <c r="H251" s="333">
        <v>21150990</v>
      </c>
      <c r="I251" s="334">
        <v>0</v>
      </c>
      <c r="J251" s="682">
        <v>19054945</v>
      </c>
      <c r="K251" s="682">
        <f t="shared" si="44"/>
        <v>2096043.95</v>
      </c>
      <c r="L251" s="333">
        <f t="shared" si="45"/>
        <v>21150988.949999999</v>
      </c>
      <c r="M251" s="333">
        <f t="shared" si="46"/>
        <v>21150990</v>
      </c>
    </row>
    <row r="252" spans="1:13" s="256" customFormat="1" x14ac:dyDescent="0.25">
      <c r="A252" s="274">
        <v>44695</v>
      </c>
      <c r="B252" s="511">
        <v>44691</v>
      </c>
      <c r="C252" s="381" t="s">
        <v>3039</v>
      </c>
      <c r="D252" s="273" t="s">
        <v>304</v>
      </c>
      <c r="E252" s="275" t="s">
        <v>392</v>
      </c>
      <c r="F252" s="272" t="s">
        <v>2644</v>
      </c>
      <c r="G252" s="255" t="s">
        <v>3246</v>
      </c>
      <c r="H252" s="333">
        <v>16282358.75</v>
      </c>
      <c r="I252" s="334">
        <v>1484657</v>
      </c>
      <c r="J252" s="682">
        <v>13331262</v>
      </c>
      <c r="K252" s="682">
        <f t="shared" si="44"/>
        <v>1466438.82</v>
      </c>
      <c r="L252" s="333">
        <f t="shared" si="45"/>
        <v>14797700.82</v>
      </c>
      <c r="M252" s="333">
        <f t="shared" si="46"/>
        <v>14797701.75</v>
      </c>
    </row>
    <row r="253" spans="1:13" s="256" customFormat="1" x14ac:dyDescent="0.25">
      <c r="A253" s="274">
        <v>44695</v>
      </c>
      <c r="B253" s="511">
        <v>44691</v>
      </c>
      <c r="C253" s="381" t="s">
        <v>3040</v>
      </c>
      <c r="D253" s="273" t="s">
        <v>304</v>
      </c>
      <c r="E253" s="275" t="s">
        <v>392</v>
      </c>
      <c r="F253" s="272" t="s">
        <v>2644</v>
      </c>
      <c r="G253" s="255" t="s">
        <v>3247</v>
      </c>
      <c r="H253" s="333">
        <v>8622675</v>
      </c>
      <c r="I253" s="334">
        <v>369360</v>
      </c>
      <c r="J253" s="682">
        <v>7435418</v>
      </c>
      <c r="K253" s="682">
        <f t="shared" si="44"/>
        <v>817895.98</v>
      </c>
      <c r="L253" s="333">
        <f t="shared" si="45"/>
        <v>8253313.9800000004</v>
      </c>
      <c r="M253" s="333">
        <f t="shared" si="46"/>
        <v>8253315</v>
      </c>
    </row>
    <row r="254" spans="1:13" s="256" customFormat="1" x14ac:dyDescent="0.25">
      <c r="A254" s="274">
        <v>44701</v>
      </c>
      <c r="B254" s="511">
        <v>44694</v>
      </c>
      <c r="C254" s="381" t="s">
        <v>3094</v>
      </c>
      <c r="D254" s="273" t="s">
        <v>304</v>
      </c>
      <c r="E254" s="275" t="s">
        <v>392</v>
      </c>
      <c r="F254" s="272" t="s">
        <v>2644</v>
      </c>
      <c r="G254" s="255" t="s">
        <v>3248</v>
      </c>
      <c r="H254" s="333">
        <v>18257575</v>
      </c>
      <c r="I254" s="334">
        <v>0</v>
      </c>
      <c r="J254" s="682">
        <v>16448265</v>
      </c>
      <c r="K254" s="682">
        <f t="shared" si="44"/>
        <v>1809309.15</v>
      </c>
      <c r="L254" s="333">
        <f t="shared" si="45"/>
        <v>18257574.149999999</v>
      </c>
      <c r="M254" s="333">
        <f t="shared" si="46"/>
        <v>18257575</v>
      </c>
    </row>
    <row r="255" spans="1:13" s="256" customFormat="1" x14ac:dyDescent="0.25">
      <c r="A255" s="274">
        <v>44701</v>
      </c>
      <c r="B255" s="511">
        <v>44695</v>
      </c>
      <c r="C255" s="381" t="s">
        <v>3092</v>
      </c>
      <c r="D255" s="273" t="s">
        <v>304</v>
      </c>
      <c r="E255" s="275" t="s">
        <v>392</v>
      </c>
      <c r="F255" s="272" t="s">
        <v>2644</v>
      </c>
      <c r="G255" s="255" t="s">
        <v>3249</v>
      </c>
      <c r="H255" s="333">
        <v>15116400</v>
      </c>
      <c r="I255" s="334">
        <v>369360</v>
      </c>
      <c r="J255" s="682">
        <v>13285621</v>
      </c>
      <c r="K255" s="682">
        <f t="shared" si="44"/>
        <v>1461418.31</v>
      </c>
      <c r="L255" s="333">
        <f t="shared" si="45"/>
        <v>14747039.310000001</v>
      </c>
      <c r="M255" s="333">
        <f t="shared" si="46"/>
        <v>14747040</v>
      </c>
    </row>
    <row r="256" spans="1:13" s="256" customFormat="1" x14ac:dyDescent="0.25">
      <c r="A256" s="274">
        <v>44701</v>
      </c>
      <c r="B256" s="511">
        <v>44695</v>
      </c>
      <c r="C256" s="381" t="s">
        <v>3093</v>
      </c>
      <c r="D256" s="273" t="s">
        <v>304</v>
      </c>
      <c r="E256" s="275" t="s">
        <v>392</v>
      </c>
      <c r="F256" s="272" t="s">
        <v>2644</v>
      </c>
      <c r="G256" s="255" t="s">
        <v>3250</v>
      </c>
      <c r="H256" s="333">
        <v>15773135</v>
      </c>
      <c r="I256" s="334">
        <v>0</v>
      </c>
      <c r="J256" s="682">
        <v>14210031</v>
      </c>
      <c r="K256" s="682">
        <f t="shared" si="44"/>
        <v>1563103.41</v>
      </c>
      <c r="L256" s="333">
        <f t="shared" si="45"/>
        <v>15773134.41</v>
      </c>
      <c r="M256" s="333">
        <f t="shared" si="46"/>
        <v>15773135</v>
      </c>
    </row>
    <row r="257" spans="1:13" s="256" customFormat="1" x14ac:dyDescent="0.25">
      <c r="A257" s="274">
        <v>44704</v>
      </c>
      <c r="B257" s="511">
        <v>44699</v>
      </c>
      <c r="C257" s="381" t="s">
        <v>3101</v>
      </c>
      <c r="D257" s="273" t="s">
        <v>304</v>
      </c>
      <c r="E257" s="275" t="s">
        <v>392</v>
      </c>
      <c r="F257" s="272" t="s">
        <v>2644</v>
      </c>
      <c r="G257" s="255" t="s">
        <v>3306</v>
      </c>
      <c r="H257" s="333">
        <v>7692482.5</v>
      </c>
      <c r="I257" s="334">
        <v>123120</v>
      </c>
      <c r="J257" s="682">
        <v>6819245</v>
      </c>
      <c r="K257" s="682">
        <f t="shared" si="44"/>
        <v>750116.95</v>
      </c>
      <c r="L257" s="333">
        <f t="shared" si="45"/>
        <v>7569361.9500000002</v>
      </c>
      <c r="M257" s="333">
        <f t="shared" si="46"/>
        <v>7569362.5</v>
      </c>
    </row>
    <row r="258" spans="1:13" s="256" customFormat="1" x14ac:dyDescent="0.25">
      <c r="A258" s="274">
        <v>44704</v>
      </c>
      <c r="B258" s="511">
        <v>44700</v>
      </c>
      <c r="C258" s="381" t="s">
        <v>3102</v>
      </c>
      <c r="D258" s="273" t="s">
        <v>304</v>
      </c>
      <c r="E258" s="275" t="s">
        <v>392</v>
      </c>
      <c r="F258" s="272" t="s">
        <v>2644</v>
      </c>
      <c r="G258" s="255" t="s">
        <v>3307</v>
      </c>
      <c r="H258" s="333">
        <v>11151076.25</v>
      </c>
      <c r="I258" s="334">
        <v>246240</v>
      </c>
      <c r="J258" s="682">
        <v>9824176</v>
      </c>
      <c r="K258" s="682">
        <f t="shared" si="44"/>
        <v>1080659.3600000001</v>
      </c>
      <c r="L258" s="333">
        <f t="shared" si="45"/>
        <v>10904835.359999999</v>
      </c>
      <c r="M258" s="333">
        <f t="shared" si="46"/>
        <v>10904836.25</v>
      </c>
    </row>
    <row r="259" spans="1:13" s="256" customFormat="1" x14ac:dyDescent="0.25">
      <c r="A259" s="274">
        <v>44706</v>
      </c>
      <c r="B259" s="511">
        <v>44701</v>
      </c>
      <c r="C259" s="381" t="s">
        <v>3105</v>
      </c>
      <c r="D259" s="273" t="s">
        <v>304</v>
      </c>
      <c r="E259" s="275" t="s">
        <v>392</v>
      </c>
      <c r="F259" s="272" t="s">
        <v>2644</v>
      </c>
      <c r="G259" s="255" t="s">
        <v>3308</v>
      </c>
      <c r="H259" s="333">
        <v>10283085</v>
      </c>
      <c r="I259" s="334">
        <v>246240</v>
      </c>
      <c r="J259" s="682">
        <v>9042202</v>
      </c>
      <c r="K259" s="682">
        <f t="shared" si="44"/>
        <v>994642.22</v>
      </c>
      <c r="L259" s="333">
        <f t="shared" si="45"/>
        <v>10036844.220000001</v>
      </c>
      <c r="M259" s="333">
        <f t="shared" si="46"/>
        <v>10036845</v>
      </c>
    </row>
    <row r="260" spans="1:13" s="256" customFormat="1" x14ac:dyDescent="0.25">
      <c r="A260" s="274">
        <v>44706</v>
      </c>
      <c r="B260" s="511">
        <v>44701</v>
      </c>
      <c r="C260" s="381" t="s">
        <v>3106</v>
      </c>
      <c r="D260" s="273" t="s">
        <v>304</v>
      </c>
      <c r="E260" s="275" t="s">
        <v>392</v>
      </c>
      <c r="F260" s="272" t="s">
        <v>2644</v>
      </c>
      <c r="G260" s="255" t="s">
        <v>3309</v>
      </c>
      <c r="H260" s="333">
        <v>22198365</v>
      </c>
      <c r="I260" s="334">
        <v>718200</v>
      </c>
      <c r="J260" s="682">
        <v>19351500</v>
      </c>
      <c r="K260" s="682">
        <f t="shared" si="44"/>
        <v>2128665</v>
      </c>
      <c r="L260" s="333">
        <f t="shared" si="45"/>
        <v>21480165</v>
      </c>
      <c r="M260" s="333">
        <f t="shared" si="46"/>
        <v>21480165</v>
      </c>
    </row>
    <row r="261" spans="1:13" s="256" customFormat="1" x14ac:dyDescent="0.25">
      <c r="A261" s="274">
        <v>44709</v>
      </c>
      <c r="B261" s="511">
        <v>44702</v>
      </c>
      <c r="C261" s="381" t="s">
        <v>3162</v>
      </c>
      <c r="D261" s="273" t="s">
        <v>304</v>
      </c>
      <c r="E261" s="275" t="s">
        <v>392</v>
      </c>
      <c r="F261" s="272" t="s">
        <v>2644</v>
      </c>
      <c r="G261" s="255" t="s">
        <v>3310</v>
      </c>
      <c r="H261" s="333">
        <v>21838932.5</v>
      </c>
      <c r="I261" s="334">
        <v>0</v>
      </c>
      <c r="J261" s="682">
        <v>19674713</v>
      </c>
      <c r="K261" s="682">
        <f t="shared" si="44"/>
        <v>2164218.4300000002</v>
      </c>
      <c r="L261" s="333">
        <f t="shared" si="45"/>
        <v>21838931.43</v>
      </c>
      <c r="M261" s="333">
        <f t="shared" si="46"/>
        <v>21838932.5</v>
      </c>
    </row>
    <row r="262" spans="1:13" s="256" customFormat="1" x14ac:dyDescent="0.25">
      <c r="A262" s="274">
        <v>44709</v>
      </c>
      <c r="B262" s="511">
        <v>44702</v>
      </c>
      <c r="C262" s="381" t="s">
        <v>3163</v>
      </c>
      <c r="D262" s="273" t="s">
        <v>304</v>
      </c>
      <c r="E262" s="275" t="s">
        <v>392</v>
      </c>
      <c r="F262" s="272" t="s">
        <v>2644</v>
      </c>
      <c r="G262" s="255" t="s">
        <v>3311</v>
      </c>
      <c r="H262" s="333">
        <v>22707090</v>
      </c>
      <c r="I262" s="334">
        <v>718200</v>
      </c>
      <c r="J262" s="682">
        <v>19809810</v>
      </c>
      <c r="K262" s="682">
        <f t="shared" si="44"/>
        <v>2179079.1</v>
      </c>
      <c r="L262" s="333">
        <f t="shared" si="45"/>
        <v>21988889.100000001</v>
      </c>
      <c r="M262" s="333">
        <f t="shared" si="46"/>
        <v>21988890</v>
      </c>
    </row>
    <row r="263" spans="1:13" s="256" customFormat="1" x14ac:dyDescent="0.25">
      <c r="A263" s="274">
        <v>44715</v>
      </c>
      <c r="B263" s="511">
        <v>44704</v>
      </c>
      <c r="C263" s="381" t="s">
        <v>3167</v>
      </c>
      <c r="D263" s="273" t="s">
        <v>304</v>
      </c>
      <c r="E263" s="275" t="s">
        <v>392</v>
      </c>
      <c r="F263" s="272" t="s">
        <v>2644</v>
      </c>
      <c r="G263" s="255" t="s">
        <v>3312</v>
      </c>
      <c r="H263" s="333">
        <v>84516180</v>
      </c>
      <c r="I263" s="334">
        <v>3710700</v>
      </c>
      <c r="J263" s="682">
        <v>72797729</v>
      </c>
      <c r="K263" s="682">
        <f t="shared" si="44"/>
        <v>8007750.1900000004</v>
      </c>
      <c r="L263" s="333">
        <f t="shared" si="45"/>
        <v>80805479.189999998</v>
      </c>
      <c r="M263" s="333">
        <f t="shared" si="46"/>
        <v>80805480</v>
      </c>
    </row>
    <row r="264" spans="1:13" s="256" customFormat="1" x14ac:dyDescent="0.25">
      <c r="A264" s="274">
        <v>44712</v>
      </c>
      <c r="B264" s="511">
        <v>44704</v>
      </c>
      <c r="C264" s="381" t="s">
        <v>3166</v>
      </c>
      <c r="D264" s="273" t="s">
        <v>304</v>
      </c>
      <c r="E264" s="275" t="s">
        <v>392</v>
      </c>
      <c r="F264" s="272" t="s">
        <v>2644</v>
      </c>
      <c r="G264" s="255" t="s">
        <v>3313</v>
      </c>
      <c r="H264" s="333">
        <v>30014775</v>
      </c>
      <c r="I264" s="334">
        <v>1316700</v>
      </c>
      <c r="J264" s="682">
        <v>25854121</v>
      </c>
      <c r="K264" s="682">
        <f t="shared" si="44"/>
        <v>2843953.31</v>
      </c>
      <c r="L264" s="333">
        <f t="shared" si="45"/>
        <v>28698074.309999999</v>
      </c>
      <c r="M264" s="333">
        <f t="shared" si="46"/>
        <v>28698075</v>
      </c>
    </row>
    <row r="265" spans="1:13" s="256" customFormat="1" x14ac:dyDescent="0.25">
      <c r="A265" s="274">
        <v>44712</v>
      </c>
      <c r="B265" s="511">
        <v>44704</v>
      </c>
      <c r="C265" s="381" t="s">
        <v>3164</v>
      </c>
      <c r="D265" s="273" t="s">
        <v>304</v>
      </c>
      <c r="E265" s="275" t="s">
        <v>392</v>
      </c>
      <c r="F265" s="272" t="s">
        <v>2644</v>
      </c>
      <c r="G265" s="255" t="s">
        <v>3314</v>
      </c>
      <c r="H265" s="333">
        <v>24389872.5</v>
      </c>
      <c r="I265" s="334">
        <v>0</v>
      </c>
      <c r="J265" s="682">
        <v>21972858</v>
      </c>
      <c r="K265" s="682">
        <f t="shared" si="44"/>
        <v>2417014.38</v>
      </c>
      <c r="L265" s="333">
        <f t="shared" si="45"/>
        <v>24389872.379999999</v>
      </c>
      <c r="M265" s="333">
        <f t="shared" si="46"/>
        <v>24389872.5</v>
      </c>
    </row>
    <row r="266" spans="1:13" s="256" customFormat="1" x14ac:dyDescent="0.25">
      <c r="A266" s="274">
        <v>44709</v>
      </c>
      <c r="B266" s="511">
        <v>44704</v>
      </c>
      <c r="C266" s="381" t="s">
        <v>3165</v>
      </c>
      <c r="D266" s="273" t="s">
        <v>304</v>
      </c>
      <c r="E266" s="275" t="s">
        <v>392</v>
      </c>
      <c r="F266" s="272" t="s">
        <v>2644</v>
      </c>
      <c r="G266" s="255" t="s">
        <v>3315</v>
      </c>
      <c r="H266" s="333">
        <v>7235865</v>
      </c>
      <c r="I266" s="334">
        <v>239400</v>
      </c>
      <c r="J266" s="682">
        <v>6303121</v>
      </c>
      <c r="K266" s="682">
        <f t="shared" si="44"/>
        <v>693343.31</v>
      </c>
      <c r="L266" s="333">
        <f t="shared" si="45"/>
        <v>6996464.3100000005</v>
      </c>
      <c r="M266" s="333">
        <f t="shared" si="46"/>
        <v>6996465</v>
      </c>
    </row>
    <row r="267" spans="1:13" s="256" customFormat="1" x14ac:dyDescent="0.25">
      <c r="A267" s="274">
        <v>44716</v>
      </c>
      <c r="B267" s="511">
        <v>44705</v>
      </c>
      <c r="C267" s="381" t="s">
        <v>3227</v>
      </c>
      <c r="D267" s="670" t="s">
        <v>304</v>
      </c>
      <c r="E267" s="275" t="s">
        <v>392</v>
      </c>
      <c r="F267" s="272" t="s">
        <v>2644</v>
      </c>
      <c r="G267" s="255" t="s">
        <v>3316</v>
      </c>
      <c r="H267" s="333">
        <v>73168620</v>
      </c>
      <c r="I267" s="334">
        <v>3231900</v>
      </c>
      <c r="J267" s="682">
        <v>63006054</v>
      </c>
      <c r="K267" s="682">
        <f t="shared" si="44"/>
        <v>6930665.9400000004</v>
      </c>
      <c r="L267" s="333">
        <f t="shared" si="45"/>
        <v>69936719.939999998</v>
      </c>
      <c r="M267" s="333">
        <f t="shared" si="46"/>
        <v>69936720</v>
      </c>
    </row>
    <row r="268" spans="1:13" s="256" customFormat="1" x14ac:dyDescent="0.25">
      <c r="A268" s="274">
        <v>44712</v>
      </c>
      <c r="B268" s="511">
        <v>44705</v>
      </c>
      <c r="C268" s="381" t="s">
        <v>3168</v>
      </c>
      <c r="D268" s="670" t="s">
        <v>304</v>
      </c>
      <c r="E268" s="275" t="s">
        <v>392</v>
      </c>
      <c r="F268" s="272" t="s">
        <v>2644</v>
      </c>
      <c r="G268" s="255" t="s">
        <v>3317</v>
      </c>
      <c r="H268" s="333">
        <v>21626797.5</v>
      </c>
      <c r="I268" s="334">
        <v>0</v>
      </c>
      <c r="J268" s="682">
        <v>19483601</v>
      </c>
      <c r="K268" s="682">
        <f t="shared" si="44"/>
        <v>2143196.11</v>
      </c>
      <c r="L268" s="333">
        <f t="shared" si="45"/>
        <v>21626797.109999999</v>
      </c>
      <c r="M268" s="333">
        <f t="shared" si="46"/>
        <v>21626797.5</v>
      </c>
    </row>
    <row r="269" spans="1:13" s="256" customFormat="1" x14ac:dyDescent="0.25">
      <c r="A269" s="274">
        <v>44712</v>
      </c>
      <c r="B269" s="511">
        <v>44705</v>
      </c>
      <c r="C269" s="381" t="s">
        <v>3169</v>
      </c>
      <c r="D269" s="670" t="s">
        <v>304</v>
      </c>
      <c r="E269" s="275" t="s">
        <v>392</v>
      </c>
      <c r="F269" s="272" t="s">
        <v>2644</v>
      </c>
      <c r="G269" s="255" t="s">
        <v>3318</v>
      </c>
      <c r="H269" s="333">
        <v>8558550</v>
      </c>
      <c r="I269" s="334">
        <v>239400</v>
      </c>
      <c r="J269" s="682">
        <v>7494729</v>
      </c>
      <c r="K269" s="682">
        <f t="shared" si="44"/>
        <v>824420.19000000006</v>
      </c>
      <c r="L269" s="333">
        <f t="shared" si="45"/>
        <v>8319149.1900000004</v>
      </c>
      <c r="M269" s="333">
        <f t="shared" si="46"/>
        <v>8319150</v>
      </c>
    </row>
    <row r="270" spans="1:13" s="256" customFormat="1" x14ac:dyDescent="0.25">
      <c r="A270" s="274">
        <v>44712</v>
      </c>
      <c r="B270" s="511">
        <v>44706</v>
      </c>
      <c r="C270" s="381" t="s">
        <v>3170</v>
      </c>
      <c r="D270" s="670" t="s">
        <v>304</v>
      </c>
      <c r="E270" s="275" t="s">
        <v>392</v>
      </c>
      <c r="F270" s="272" t="s">
        <v>2644</v>
      </c>
      <c r="G270" s="255" t="s">
        <v>3319</v>
      </c>
      <c r="H270" s="333">
        <v>63919800</v>
      </c>
      <c r="I270" s="334">
        <v>0</v>
      </c>
      <c r="J270" s="682">
        <v>57585405</v>
      </c>
      <c r="K270" s="682">
        <f t="shared" si="44"/>
        <v>6334394.5499999998</v>
      </c>
      <c r="L270" s="333">
        <f t="shared" si="45"/>
        <v>63919799.549999997</v>
      </c>
      <c r="M270" s="333">
        <f t="shared" si="46"/>
        <v>63919800</v>
      </c>
    </row>
    <row r="271" spans="1:13" s="256" customFormat="1" x14ac:dyDescent="0.25">
      <c r="A271" s="274">
        <v>44712</v>
      </c>
      <c r="B271" s="511">
        <v>44706</v>
      </c>
      <c r="C271" s="381" t="s">
        <v>3171</v>
      </c>
      <c r="D271" s="670" t="s">
        <v>304</v>
      </c>
      <c r="E271" s="275" t="s">
        <v>392</v>
      </c>
      <c r="F271" s="272" t="s">
        <v>2644</v>
      </c>
      <c r="G271" s="255" t="s">
        <v>3320</v>
      </c>
      <c r="H271" s="333">
        <v>49219143.75</v>
      </c>
      <c r="I271" s="334">
        <v>1197000</v>
      </c>
      <c r="J271" s="682">
        <v>43263192</v>
      </c>
      <c r="K271" s="682">
        <f t="shared" si="44"/>
        <v>4758951.12</v>
      </c>
      <c r="L271" s="333">
        <f t="shared" si="45"/>
        <v>48022143.119999997</v>
      </c>
      <c r="M271" s="333">
        <f t="shared" si="46"/>
        <v>48022143.75</v>
      </c>
    </row>
    <row r="272" spans="1:13" s="256" customFormat="1" x14ac:dyDescent="0.25">
      <c r="A272" s="274">
        <v>44715</v>
      </c>
      <c r="B272" s="511">
        <v>44708</v>
      </c>
      <c r="C272" s="381" t="s">
        <v>3172</v>
      </c>
      <c r="D272" s="670" t="s">
        <v>304</v>
      </c>
      <c r="E272" s="275" t="s">
        <v>392</v>
      </c>
      <c r="F272" s="272" t="s">
        <v>2644</v>
      </c>
      <c r="G272" s="255" t="s">
        <v>3321</v>
      </c>
      <c r="H272" s="333">
        <v>2298240</v>
      </c>
      <c r="I272" s="334">
        <v>0</v>
      </c>
      <c r="J272" s="682">
        <v>2070486</v>
      </c>
      <c r="K272" s="682">
        <f t="shared" si="44"/>
        <v>227753.46</v>
      </c>
      <c r="L272" s="333">
        <f t="shared" si="45"/>
        <v>2298239.46</v>
      </c>
      <c r="M272" s="333">
        <f t="shared" si="46"/>
        <v>2298240</v>
      </c>
    </row>
    <row r="273" spans="1:13" s="256" customFormat="1" x14ac:dyDescent="0.25">
      <c r="A273" s="274">
        <v>44716</v>
      </c>
      <c r="B273" s="511">
        <v>44709</v>
      </c>
      <c r="C273" s="381" t="s">
        <v>3228</v>
      </c>
      <c r="D273" s="670" t="s">
        <v>304</v>
      </c>
      <c r="E273" s="669" t="s">
        <v>392</v>
      </c>
      <c r="F273" s="272" t="s">
        <v>2644</v>
      </c>
      <c r="G273" s="255" t="s">
        <v>3322</v>
      </c>
      <c r="H273" s="333">
        <v>62195953.75</v>
      </c>
      <c r="I273" s="334">
        <v>0</v>
      </c>
      <c r="J273" s="682">
        <v>56032390</v>
      </c>
      <c r="K273" s="682">
        <f t="shared" si="44"/>
        <v>6163562.9000000004</v>
      </c>
      <c r="L273" s="333">
        <f t="shared" si="45"/>
        <v>62195952.899999999</v>
      </c>
      <c r="M273" s="333">
        <f t="shared" si="46"/>
        <v>62195953.75</v>
      </c>
    </row>
    <row r="274" spans="1:13" s="256" customFormat="1" x14ac:dyDescent="0.25">
      <c r="A274" s="274">
        <v>44716</v>
      </c>
      <c r="B274" s="511">
        <v>44709</v>
      </c>
      <c r="C274" s="381" t="s">
        <v>3229</v>
      </c>
      <c r="D274" s="670" t="s">
        <v>304</v>
      </c>
      <c r="E274" s="669" t="s">
        <v>392</v>
      </c>
      <c r="F274" s="272" t="s">
        <v>2644</v>
      </c>
      <c r="G274" s="255" t="s">
        <v>3323</v>
      </c>
      <c r="H274" s="333">
        <v>30423417.5</v>
      </c>
      <c r="I274" s="334">
        <v>0</v>
      </c>
      <c r="J274" s="682">
        <v>27408484</v>
      </c>
      <c r="K274" s="682">
        <f t="shared" si="44"/>
        <v>3014933.24</v>
      </c>
      <c r="L274" s="333">
        <f t="shared" si="45"/>
        <v>30423417.240000002</v>
      </c>
      <c r="M274" s="333">
        <f t="shared" si="46"/>
        <v>30423417.5</v>
      </c>
    </row>
    <row r="275" spans="1:13" s="256" customFormat="1" x14ac:dyDescent="0.25">
      <c r="A275" s="274">
        <v>44716</v>
      </c>
      <c r="B275" s="511">
        <v>44709</v>
      </c>
      <c r="C275" s="381" t="s">
        <v>3230</v>
      </c>
      <c r="D275" s="670" t="s">
        <v>304</v>
      </c>
      <c r="E275" s="669" t="s">
        <v>392</v>
      </c>
      <c r="F275" s="272" t="s">
        <v>2644</v>
      </c>
      <c r="G275" s="255" t="s">
        <v>3324</v>
      </c>
      <c r="H275" s="333">
        <v>6809932.5</v>
      </c>
      <c r="I275" s="334">
        <v>119700</v>
      </c>
      <c r="J275" s="682">
        <v>6027236</v>
      </c>
      <c r="K275" s="682">
        <f t="shared" si="44"/>
        <v>662995.96</v>
      </c>
      <c r="L275" s="333">
        <f t="shared" si="45"/>
        <v>6690231.96</v>
      </c>
      <c r="M275" s="333">
        <f t="shared" si="46"/>
        <v>6690232.5</v>
      </c>
    </row>
    <row r="276" spans="1:13" s="256" customFormat="1" x14ac:dyDescent="0.25">
      <c r="A276" s="274">
        <v>44716</v>
      </c>
      <c r="B276" s="511">
        <v>44709</v>
      </c>
      <c r="C276" s="381" t="s">
        <v>3231</v>
      </c>
      <c r="D276" s="670" t="s">
        <v>304</v>
      </c>
      <c r="E276" s="669" t="s">
        <v>392</v>
      </c>
      <c r="F276" s="272" t="s">
        <v>2644</v>
      </c>
      <c r="G276" s="255" t="s">
        <v>3325</v>
      </c>
      <c r="H276" s="333">
        <v>21861210</v>
      </c>
      <c r="I276" s="334">
        <v>837900</v>
      </c>
      <c r="J276" s="682">
        <v>18939918</v>
      </c>
      <c r="K276" s="682">
        <f t="shared" si="44"/>
        <v>2083390.98</v>
      </c>
      <c r="L276" s="333">
        <f t="shared" si="45"/>
        <v>21023308.98</v>
      </c>
      <c r="M276" s="333">
        <f t="shared" si="46"/>
        <v>21023310</v>
      </c>
    </row>
    <row r="277" spans="1:13" s="256" customFormat="1" x14ac:dyDescent="0.25">
      <c r="A277" s="274">
        <v>44716</v>
      </c>
      <c r="B277" s="511">
        <v>44711</v>
      </c>
      <c r="C277" s="381" t="s">
        <v>3232</v>
      </c>
      <c r="D277" s="670" t="s">
        <v>304</v>
      </c>
      <c r="E277" s="669" t="s">
        <v>392</v>
      </c>
      <c r="F277" s="272" t="s">
        <v>2644</v>
      </c>
      <c r="G277" s="255" t="s">
        <v>3326</v>
      </c>
      <c r="H277" s="333">
        <v>4728150</v>
      </c>
      <c r="I277" s="334">
        <v>0</v>
      </c>
      <c r="J277" s="682">
        <v>4259594</v>
      </c>
      <c r="K277" s="682">
        <f t="shared" si="44"/>
        <v>468555.34</v>
      </c>
      <c r="L277" s="333">
        <f t="shared" si="45"/>
        <v>4728149.34</v>
      </c>
      <c r="M277" s="333">
        <f t="shared" si="46"/>
        <v>4728150</v>
      </c>
    </row>
    <row r="278" spans="1:13" s="256" customFormat="1" x14ac:dyDescent="0.25">
      <c r="A278" s="274">
        <v>44718</v>
      </c>
      <c r="B278" s="511">
        <v>44711</v>
      </c>
      <c r="C278" s="381" t="s">
        <v>3233</v>
      </c>
      <c r="D278" s="670" t="s">
        <v>304</v>
      </c>
      <c r="E278" s="669" t="s">
        <v>392</v>
      </c>
      <c r="F278" s="272" t="s">
        <v>2644</v>
      </c>
      <c r="G278" s="255" t="s">
        <v>3327</v>
      </c>
      <c r="H278" s="333">
        <v>10033852.5</v>
      </c>
      <c r="I278" s="334">
        <v>0</v>
      </c>
      <c r="J278" s="682">
        <v>9039506</v>
      </c>
      <c r="K278" s="682">
        <f t="shared" si="44"/>
        <v>994345.66</v>
      </c>
      <c r="L278" s="333">
        <f t="shared" si="45"/>
        <v>10033851.66</v>
      </c>
      <c r="M278" s="333">
        <f t="shared" si="46"/>
        <v>10033852.5</v>
      </c>
    </row>
    <row r="279" spans="1:13" s="256" customFormat="1" x14ac:dyDescent="0.25">
      <c r="A279" s="274">
        <v>44718</v>
      </c>
      <c r="B279" s="511">
        <v>44711</v>
      </c>
      <c r="C279" s="381" t="s">
        <v>3234</v>
      </c>
      <c r="D279" s="670" t="s">
        <v>304</v>
      </c>
      <c r="E279" s="669" t="s">
        <v>392</v>
      </c>
      <c r="F279" s="272" t="s">
        <v>2644</v>
      </c>
      <c r="G279" s="255" t="s">
        <v>3328</v>
      </c>
      <c r="H279" s="333">
        <v>19387695</v>
      </c>
      <c r="I279" s="334">
        <v>369360</v>
      </c>
      <c r="J279" s="682">
        <v>17133635</v>
      </c>
      <c r="K279" s="682">
        <f t="shared" si="44"/>
        <v>1884699.85</v>
      </c>
      <c r="L279" s="333">
        <f t="shared" si="45"/>
        <v>19018334.850000001</v>
      </c>
      <c r="M279" s="333">
        <f t="shared" si="46"/>
        <v>19018335</v>
      </c>
    </row>
    <row r="280" spans="1:13" s="256" customFormat="1" x14ac:dyDescent="0.25">
      <c r="A280" s="274">
        <v>44716</v>
      </c>
      <c r="B280" s="511">
        <v>44711</v>
      </c>
      <c r="C280" s="381" t="s">
        <v>3236</v>
      </c>
      <c r="D280" s="670" t="s">
        <v>321</v>
      </c>
      <c r="E280" s="669" t="s">
        <v>393</v>
      </c>
      <c r="F280" s="668" t="s">
        <v>394</v>
      </c>
      <c r="G280" s="255" t="s">
        <v>3254</v>
      </c>
      <c r="H280" s="333">
        <v>20143049.109999999</v>
      </c>
      <c r="I280" s="334">
        <v>0</v>
      </c>
      <c r="J280" s="682">
        <v>18146894</v>
      </c>
      <c r="K280" s="682">
        <f t="shared" si="44"/>
        <v>1996158.34</v>
      </c>
      <c r="L280" s="333">
        <f t="shared" si="45"/>
        <v>20143052.34</v>
      </c>
      <c r="M280" s="333">
        <f t="shared" si="46"/>
        <v>20143049.109999999</v>
      </c>
    </row>
    <row r="281" spans="1:13" s="256" customFormat="1" x14ac:dyDescent="0.25">
      <c r="A281" s="274">
        <v>44716</v>
      </c>
      <c r="B281" s="511">
        <v>44711</v>
      </c>
      <c r="C281" s="381" t="s">
        <v>3237</v>
      </c>
      <c r="D281" s="273" t="s">
        <v>321</v>
      </c>
      <c r="E281" s="275" t="s">
        <v>393</v>
      </c>
      <c r="F281" s="668" t="s">
        <v>394</v>
      </c>
      <c r="G281" s="255" t="s">
        <v>3255</v>
      </c>
      <c r="H281" s="333">
        <v>6317999.6399999997</v>
      </c>
      <c r="I281" s="334">
        <v>0</v>
      </c>
      <c r="J281" s="682">
        <v>5691888</v>
      </c>
      <c r="K281" s="682">
        <f t="shared" si="44"/>
        <v>626107.68000000005</v>
      </c>
      <c r="L281" s="333">
        <f t="shared" si="45"/>
        <v>6317995.6799999997</v>
      </c>
      <c r="M281" s="333">
        <f t="shared" si="46"/>
        <v>6317999.6399999997</v>
      </c>
    </row>
    <row r="282" spans="1:13" s="256" customFormat="1" x14ac:dyDescent="0.25">
      <c r="A282" s="274">
        <v>44704</v>
      </c>
      <c r="B282" s="511">
        <v>44706</v>
      </c>
      <c r="C282" s="381" t="s">
        <v>3103</v>
      </c>
      <c r="D282" s="273" t="s">
        <v>317</v>
      </c>
      <c r="E282" s="275" t="s">
        <v>395</v>
      </c>
      <c r="F282" s="272" t="s">
        <v>396</v>
      </c>
      <c r="G282" s="255" t="s">
        <v>3251</v>
      </c>
      <c r="H282" s="333">
        <v>21562625</v>
      </c>
      <c r="I282" s="334">
        <v>0</v>
      </c>
      <c r="J282" s="682">
        <v>19425788</v>
      </c>
      <c r="K282" s="682">
        <f t="shared" ref="K282:K305" si="47">J282*11%</f>
        <v>2136836.6800000002</v>
      </c>
      <c r="L282" s="333">
        <f t="shared" ref="L282:L305" si="48">SUM(J282:K282)</f>
        <v>21562624.68</v>
      </c>
      <c r="M282" s="333">
        <f t="shared" ref="M282:M305" si="49">H282-I282</f>
        <v>21562625</v>
      </c>
    </row>
    <row r="283" spans="1:13" s="256" customFormat="1" x14ac:dyDescent="0.25">
      <c r="A283" s="274">
        <v>44704</v>
      </c>
      <c r="B283" s="511">
        <v>44706</v>
      </c>
      <c r="C283" s="381" t="s">
        <v>3104</v>
      </c>
      <c r="D283" s="273" t="s">
        <v>317</v>
      </c>
      <c r="E283" s="275" t="s">
        <v>395</v>
      </c>
      <c r="F283" s="272" t="s">
        <v>396</v>
      </c>
      <c r="G283" s="255" t="s">
        <v>3252</v>
      </c>
      <c r="H283" s="333">
        <v>8229375</v>
      </c>
      <c r="I283" s="334">
        <v>0</v>
      </c>
      <c r="J283" s="682">
        <v>7413851</v>
      </c>
      <c r="K283" s="682">
        <f t="shared" si="47"/>
        <v>815523.61</v>
      </c>
      <c r="L283" s="333">
        <f t="shared" si="48"/>
        <v>8229374.6100000003</v>
      </c>
      <c r="M283" s="333">
        <f t="shared" si="49"/>
        <v>8229375</v>
      </c>
    </row>
    <row r="284" spans="1:13" s="256" customFormat="1" x14ac:dyDescent="0.25">
      <c r="A284" s="274">
        <v>44716</v>
      </c>
      <c r="B284" s="511">
        <v>44709</v>
      </c>
      <c r="C284" s="381" t="s">
        <v>3235</v>
      </c>
      <c r="D284" s="273" t="s">
        <v>317</v>
      </c>
      <c r="E284" s="275" t="s">
        <v>395</v>
      </c>
      <c r="F284" s="272" t="s">
        <v>396</v>
      </c>
      <c r="G284" s="255" t="s">
        <v>3253</v>
      </c>
      <c r="H284" s="333">
        <v>7148750</v>
      </c>
      <c r="I284" s="334">
        <v>0</v>
      </c>
      <c r="J284" s="682">
        <v>6440315</v>
      </c>
      <c r="K284" s="682">
        <f t="shared" si="47"/>
        <v>708434.65</v>
      </c>
      <c r="L284" s="333">
        <f t="shared" si="48"/>
        <v>7148749.6500000004</v>
      </c>
      <c r="M284" s="333">
        <f t="shared" si="49"/>
        <v>7148750</v>
      </c>
    </row>
    <row r="285" spans="1:13" s="256" customFormat="1" x14ac:dyDescent="0.25">
      <c r="A285" s="274">
        <v>44695</v>
      </c>
      <c r="B285" s="511">
        <v>44690</v>
      </c>
      <c r="C285" s="381">
        <v>22050023</v>
      </c>
      <c r="D285" s="273" t="s">
        <v>400</v>
      </c>
      <c r="E285" s="275" t="s">
        <v>401</v>
      </c>
      <c r="F285" s="272" t="s">
        <v>402</v>
      </c>
      <c r="G285" s="255" t="s">
        <v>3077</v>
      </c>
      <c r="H285" s="333">
        <v>46844400</v>
      </c>
      <c r="I285" s="334">
        <v>7963548</v>
      </c>
      <c r="J285" s="682">
        <v>35027794</v>
      </c>
      <c r="K285" s="682">
        <f t="shared" si="47"/>
        <v>3853057.34</v>
      </c>
      <c r="L285" s="333">
        <f t="shared" si="48"/>
        <v>38880851.340000004</v>
      </c>
      <c r="M285" s="333">
        <f t="shared" si="49"/>
        <v>38880852</v>
      </c>
    </row>
    <row r="286" spans="1:13" s="256" customFormat="1" x14ac:dyDescent="0.25">
      <c r="A286" s="274">
        <v>44695</v>
      </c>
      <c r="B286" s="511">
        <v>44690</v>
      </c>
      <c r="C286" s="381">
        <v>22050057</v>
      </c>
      <c r="D286" s="273" t="s">
        <v>400</v>
      </c>
      <c r="E286" s="275" t="s">
        <v>401</v>
      </c>
      <c r="F286" s="272" t="s">
        <v>402</v>
      </c>
      <c r="G286" s="255" t="s">
        <v>3078</v>
      </c>
      <c r="H286" s="333">
        <v>4428000</v>
      </c>
      <c r="I286" s="334">
        <v>752760</v>
      </c>
      <c r="J286" s="682">
        <v>3311027</v>
      </c>
      <c r="K286" s="682">
        <f t="shared" si="47"/>
        <v>364212.97000000003</v>
      </c>
      <c r="L286" s="333">
        <f t="shared" si="48"/>
        <v>3675239.97</v>
      </c>
      <c r="M286" s="333">
        <f t="shared" si="49"/>
        <v>3675240</v>
      </c>
    </row>
    <row r="287" spans="1:13" s="256" customFormat="1" x14ac:dyDescent="0.25">
      <c r="A287" s="274">
        <v>44695</v>
      </c>
      <c r="B287" s="511">
        <v>44691</v>
      </c>
      <c r="C287" s="381" t="s">
        <v>3035</v>
      </c>
      <c r="D287" s="273" t="s">
        <v>400</v>
      </c>
      <c r="E287" s="275" t="s">
        <v>401</v>
      </c>
      <c r="F287" s="272" t="s">
        <v>402</v>
      </c>
      <c r="G287" s="255" t="s">
        <v>3079</v>
      </c>
      <c r="H287" s="333">
        <v>18219600</v>
      </c>
      <c r="I287" s="334">
        <v>3097332</v>
      </c>
      <c r="J287" s="682">
        <v>13623664</v>
      </c>
      <c r="K287" s="682">
        <f t="shared" si="47"/>
        <v>1498603.04</v>
      </c>
      <c r="L287" s="333">
        <f t="shared" si="48"/>
        <v>15122267.039999999</v>
      </c>
      <c r="M287" s="333">
        <f t="shared" si="49"/>
        <v>15122268</v>
      </c>
    </row>
    <row r="288" spans="1:13" s="256" customFormat="1" x14ac:dyDescent="0.25">
      <c r="A288" s="274">
        <v>44695</v>
      </c>
      <c r="B288" s="511">
        <v>44691</v>
      </c>
      <c r="C288" s="381" t="s">
        <v>3036</v>
      </c>
      <c r="D288" s="273" t="s">
        <v>400</v>
      </c>
      <c r="E288" s="275" t="s">
        <v>401</v>
      </c>
      <c r="F288" s="272" t="s">
        <v>402</v>
      </c>
      <c r="G288" s="255" t="s">
        <v>3080</v>
      </c>
      <c r="H288" s="333">
        <v>9788000</v>
      </c>
      <c r="I288" s="334">
        <v>1663960</v>
      </c>
      <c r="J288" s="682">
        <v>7318954</v>
      </c>
      <c r="K288" s="682">
        <f t="shared" si="47"/>
        <v>805084.94000000006</v>
      </c>
      <c r="L288" s="333">
        <f t="shared" si="48"/>
        <v>8124038.9400000004</v>
      </c>
      <c r="M288" s="333">
        <f t="shared" si="49"/>
        <v>8124040</v>
      </c>
    </row>
    <row r="289" spans="1:13" s="256" customFormat="1" x14ac:dyDescent="0.25">
      <c r="A289" s="274">
        <v>44695</v>
      </c>
      <c r="B289" s="511">
        <v>44692</v>
      </c>
      <c r="C289" s="381" t="s">
        <v>3037</v>
      </c>
      <c r="D289" s="273" t="s">
        <v>400</v>
      </c>
      <c r="E289" s="275" t="s">
        <v>401</v>
      </c>
      <c r="F289" s="272" t="s">
        <v>402</v>
      </c>
      <c r="G289" s="255" t="s">
        <v>3081</v>
      </c>
      <c r="H289" s="333">
        <v>19629600</v>
      </c>
      <c r="I289" s="334">
        <v>3337032</v>
      </c>
      <c r="J289" s="682">
        <v>14677989</v>
      </c>
      <c r="K289" s="682">
        <f t="shared" si="47"/>
        <v>1614578.79</v>
      </c>
      <c r="L289" s="333">
        <f t="shared" si="48"/>
        <v>16292567.789999999</v>
      </c>
      <c r="M289" s="333">
        <f t="shared" si="49"/>
        <v>16292568</v>
      </c>
    </row>
    <row r="290" spans="1:13" s="256" customFormat="1" x14ac:dyDescent="0.25">
      <c r="A290" s="274">
        <v>44698</v>
      </c>
      <c r="B290" s="511">
        <v>44693</v>
      </c>
      <c r="C290" s="381" t="s">
        <v>3083</v>
      </c>
      <c r="D290" s="273" t="s">
        <v>400</v>
      </c>
      <c r="E290" s="275" t="s">
        <v>401</v>
      </c>
      <c r="F290" s="272" t="s">
        <v>402</v>
      </c>
      <c r="G290" s="255" t="s">
        <v>3082</v>
      </c>
      <c r="H290" s="333">
        <v>26382600</v>
      </c>
      <c r="I290" s="334">
        <v>4485042</v>
      </c>
      <c r="J290" s="682">
        <v>19727529</v>
      </c>
      <c r="K290" s="682">
        <f t="shared" si="47"/>
        <v>2170028.19</v>
      </c>
      <c r="L290" s="333">
        <f t="shared" si="48"/>
        <v>21897557.190000001</v>
      </c>
      <c r="M290" s="333">
        <f t="shared" si="49"/>
        <v>21897558</v>
      </c>
    </row>
    <row r="291" spans="1:13" s="256" customFormat="1" x14ac:dyDescent="0.25">
      <c r="A291" s="274">
        <v>44698</v>
      </c>
      <c r="B291" s="511">
        <v>44694</v>
      </c>
      <c r="C291" s="381" t="s">
        <v>3038</v>
      </c>
      <c r="D291" s="273" t="s">
        <v>400</v>
      </c>
      <c r="E291" s="275" t="s">
        <v>401</v>
      </c>
      <c r="F291" s="272" t="s">
        <v>402</v>
      </c>
      <c r="G291" s="255" t="s">
        <v>3084</v>
      </c>
      <c r="H291" s="333">
        <v>29604000</v>
      </c>
      <c r="I291" s="334">
        <v>5032680</v>
      </c>
      <c r="J291" s="682">
        <v>22136324</v>
      </c>
      <c r="K291" s="682">
        <f t="shared" si="47"/>
        <v>2434995.64</v>
      </c>
      <c r="L291" s="333">
        <f t="shared" si="48"/>
        <v>24571319.640000001</v>
      </c>
      <c r="M291" s="333">
        <f t="shared" si="49"/>
        <v>24571320</v>
      </c>
    </row>
    <row r="292" spans="1:13" s="256" customFormat="1" x14ac:dyDescent="0.25">
      <c r="A292" s="274">
        <v>44701</v>
      </c>
      <c r="B292" s="511">
        <v>44695</v>
      </c>
      <c r="C292" s="381">
        <v>22050421</v>
      </c>
      <c r="D292" s="273" t="s">
        <v>400</v>
      </c>
      <c r="E292" s="275" t="s">
        <v>401</v>
      </c>
      <c r="F292" s="272" t="s">
        <v>402</v>
      </c>
      <c r="G292" s="255" t="s">
        <v>3085</v>
      </c>
      <c r="H292" s="333">
        <v>27561200</v>
      </c>
      <c r="I292" s="334">
        <v>4685404</v>
      </c>
      <c r="J292" s="682">
        <v>20608825</v>
      </c>
      <c r="K292" s="682">
        <f t="shared" si="47"/>
        <v>2266970.75</v>
      </c>
      <c r="L292" s="333">
        <f t="shared" si="48"/>
        <v>22875795.75</v>
      </c>
      <c r="M292" s="333">
        <f t="shared" si="49"/>
        <v>22875796</v>
      </c>
    </row>
    <row r="293" spans="1:13" s="256" customFormat="1" x14ac:dyDescent="0.25">
      <c r="A293" s="274">
        <v>44701</v>
      </c>
      <c r="B293" s="511">
        <v>44695</v>
      </c>
      <c r="C293" s="381">
        <v>22050422</v>
      </c>
      <c r="D293" s="273" t="s">
        <v>400</v>
      </c>
      <c r="E293" s="275" t="s">
        <v>401</v>
      </c>
      <c r="F293" s="272" t="s">
        <v>402</v>
      </c>
      <c r="G293" s="255" t="s">
        <v>3086</v>
      </c>
      <c r="H293" s="333">
        <v>47700000</v>
      </c>
      <c r="I293" s="334">
        <v>8109000.0000000009</v>
      </c>
      <c r="J293" s="682">
        <v>35667567</v>
      </c>
      <c r="K293" s="682">
        <f t="shared" si="47"/>
        <v>3923432.37</v>
      </c>
      <c r="L293" s="333">
        <f t="shared" si="48"/>
        <v>39590999.369999997</v>
      </c>
      <c r="M293" s="333">
        <f t="shared" si="49"/>
        <v>39591000</v>
      </c>
    </row>
    <row r="294" spans="1:13" s="256" customFormat="1" x14ac:dyDescent="0.25">
      <c r="A294" s="274">
        <v>44701</v>
      </c>
      <c r="B294" s="511">
        <v>44698</v>
      </c>
      <c r="C294" s="381">
        <v>22050554</v>
      </c>
      <c r="D294" s="273" t="s">
        <v>400</v>
      </c>
      <c r="E294" s="275" t="s">
        <v>401</v>
      </c>
      <c r="F294" s="272" t="s">
        <v>402</v>
      </c>
      <c r="G294" s="255" t="s">
        <v>3087</v>
      </c>
      <c r="H294" s="333">
        <v>54253200</v>
      </c>
      <c r="I294" s="334">
        <v>9223044</v>
      </c>
      <c r="J294" s="682">
        <v>40567708</v>
      </c>
      <c r="K294" s="682">
        <f t="shared" si="47"/>
        <v>4462447.88</v>
      </c>
      <c r="L294" s="333">
        <f t="shared" si="48"/>
        <v>45030155.880000003</v>
      </c>
      <c r="M294" s="333">
        <f t="shared" si="49"/>
        <v>45030156</v>
      </c>
    </row>
    <row r="295" spans="1:13" s="256" customFormat="1" x14ac:dyDescent="0.25">
      <c r="A295" s="274">
        <v>44701</v>
      </c>
      <c r="B295" s="511">
        <v>44698</v>
      </c>
      <c r="C295" s="381">
        <v>22050568</v>
      </c>
      <c r="D295" s="273" t="s">
        <v>400</v>
      </c>
      <c r="E295" s="275" t="s">
        <v>401</v>
      </c>
      <c r="F295" s="272" t="s">
        <v>402</v>
      </c>
      <c r="G295" s="255" t="s">
        <v>3088</v>
      </c>
      <c r="H295" s="333">
        <v>109845600</v>
      </c>
      <c r="I295" s="334">
        <v>18673752</v>
      </c>
      <c r="J295" s="682">
        <v>82136800</v>
      </c>
      <c r="K295" s="682">
        <f t="shared" si="47"/>
        <v>9035048</v>
      </c>
      <c r="L295" s="333">
        <f t="shared" si="48"/>
        <v>91171848</v>
      </c>
      <c r="M295" s="333">
        <f t="shared" si="49"/>
        <v>91171848</v>
      </c>
    </row>
    <row r="296" spans="1:13" s="256" customFormat="1" x14ac:dyDescent="0.25">
      <c r="A296" s="274">
        <v>44704</v>
      </c>
      <c r="B296" s="511">
        <v>44700</v>
      </c>
      <c r="C296" s="381">
        <v>22050788</v>
      </c>
      <c r="D296" s="273" t="s">
        <v>400</v>
      </c>
      <c r="E296" s="275" t="s">
        <v>401</v>
      </c>
      <c r="F296" s="272" t="s">
        <v>402</v>
      </c>
      <c r="G296" s="255" t="s">
        <v>3096</v>
      </c>
      <c r="H296" s="333">
        <v>39605600</v>
      </c>
      <c r="I296" s="334">
        <v>6732952</v>
      </c>
      <c r="J296" s="682">
        <v>29614998</v>
      </c>
      <c r="K296" s="682">
        <f t="shared" si="47"/>
        <v>3257649.78</v>
      </c>
      <c r="L296" s="333">
        <f t="shared" si="48"/>
        <v>32872647.780000001</v>
      </c>
      <c r="M296" s="333">
        <f t="shared" si="49"/>
        <v>32872648</v>
      </c>
    </row>
    <row r="297" spans="1:13" s="256" customFormat="1" x14ac:dyDescent="0.25">
      <c r="A297" s="274">
        <v>44704</v>
      </c>
      <c r="B297" s="511">
        <v>44700</v>
      </c>
      <c r="C297" s="381">
        <v>22050802</v>
      </c>
      <c r="D297" s="273" t="s">
        <v>400</v>
      </c>
      <c r="E297" s="275" t="s">
        <v>401</v>
      </c>
      <c r="F297" s="272" t="s">
        <v>402</v>
      </c>
      <c r="G297" s="255" t="s">
        <v>3097</v>
      </c>
      <c r="H297" s="333">
        <v>17971200</v>
      </c>
      <c r="I297" s="334">
        <v>3055104</v>
      </c>
      <c r="J297" s="682">
        <v>13437924</v>
      </c>
      <c r="K297" s="682">
        <f t="shared" si="47"/>
        <v>1478171.64</v>
      </c>
      <c r="L297" s="333">
        <f t="shared" si="48"/>
        <v>14916095.640000001</v>
      </c>
      <c r="M297" s="333">
        <f t="shared" si="49"/>
        <v>14916096</v>
      </c>
    </row>
    <row r="298" spans="1:13" s="256" customFormat="1" x14ac:dyDescent="0.25">
      <c r="A298" s="274">
        <v>44704</v>
      </c>
      <c r="B298" s="511">
        <v>44701</v>
      </c>
      <c r="C298" s="381">
        <v>22050918</v>
      </c>
      <c r="D298" s="273" t="s">
        <v>400</v>
      </c>
      <c r="E298" s="275" t="s">
        <v>401</v>
      </c>
      <c r="F298" s="272" t="s">
        <v>402</v>
      </c>
      <c r="G298" s="255" t="s">
        <v>3098</v>
      </c>
      <c r="H298" s="333">
        <v>19111200</v>
      </c>
      <c r="I298" s="334">
        <v>3248904</v>
      </c>
      <c r="J298" s="682">
        <v>14290356</v>
      </c>
      <c r="K298" s="682">
        <f t="shared" si="47"/>
        <v>1571939.16</v>
      </c>
      <c r="L298" s="333">
        <f t="shared" si="48"/>
        <v>15862295.16</v>
      </c>
      <c r="M298" s="333">
        <f t="shared" si="49"/>
        <v>15862296</v>
      </c>
    </row>
    <row r="299" spans="1:13" s="256" customFormat="1" x14ac:dyDescent="0.25">
      <c r="A299" s="274">
        <v>44704</v>
      </c>
      <c r="B299" s="511">
        <v>44701</v>
      </c>
      <c r="C299" s="381">
        <v>22050924</v>
      </c>
      <c r="D299" s="273" t="s">
        <v>400</v>
      </c>
      <c r="E299" s="275" t="s">
        <v>401</v>
      </c>
      <c r="F299" s="272" t="s">
        <v>402</v>
      </c>
      <c r="G299" s="255" t="s">
        <v>3099</v>
      </c>
      <c r="H299" s="333">
        <v>11079000</v>
      </c>
      <c r="I299" s="334">
        <v>1883430</v>
      </c>
      <c r="J299" s="682">
        <v>8284297</v>
      </c>
      <c r="K299" s="682">
        <f t="shared" si="47"/>
        <v>911272.67</v>
      </c>
      <c r="L299" s="333">
        <f t="shared" si="48"/>
        <v>9195569.6699999999</v>
      </c>
      <c r="M299" s="333">
        <f t="shared" si="49"/>
        <v>9195570</v>
      </c>
    </row>
    <row r="300" spans="1:13" s="256" customFormat="1" x14ac:dyDescent="0.25">
      <c r="A300" s="274">
        <v>44706</v>
      </c>
      <c r="B300" s="511">
        <v>44702</v>
      </c>
      <c r="C300" s="381">
        <v>22051061</v>
      </c>
      <c r="D300" s="273" t="s">
        <v>400</v>
      </c>
      <c r="E300" s="275" t="s">
        <v>401</v>
      </c>
      <c r="F300" s="272" t="s">
        <v>402</v>
      </c>
      <c r="G300" s="255" t="s">
        <v>3100</v>
      </c>
      <c r="H300" s="333">
        <v>86472800</v>
      </c>
      <c r="I300" s="334">
        <v>14700376</v>
      </c>
      <c r="J300" s="682">
        <v>64659841</v>
      </c>
      <c r="K300" s="682">
        <f t="shared" si="47"/>
        <v>7112582.5099999998</v>
      </c>
      <c r="L300" s="333">
        <f t="shared" si="48"/>
        <v>71772423.510000005</v>
      </c>
      <c r="M300" s="333">
        <f t="shared" si="49"/>
        <v>71772424</v>
      </c>
    </row>
    <row r="301" spans="1:13" s="256" customFormat="1" x14ac:dyDescent="0.25">
      <c r="A301" s="274">
        <v>44709</v>
      </c>
      <c r="B301" s="511">
        <v>44704</v>
      </c>
      <c r="C301" s="381">
        <v>22051190</v>
      </c>
      <c r="D301" s="273" t="s">
        <v>400</v>
      </c>
      <c r="E301" s="275" t="s">
        <v>401</v>
      </c>
      <c r="F301" s="272" t="s">
        <v>402</v>
      </c>
      <c r="G301" s="255" t="s">
        <v>3139</v>
      </c>
      <c r="H301" s="333">
        <v>62064000</v>
      </c>
      <c r="I301" s="334">
        <v>10550880</v>
      </c>
      <c r="J301" s="682">
        <v>46408216</v>
      </c>
      <c r="K301" s="682">
        <f t="shared" si="47"/>
        <v>5104903.76</v>
      </c>
      <c r="L301" s="333">
        <f t="shared" si="48"/>
        <v>51513119.759999998</v>
      </c>
      <c r="M301" s="333">
        <f t="shared" si="49"/>
        <v>51513120</v>
      </c>
    </row>
    <row r="302" spans="1:13" s="256" customFormat="1" x14ac:dyDescent="0.25">
      <c r="A302" s="274">
        <v>44709</v>
      </c>
      <c r="B302" s="511">
        <v>44705</v>
      </c>
      <c r="C302" s="381">
        <v>22051228</v>
      </c>
      <c r="D302" s="273" t="s">
        <v>400</v>
      </c>
      <c r="E302" s="275" t="s">
        <v>401</v>
      </c>
      <c r="F302" s="272" t="s">
        <v>402</v>
      </c>
      <c r="G302" s="255" t="s">
        <v>3140</v>
      </c>
      <c r="H302" s="333">
        <v>8952000</v>
      </c>
      <c r="I302" s="334">
        <v>1521840</v>
      </c>
      <c r="J302" s="682">
        <v>6693837</v>
      </c>
      <c r="K302" s="682">
        <f t="shared" si="47"/>
        <v>736322.07</v>
      </c>
      <c r="L302" s="333">
        <f t="shared" si="48"/>
        <v>7430159.0700000003</v>
      </c>
      <c r="M302" s="333">
        <f t="shared" si="49"/>
        <v>7430160</v>
      </c>
    </row>
    <row r="303" spans="1:13" s="256" customFormat="1" x14ac:dyDescent="0.25">
      <c r="A303" s="274"/>
      <c r="B303" s="511">
        <v>44706</v>
      </c>
      <c r="C303" s="381">
        <v>22051374</v>
      </c>
      <c r="D303" s="273" t="s">
        <v>400</v>
      </c>
      <c r="E303" s="275" t="s">
        <v>401</v>
      </c>
      <c r="F303" s="272" t="s">
        <v>402</v>
      </c>
      <c r="G303" s="255" t="s">
        <v>3141</v>
      </c>
      <c r="H303" s="333">
        <v>15408000</v>
      </c>
      <c r="I303" s="334">
        <v>2619360</v>
      </c>
      <c r="J303" s="682">
        <v>11521297</v>
      </c>
      <c r="K303" s="682">
        <f t="shared" si="47"/>
        <v>1267342.67</v>
      </c>
      <c r="L303" s="333">
        <f t="shared" si="48"/>
        <v>12788639.67</v>
      </c>
      <c r="M303" s="333">
        <f t="shared" si="49"/>
        <v>12788640</v>
      </c>
    </row>
    <row r="304" spans="1:13" s="256" customFormat="1" x14ac:dyDescent="0.25">
      <c r="A304" s="274">
        <v>44695</v>
      </c>
      <c r="B304" s="511">
        <v>44690</v>
      </c>
      <c r="C304" s="381" t="s">
        <v>3016</v>
      </c>
      <c r="D304" s="273" t="s">
        <v>322</v>
      </c>
      <c r="E304" s="275" t="s">
        <v>397</v>
      </c>
      <c r="F304" s="272" t="s">
        <v>2645</v>
      </c>
      <c r="G304" s="255" t="s">
        <v>3095</v>
      </c>
      <c r="H304" s="333">
        <v>50400000</v>
      </c>
      <c r="I304" s="334">
        <v>0</v>
      </c>
      <c r="J304" s="682">
        <f>(H304-I304)/1.11</f>
        <v>45405405.405405402</v>
      </c>
      <c r="K304" s="682">
        <f t="shared" si="47"/>
        <v>4994594.5945945941</v>
      </c>
      <c r="L304" s="333">
        <f t="shared" si="48"/>
        <v>50400000</v>
      </c>
      <c r="M304" s="333">
        <f t="shared" si="49"/>
        <v>50400000</v>
      </c>
    </row>
    <row r="305" spans="1:13" s="256" customFormat="1" x14ac:dyDescent="0.25">
      <c r="A305" s="274">
        <v>44711</v>
      </c>
      <c r="B305" s="511">
        <v>44706</v>
      </c>
      <c r="C305" s="381" t="s">
        <v>3173</v>
      </c>
      <c r="D305" s="273" t="s">
        <v>305</v>
      </c>
      <c r="E305" s="275" t="s">
        <v>398</v>
      </c>
      <c r="F305" s="272" t="s">
        <v>399</v>
      </c>
      <c r="G305" s="255" t="s">
        <v>3244</v>
      </c>
      <c r="H305" s="333">
        <v>37260000</v>
      </c>
      <c r="I305" s="334">
        <v>0</v>
      </c>
      <c r="J305" s="682">
        <v>33568560</v>
      </c>
      <c r="K305" s="682">
        <f t="shared" si="47"/>
        <v>3692541.6</v>
      </c>
      <c r="L305" s="333">
        <f t="shared" si="48"/>
        <v>37261101.600000001</v>
      </c>
      <c r="M305" s="333">
        <f t="shared" si="49"/>
        <v>37260000</v>
      </c>
    </row>
    <row r="306" spans="1:13" s="256" customFormat="1" x14ac:dyDescent="0.25">
      <c r="A306" s="274"/>
      <c r="B306" s="511"/>
      <c r="C306" s="381"/>
      <c r="D306" s="273"/>
      <c r="E306" s="275"/>
      <c r="F306" s="272"/>
      <c r="G306" s="255"/>
      <c r="H306" s="333"/>
      <c r="I306" s="334"/>
      <c r="J306" s="682"/>
      <c r="K306" s="682"/>
      <c r="L306" s="333"/>
      <c r="M306" s="333"/>
    </row>
    <row r="307" spans="1:13" ht="18" x14ac:dyDescent="0.25">
      <c r="A307" s="513" t="s">
        <v>38</v>
      </c>
      <c r="B307" s="512"/>
      <c r="C307" s="515"/>
      <c r="D307" s="514"/>
      <c r="E307" s="519"/>
      <c r="F307" s="519"/>
      <c r="G307" s="516"/>
      <c r="H307" s="413">
        <f>SUM(H250:H306)</f>
        <v>1530212018.75</v>
      </c>
      <c r="I307" s="412"/>
      <c r="J307" s="683">
        <f>SUM(J250:J306)</f>
        <v>1264269598.4054055</v>
      </c>
      <c r="K307" s="683">
        <f>SUM(K250:K306)</f>
        <v>139069655.82459462</v>
      </c>
      <c r="L307" s="414">
        <f>SUM(L250:L306)</f>
        <v>1403339254.2300003</v>
      </c>
      <c r="M307" s="414">
        <f>SUM(M250:M306)</f>
        <v>1403338181.75</v>
      </c>
    </row>
    <row r="308" spans="1:13" ht="18" x14ac:dyDescent="0.25">
      <c r="A308" s="510" t="s">
        <v>103</v>
      </c>
      <c r="B308" s="510"/>
      <c r="C308" s="421"/>
      <c r="D308" s="420"/>
      <c r="E308" s="518"/>
      <c r="F308" s="518"/>
      <c r="G308" s="420"/>
      <c r="H308" s="422"/>
      <c r="I308" s="422"/>
      <c r="J308" s="681"/>
      <c r="K308" s="681"/>
      <c r="L308" s="423"/>
      <c r="M308" s="423"/>
    </row>
    <row r="309" spans="1:13" s="256" customFormat="1" x14ac:dyDescent="0.25">
      <c r="A309" s="274">
        <v>44669</v>
      </c>
      <c r="B309" s="511">
        <v>44665</v>
      </c>
      <c r="C309" s="381" t="s">
        <v>3896</v>
      </c>
      <c r="D309" s="273" t="s">
        <v>4003</v>
      </c>
      <c r="E309" s="275" t="s">
        <v>3897</v>
      </c>
      <c r="F309" s="272" t="s">
        <v>3898</v>
      </c>
      <c r="G309" s="255" t="s">
        <v>3899</v>
      </c>
      <c r="H309" s="333">
        <v>4285710</v>
      </c>
      <c r="I309" s="334">
        <v>0</v>
      </c>
      <c r="J309" s="682">
        <f>(H309-I309)/1.11</f>
        <v>3860999.9999999995</v>
      </c>
      <c r="K309" s="682">
        <f t="shared" ref="K309:K340" si="50">J309*11%</f>
        <v>424709.99999999994</v>
      </c>
      <c r="L309" s="333">
        <f t="shared" ref="L309:L340" si="51">SUM(J309:K309)</f>
        <v>4285709.9999999991</v>
      </c>
      <c r="M309" s="333">
        <f t="shared" ref="M309:M340" si="52">H309-I309</f>
        <v>4285710</v>
      </c>
    </row>
    <row r="310" spans="1:13" s="256" customFormat="1" x14ac:dyDescent="0.25">
      <c r="A310" s="274">
        <v>44732</v>
      </c>
      <c r="B310" s="511">
        <v>44729</v>
      </c>
      <c r="C310" s="381" t="s">
        <v>3574</v>
      </c>
      <c r="D310" s="273" t="s">
        <v>403</v>
      </c>
      <c r="E310" s="275" t="s">
        <v>404</v>
      </c>
      <c r="F310" s="272" t="s">
        <v>405</v>
      </c>
      <c r="G310" s="255" t="s">
        <v>4073</v>
      </c>
      <c r="H310" s="333">
        <v>78400000</v>
      </c>
      <c r="I310" s="334">
        <v>0</v>
      </c>
      <c r="J310" s="682">
        <v>70630631</v>
      </c>
      <c r="K310" s="682">
        <f t="shared" si="50"/>
        <v>7769369.4100000001</v>
      </c>
      <c r="L310" s="333">
        <f t="shared" si="51"/>
        <v>78400000.409999996</v>
      </c>
      <c r="M310" s="333">
        <f t="shared" si="52"/>
        <v>78400000</v>
      </c>
    </row>
    <row r="311" spans="1:13" s="256" customFormat="1" x14ac:dyDescent="0.25">
      <c r="A311" s="274">
        <v>44718</v>
      </c>
      <c r="B311" s="511">
        <v>44714</v>
      </c>
      <c r="C311" s="381" t="s">
        <v>3239</v>
      </c>
      <c r="D311" s="273" t="s">
        <v>304</v>
      </c>
      <c r="E311" s="275" t="s">
        <v>392</v>
      </c>
      <c r="F311" s="272" t="s">
        <v>2644</v>
      </c>
      <c r="G311" s="255" t="s">
        <v>3738</v>
      </c>
      <c r="H311" s="333">
        <v>3471300</v>
      </c>
      <c r="I311" s="334">
        <v>0</v>
      </c>
      <c r="J311" s="682">
        <v>3127297</v>
      </c>
      <c r="K311" s="682">
        <f t="shared" si="50"/>
        <v>344002.67</v>
      </c>
      <c r="L311" s="333">
        <f t="shared" si="51"/>
        <v>3471299.67</v>
      </c>
      <c r="M311" s="333">
        <f t="shared" si="52"/>
        <v>3471300</v>
      </c>
    </row>
    <row r="312" spans="1:13" s="256" customFormat="1" x14ac:dyDescent="0.25">
      <c r="A312" s="274">
        <v>44718</v>
      </c>
      <c r="B312" s="511">
        <v>44715</v>
      </c>
      <c r="C312" s="381" t="s">
        <v>3240</v>
      </c>
      <c r="D312" s="670" t="s">
        <v>304</v>
      </c>
      <c r="E312" s="669" t="s">
        <v>392</v>
      </c>
      <c r="F312" s="272" t="s">
        <v>2644</v>
      </c>
      <c r="G312" s="255" t="s">
        <v>3736</v>
      </c>
      <c r="H312" s="333">
        <v>4984341.25</v>
      </c>
      <c r="I312" s="334">
        <v>0</v>
      </c>
      <c r="J312" s="682">
        <v>4490397</v>
      </c>
      <c r="K312" s="682">
        <f t="shared" si="50"/>
        <v>493943.67</v>
      </c>
      <c r="L312" s="333">
        <f t="shared" si="51"/>
        <v>4984340.67</v>
      </c>
      <c r="M312" s="333">
        <f t="shared" si="52"/>
        <v>4984341.25</v>
      </c>
    </row>
    <row r="313" spans="1:13" s="256" customFormat="1" x14ac:dyDescent="0.25">
      <c r="A313" s="274">
        <v>44721</v>
      </c>
      <c r="B313" s="511">
        <v>44718</v>
      </c>
      <c r="C313" s="381" t="s">
        <v>3243</v>
      </c>
      <c r="D313" s="670" t="s">
        <v>304</v>
      </c>
      <c r="E313" s="669" t="s">
        <v>392</v>
      </c>
      <c r="F313" s="272" t="s">
        <v>2644</v>
      </c>
      <c r="G313" s="255" t="s">
        <v>3735</v>
      </c>
      <c r="H313" s="333">
        <v>4778025</v>
      </c>
      <c r="I313" s="334">
        <v>0</v>
      </c>
      <c r="J313" s="682">
        <v>4304527</v>
      </c>
      <c r="K313" s="682">
        <f t="shared" si="50"/>
        <v>473497.97000000003</v>
      </c>
      <c r="L313" s="333">
        <f t="shared" si="51"/>
        <v>4778024.97</v>
      </c>
      <c r="M313" s="333">
        <f t="shared" si="52"/>
        <v>4778025</v>
      </c>
    </row>
    <row r="314" spans="1:13" s="256" customFormat="1" x14ac:dyDescent="0.25">
      <c r="A314" s="274">
        <v>44722</v>
      </c>
      <c r="B314" s="511">
        <v>44719</v>
      </c>
      <c r="C314" s="381" t="s">
        <v>3734</v>
      </c>
      <c r="D314" s="670" t="s">
        <v>304</v>
      </c>
      <c r="E314" s="669" t="s">
        <v>392</v>
      </c>
      <c r="F314" s="272" t="s">
        <v>2644</v>
      </c>
      <c r="G314" s="255" t="s">
        <v>3733</v>
      </c>
      <c r="H314" s="333">
        <v>74522393.75</v>
      </c>
      <c r="I314" s="334">
        <v>0</v>
      </c>
      <c r="J314" s="682">
        <v>67137291</v>
      </c>
      <c r="K314" s="682">
        <f t="shared" si="50"/>
        <v>7385102.0099999998</v>
      </c>
      <c r="L314" s="333">
        <f t="shared" si="51"/>
        <v>74522393.010000005</v>
      </c>
      <c r="M314" s="333">
        <f t="shared" si="52"/>
        <v>74522393.75</v>
      </c>
    </row>
    <row r="315" spans="1:13" s="256" customFormat="1" x14ac:dyDescent="0.25">
      <c r="A315" s="274">
        <v>44722</v>
      </c>
      <c r="B315" s="511">
        <v>44719</v>
      </c>
      <c r="C315" s="381" t="s">
        <v>3732</v>
      </c>
      <c r="D315" s="670" t="s">
        <v>304</v>
      </c>
      <c r="E315" s="669" t="s">
        <v>392</v>
      </c>
      <c r="F315" s="272" t="s">
        <v>2644</v>
      </c>
      <c r="G315" s="255" t="s">
        <v>3731</v>
      </c>
      <c r="H315" s="333">
        <v>66149212.5</v>
      </c>
      <c r="I315" s="334">
        <v>0</v>
      </c>
      <c r="J315" s="682">
        <v>59593885</v>
      </c>
      <c r="K315" s="682">
        <f t="shared" si="50"/>
        <v>6555327.3499999996</v>
      </c>
      <c r="L315" s="333">
        <f t="shared" si="51"/>
        <v>66149212.350000001</v>
      </c>
      <c r="M315" s="333">
        <f t="shared" si="52"/>
        <v>66149212.5</v>
      </c>
    </row>
    <row r="316" spans="1:13" s="256" customFormat="1" x14ac:dyDescent="0.25">
      <c r="A316" s="274">
        <v>44723</v>
      </c>
      <c r="B316" s="511">
        <v>44720</v>
      </c>
      <c r="C316" s="381" t="s">
        <v>3284</v>
      </c>
      <c r="D316" s="670" t="s">
        <v>304</v>
      </c>
      <c r="E316" s="669" t="s">
        <v>392</v>
      </c>
      <c r="F316" s="272" t="s">
        <v>2644</v>
      </c>
      <c r="G316" s="255" t="s">
        <v>3730</v>
      </c>
      <c r="H316" s="333">
        <v>1594432.5</v>
      </c>
      <c r="I316" s="334">
        <v>0</v>
      </c>
      <c r="J316" s="682">
        <v>1325506</v>
      </c>
      <c r="K316" s="682">
        <f t="shared" si="50"/>
        <v>145805.66</v>
      </c>
      <c r="L316" s="333">
        <f t="shared" si="51"/>
        <v>1471311.66</v>
      </c>
      <c r="M316" s="333">
        <f t="shared" si="52"/>
        <v>1594432.5</v>
      </c>
    </row>
    <row r="317" spans="1:13" s="256" customFormat="1" x14ac:dyDescent="0.25">
      <c r="A317" s="274">
        <v>44725</v>
      </c>
      <c r="B317" s="511">
        <v>44721</v>
      </c>
      <c r="C317" s="381" t="s">
        <v>3532</v>
      </c>
      <c r="D317" s="670" t="s">
        <v>304</v>
      </c>
      <c r="E317" s="669" t="s">
        <v>392</v>
      </c>
      <c r="F317" s="272" t="s">
        <v>2644</v>
      </c>
      <c r="G317" s="255" t="s">
        <v>3729</v>
      </c>
      <c r="H317" s="333">
        <v>19612845</v>
      </c>
      <c r="I317" s="334">
        <v>0</v>
      </c>
      <c r="J317" s="682">
        <v>17669229</v>
      </c>
      <c r="K317" s="682">
        <f t="shared" si="50"/>
        <v>1943615.19</v>
      </c>
      <c r="L317" s="333">
        <f t="shared" si="51"/>
        <v>19612844.190000001</v>
      </c>
      <c r="M317" s="333">
        <f t="shared" si="52"/>
        <v>19612845</v>
      </c>
    </row>
    <row r="318" spans="1:13" s="256" customFormat="1" x14ac:dyDescent="0.25">
      <c r="A318" s="274">
        <v>44725</v>
      </c>
      <c r="B318" s="511">
        <v>44721</v>
      </c>
      <c r="C318" s="381" t="s">
        <v>3533</v>
      </c>
      <c r="D318" s="670" t="s">
        <v>304</v>
      </c>
      <c r="E318" s="669" t="s">
        <v>392</v>
      </c>
      <c r="F318" s="272" t="s">
        <v>2644</v>
      </c>
      <c r="G318" s="255" t="s">
        <v>3728</v>
      </c>
      <c r="H318" s="333">
        <v>8990895</v>
      </c>
      <c r="I318" s="334">
        <v>123120</v>
      </c>
      <c r="J318" s="682">
        <v>7988986</v>
      </c>
      <c r="K318" s="682">
        <f t="shared" si="50"/>
        <v>878788.46</v>
      </c>
      <c r="L318" s="333">
        <f t="shared" si="51"/>
        <v>8867774.4600000009</v>
      </c>
      <c r="M318" s="333">
        <f t="shared" si="52"/>
        <v>8867775</v>
      </c>
    </row>
    <row r="319" spans="1:13" s="256" customFormat="1" x14ac:dyDescent="0.25">
      <c r="A319" s="274">
        <v>44725</v>
      </c>
      <c r="B319" s="511">
        <v>44721</v>
      </c>
      <c r="C319" s="381" t="s">
        <v>3534</v>
      </c>
      <c r="D319" s="670" t="s">
        <v>304</v>
      </c>
      <c r="E319" s="669" t="s">
        <v>392</v>
      </c>
      <c r="F319" s="272" t="s">
        <v>2644</v>
      </c>
      <c r="G319" s="255" t="s">
        <v>3727</v>
      </c>
      <c r="H319" s="333">
        <v>12469830.625</v>
      </c>
      <c r="I319" s="334">
        <v>0</v>
      </c>
      <c r="J319" s="682">
        <v>11234081</v>
      </c>
      <c r="K319" s="682">
        <f t="shared" si="50"/>
        <v>1235748.9099999999</v>
      </c>
      <c r="L319" s="333">
        <f t="shared" si="51"/>
        <v>12469829.91</v>
      </c>
      <c r="M319" s="333">
        <f t="shared" si="52"/>
        <v>12469830.625</v>
      </c>
    </row>
    <row r="320" spans="1:13" s="256" customFormat="1" x14ac:dyDescent="0.25">
      <c r="A320" s="274">
        <v>44725</v>
      </c>
      <c r="B320" s="511">
        <v>44721</v>
      </c>
      <c r="C320" s="381" t="s">
        <v>3535</v>
      </c>
      <c r="D320" s="670" t="s">
        <v>304</v>
      </c>
      <c r="E320" s="669" t="s">
        <v>392</v>
      </c>
      <c r="F320" s="272" t="s">
        <v>2644</v>
      </c>
      <c r="G320" s="255" t="s">
        <v>3726</v>
      </c>
      <c r="H320" s="333">
        <v>12998422.5</v>
      </c>
      <c r="I320" s="334">
        <v>478800</v>
      </c>
      <c r="J320" s="682">
        <v>11278939</v>
      </c>
      <c r="K320" s="682">
        <f t="shared" si="50"/>
        <v>1240683.29</v>
      </c>
      <c r="L320" s="333">
        <f t="shared" si="51"/>
        <v>12519622.289999999</v>
      </c>
      <c r="M320" s="333">
        <f t="shared" si="52"/>
        <v>12519622.5</v>
      </c>
    </row>
    <row r="321" spans="1:13" s="256" customFormat="1" x14ac:dyDescent="0.25">
      <c r="A321" s="274">
        <v>44727</v>
      </c>
      <c r="B321" s="511">
        <v>44722</v>
      </c>
      <c r="C321" s="381" t="s">
        <v>3536</v>
      </c>
      <c r="D321" s="670" t="s">
        <v>304</v>
      </c>
      <c r="E321" s="669" t="s">
        <v>392</v>
      </c>
      <c r="F321" s="272" t="s">
        <v>2644</v>
      </c>
      <c r="G321" s="255" t="s">
        <v>3725</v>
      </c>
      <c r="H321" s="333">
        <v>820800</v>
      </c>
      <c r="I321" s="334">
        <v>0</v>
      </c>
      <c r="J321" s="682">
        <v>739459</v>
      </c>
      <c r="K321" s="682">
        <f t="shared" si="50"/>
        <v>81340.490000000005</v>
      </c>
      <c r="L321" s="333">
        <f t="shared" si="51"/>
        <v>820799.49</v>
      </c>
      <c r="M321" s="333">
        <f t="shared" si="52"/>
        <v>820800</v>
      </c>
    </row>
    <row r="322" spans="1:13" s="256" customFormat="1" x14ac:dyDescent="0.25">
      <c r="A322" s="274">
        <v>44725</v>
      </c>
      <c r="B322" s="511">
        <v>44722</v>
      </c>
      <c r="C322" s="381" t="s">
        <v>3537</v>
      </c>
      <c r="D322" s="670" t="s">
        <v>304</v>
      </c>
      <c r="E322" s="669" t="s">
        <v>392</v>
      </c>
      <c r="F322" s="272" t="s">
        <v>2644</v>
      </c>
      <c r="G322" s="255" t="s">
        <v>3724</v>
      </c>
      <c r="H322" s="333">
        <v>8824882.5</v>
      </c>
      <c r="I322" s="334">
        <v>0</v>
      </c>
      <c r="J322" s="682">
        <f>(H322-I322)/1.11</f>
        <v>7950344.5945945941</v>
      </c>
      <c r="K322" s="682">
        <f t="shared" si="50"/>
        <v>874537.90540540533</v>
      </c>
      <c r="L322" s="333">
        <f t="shared" si="51"/>
        <v>8824882.5</v>
      </c>
      <c r="M322" s="333">
        <f t="shared" si="52"/>
        <v>8824882.5</v>
      </c>
    </row>
    <row r="323" spans="1:13" s="256" customFormat="1" x14ac:dyDescent="0.25">
      <c r="A323" s="274">
        <v>44728</v>
      </c>
      <c r="B323" s="511">
        <v>44722</v>
      </c>
      <c r="C323" s="381" t="s">
        <v>3538</v>
      </c>
      <c r="D323" s="670" t="s">
        <v>304</v>
      </c>
      <c r="E323" s="669" t="s">
        <v>392</v>
      </c>
      <c r="F323" s="272" t="s">
        <v>2644</v>
      </c>
      <c r="G323" s="255" t="s">
        <v>3723</v>
      </c>
      <c r="H323" s="333">
        <v>80298750</v>
      </c>
      <c r="I323" s="334">
        <v>3351600</v>
      </c>
      <c r="J323" s="682">
        <v>69321756</v>
      </c>
      <c r="K323" s="682">
        <f t="shared" si="50"/>
        <v>7625393.1600000001</v>
      </c>
      <c r="L323" s="333">
        <f t="shared" si="51"/>
        <v>76947149.159999996</v>
      </c>
      <c r="M323" s="333">
        <f t="shared" si="52"/>
        <v>76947150</v>
      </c>
    </row>
    <row r="324" spans="1:13" s="256" customFormat="1" x14ac:dyDescent="0.25">
      <c r="A324" s="274">
        <v>44727</v>
      </c>
      <c r="B324" s="511">
        <v>44723</v>
      </c>
      <c r="C324" s="381" t="s">
        <v>3539</v>
      </c>
      <c r="D324" s="670" t="s">
        <v>304</v>
      </c>
      <c r="E324" s="669" t="s">
        <v>392</v>
      </c>
      <c r="F324" s="272" t="s">
        <v>2644</v>
      </c>
      <c r="G324" s="255" t="s">
        <v>3722</v>
      </c>
      <c r="H324" s="333">
        <v>15216862.5</v>
      </c>
      <c r="I324" s="334">
        <v>0</v>
      </c>
      <c r="J324" s="682">
        <v>13708885</v>
      </c>
      <c r="K324" s="682">
        <f t="shared" si="50"/>
        <v>1507977.35</v>
      </c>
      <c r="L324" s="333">
        <f t="shared" si="51"/>
        <v>15216862.35</v>
      </c>
      <c r="M324" s="333">
        <f t="shared" si="52"/>
        <v>15216862.5</v>
      </c>
    </row>
    <row r="325" spans="1:13" s="256" customFormat="1" x14ac:dyDescent="0.25">
      <c r="A325" s="274">
        <v>44730</v>
      </c>
      <c r="B325" s="511">
        <v>44726</v>
      </c>
      <c r="C325" s="381" t="s">
        <v>3721</v>
      </c>
      <c r="D325" s="670" t="s">
        <v>304</v>
      </c>
      <c r="E325" s="669" t="s">
        <v>392</v>
      </c>
      <c r="F325" s="272" t="s">
        <v>2644</v>
      </c>
      <c r="G325" s="255" t="s">
        <v>3720</v>
      </c>
      <c r="H325" s="333">
        <v>12692190</v>
      </c>
      <c r="I325" s="334">
        <v>0</v>
      </c>
      <c r="J325" s="682">
        <v>11434405</v>
      </c>
      <c r="K325" s="682">
        <f t="shared" si="50"/>
        <v>1257784.55</v>
      </c>
      <c r="L325" s="333">
        <f t="shared" si="51"/>
        <v>12692189.550000001</v>
      </c>
      <c r="M325" s="333">
        <f t="shared" si="52"/>
        <v>12692190</v>
      </c>
    </row>
    <row r="326" spans="1:13" s="256" customFormat="1" x14ac:dyDescent="0.25">
      <c r="A326" s="274">
        <v>44734</v>
      </c>
      <c r="B326" s="511">
        <v>44728</v>
      </c>
      <c r="C326" s="381" t="s">
        <v>3568</v>
      </c>
      <c r="D326" s="670" t="s">
        <v>304</v>
      </c>
      <c r="E326" s="669" t="s">
        <v>392</v>
      </c>
      <c r="F326" s="272" t="s">
        <v>2644</v>
      </c>
      <c r="G326" s="255" t="s">
        <v>3993</v>
      </c>
      <c r="H326" s="333">
        <v>12784292.5</v>
      </c>
      <c r="I326" s="334">
        <v>0</v>
      </c>
      <c r="J326" s="682">
        <v>11517380</v>
      </c>
      <c r="K326" s="682">
        <f t="shared" si="50"/>
        <v>1266911.8</v>
      </c>
      <c r="L326" s="333">
        <f t="shared" si="51"/>
        <v>12784291.800000001</v>
      </c>
      <c r="M326" s="333">
        <f t="shared" si="52"/>
        <v>12784292.5</v>
      </c>
    </row>
    <row r="327" spans="1:13" s="256" customFormat="1" x14ac:dyDescent="0.25">
      <c r="A327" s="274">
        <v>44734</v>
      </c>
      <c r="B327" s="511">
        <v>44728</v>
      </c>
      <c r="C327" s="381" t="s">
        <v>3569</v>
      </c>
      <c r="D327" s="670" t="s">
        <v>304</v>
      </c>
      <c r="E327" s="669" t="s">
        <v>392</v>
      </c>
      <c r="F327" s="272" t="s">
        <v>2644</v>
      </c>
      <c r="G327" s="255" t="s">
        <v>3994</v>
      </c>
      <c r="H327" s="333">
        <v>9592758</v>
      </c>
      <c r="I327" s="334">
        <v>387828</v>
      </c>
      <c r="J327" s="682">
        <v>8292729</v>
      </c>
      <c r="K327" s="682">
        <f t="shared" si="50"/>
        <v>912200.19000000006</v>
      </c>
      <c r="L327" s="333">
        <f t="shared" si="51"/>
        <v>9204929.1899999995</v>
      </c>
      <c r="M327" s="333">
        <f t="shared" si="52"/>
        <v>9204930</v>
      </c>
    </row>
    <row r="328" spans="1:13" s="256" customFormat="1" x14ac:dyDescent="0.25">
      <c r="A328" s="274">
        <v>44740</v>
      </c>
      <c r="B328" s="511">
        <v>44733</v>
      </c>
      <c r="C328" s="381" t="s">
        <v>3703</v>
      </c>
      <c r="D328" s="670" t="s">
        <v>304</v>
      </c>
      <c r="E328" s="669" t="s">
        <v>392</v>
      </c>
      <c r="F328" s="272" t="s">
        <v>2644</v>
      </c>
      <c r="G328" s="255" t="s">
        <v>3995</v>
      </c>
      <c r="H328" s="333">
        <v>5665401</v>
      </c>
      <c r="I328" s="334">
        <v>129276</v>
      </c>
      <c r="J328" s="682">
        <v>4987500</v>
      </c>
      <c r="K328" s="682">
        <f t="shared" si="50"/>
        <v>548625</v>
      </c>
      <c r="L328" s="333">
        <f t="shared" si="51"/>
        <v>5536125</v>
      </c>
      <c r="M328" s="333">
        <f t="shared" si="52"/>
        <v>5536125</v>
      </c>
    </row>
    <row r="329" spans="1:13" s="256" customFormat="1" x14ac:dyDescent="0.25">
      <c r="A329" s="274">
        <v>44740</v>
      </c>
      <c r="B329" s="511">
        <v>44735</v>
      </c>
      <c r="C329" s="381" t="s">
        <v>3704</v>
      </c>
      <c r="D329" s="670" t="s">
        <v>304</v>
      </c>
      <c r="E329" s="669" t="s">
        <v>392</v>
      </c>
      <c r="F329" s="272" t="s">
        <v>2644</v>
      </c>
      <c r="G329" s="255" t="s">
        <v>3996</v>
      </c>
      <c r="H329" s="333">
        <v>27807507</v>
      </c>
      <c r="I329" s="334">
        <v>258552</v>
      </c>
      <c r="J329" s="682">
        <v>24818878</v>
      </c>
      <c r="K329" s="682">
        <f t="shared" si="50"/>
        <v>2730076.58</v>
      </c>
      <c r="L329" s="333">
        <f t="shared" si="51"/>
        <v>27548954.579999998</v>
      </c>
      <c r="M329" s="333">
        <f t="shared" si="52"/>
        <v>27548955</v>
      </c>
    </row>
    <row r="330" spans="1:13" s="256" customFormat="1" x14ac:dyDescent="0.25">
      <c r="A330" s="274">
        <v>44741</v>
      </c>
      <c r="B330" s="511">
        <v>44736</v>
      </c>
      <c r="C330" s="381" t="s">
        <v>3705</v>
      </c>
      <c r="D330" s="670" t="s">
        <v>304</v>
      </c>
      <c r="E330" s="669" t="s">
        <v>392</v>
      </c>
      <c r="F330" s="272" t="s">
        <v>2644</v>
      </c>
      <c r="G330" s="255" t="s">
        <v>3997</v>
      </c>
      <c r="H330" s="333">
        <v>28526505</v>
      </c>
      <c r="I330" s="334">
        <v>0</v>
      </c>
      <c r="J330" s="682">
        <v>25699554</v>
      </c>
      <c r="K330" s="682">
        <f t="shared" si="50"/>
        <v>2826950.94</v>
      </c>
      <c r="L330" s="333">
        <f t="shared" si="51"/>
        <v>28526504.940000001</v>
      </c>
      <c r="M330" s="333">
        <f t="shared" si="52"/>
        <v>28526505</v>
      </c>
    </row>
    <row r="331" spans="1:13" s="256" customFormat="1" x14ac:dyDescent="0.25">
      <c r="A331" s="274">
        <v>44741</v>
      </c>
      <c r="B331" s="511">
        <v>44737</v>
      </c>
      <c r="C331" s="381" t="s">
        <v>3706</v>
      </c>
      <c r="D331" s="670" t="s">
        <v>304</v>
      </c>
      <c r="E331" s="669" t="s">
        <v>392</v>
      </c>
      <c r="F331" s="272" t="s">
        <v>2644</v>
      </c>
      <c r="G331" s="255" t="s">
        <v>3998</v>
      </c>
      <c r="H331" s="333">
        <v>17743131</v>
      </c>
      <c r="I331" s="334">
        <v>129276</v>
      </c>
      <c r="J331" s="682">
        <v>15868337</v>
      </c>
      <c r="K331" s="682">
        <f t="shared" si="50"/>
        <v>1745517.07</v>
      </c>
      <c r="L331" s="333">
        <f t="shared" si="51"/>
        <v>17613854.07</v>
      </c>
      <c r="M331" s="333">
        <f t="shared" si="52"/>
        <v>17613855</v>
      </c>
    </row>
    <row r="332" spans="1:13" s="256" customFormat="1" x14ac:dyDescent="0.25">
      <c r="A332" s="274">
        <v>44743</v>
      </c>
      <c r="B332" s="511">
        <v>44739</v>
      </c>
      <c r="C332" s="381" t="s">
        <v>3739</v>
      </c>
      <c r="D332" s="670" t="s">
        <v>304</v>
      </c>
      <c r="E332" s="669" t="s">
        <v>392</v>
      </c>
      <c r="F332" s="272" t="s">
        <v>2644</v>
      </c>
      <c r="G332" s="255" t="s">
        <v>3999</v>
      </c>
      <c r="H332" s="333">
        <v>40753860</v>
      </c>
      <c r="I332" s="334">
        <v>754110</v>
      </c>
      <c r="J332" s="682">
        <v>36035810</v>
      </c>
      <c r="K332" s="682">
        <f t="shared" si="50"/>
        <v>3963939.1</v>
      </c>
      <c r="L332" s="333">
        <f t="shared" si="51"/>
        <v>39999749.100000001</v>
      </c>
      <c r="M332" s="333">
        <f t="shared" si="52"/>
        <v>39999750</v>
      </c>
    </row>
    <row r="333" spans="1:13" s="256" customFormat="1" x14ac:dyDescent="0.25">
      <c r="A333" s="274">
        <v>44743</v>
      </c>
      <c r="B333" s="511">
        <v>44739</v>
      </c>
      <c r="C333" s="381" t="s">
        <v>3740</v>
      </c>
      <c r="D333" s="670" t="s">
        <v>304</v>
      </c>
      <c r="E333" s="669" t="s">
        <v>392</v>
      </c>
      <c r="F333" s="272" t="s">
        <v>2644</v>
      </c>
      <c r="G333" s="255" t="s">
        <v>4000</v>
      </c>
      <c r="H333" s="333">
        <v>28175717.5</v>
      </c>
      <c r="I333" s="334">
        <v>0</v>
      </c>
      <c r="J333" s="682">
        <v>25383529</v>
      </c>
      <c r="K333" s="682">
        <f t="shared" si="50"/>
        <v>2792188.19</v>
      </c>
      <c r="L333" s="333">
        <f t="shared" si="51"/>
        <v>28175717.190000001</v>
      </c>
      <c r="M333" s="333">
        <f t="shared" si="52"/>
        <v>28175717.5</v>
      </c>
    </row>
    <row r="334" spans="1:13" s="256" customFormat="1" x14ac:dyDescent="0.25">
      <c r="A334" s="274">
        <v>44743</v>
      </c>
      <c r="B334" s="511">
        <v>44739</v>
      </c>
      <c r="C334" s="381" t="s">
        <v>3741</v>
      </c>
      <c r="D334" s="670" t="s">
        <v>304</v>
      </c>
      <c r="E334" s="669" t="s">
        <v>392</v>
      </c>
      <c r="F334" s="272" t="s">
        <v>2644</v>
      </c>
      <c r="G334" s="255" t="s">
        <v>4001</v>
      </c>
      <c r="H334" s="333">
        <v>12995829</v>
      </c>
      <c r="I334" s="334">
        <v>517104</v>
      </c>
      <c r="J334" s="682">
        <v>11242094</v>
      </c>
      <c r="K334" s="682">
        <f t="shared" si="50"/>
        <v>1236630.3400000001</v>
      </c>
      <c r="L334" s="333">
        <f t="shared" si="51"/>
        <v>12478724.34</v>
      </c>
      <c r="M334" s="333">
        <f t="shared" si="52"/>
        <v>12478725</v>
      </c>
    </row>
    <row r="335" spans="1:13" s="256" customFormat="1" x14ac:dyDescent="0.25">
      <c r="A335" s="274">
        <v>44746</v>
      </c>
      <c r="B335" s="511">
        <v>44742</v>
      </c>
      <c r="C335" s="381" t="s">
        <v>3895</v>
      </c>
      <c r="D335" s="670" t="s">
        <v>304</v>
      </c>
      <c r="E335" s="669" t="s">
        <v>392</v>
      </c>
      <c r="F335" s="272" t="s">
        <v>2644</v>
      </c>
      <c r="G335" s="255" t="s">
        <v>4002</v>
      </c>
      <c r="H335" s="333">
        <v>11869452</v>
      </c>
      <c r="I335" s="334">
        <v>258552</v>
      </c>
      <c r="J335" s="682">
        <v>10460270</v>
      </c>
      <c r="K335" s="682">
        <f t="shared" si="50"/>
        <v>1150629.7</v>
      </c>
      <c r="L335" s="333">
        <f t="shared" si="51"/>
        <v>11610899.699999999</v>
      </c>
      <c r="M335" s="333">
        <f t="shared" si="52"/>
        <v>11610900</v>
      </c>
    </row>
    <row r="336" spans="1:13" s="256" customFormat="1" x14ac:dyDescent="0.25">
      <c r="A336" s="274">
        <v>44718</v>
      </c>
      <c r="B336" s="511">
        <v>44715</v>
      </c>
      <c r="C336" s="381" t="s">
        <v>3241</v>
      </c>
      <c r="D336" s="273" t="s">
        <v>317</v>
      </c>
      <c r="E336" s="275" t="s">
        <v>395</v>
      </c>
      <c r="F336" s="272" t="s">
        <v>396</v>
      </c>
      <c r="G336" s="255" t="s">
        <v>3919</v>
      </c>
      <c r="H336" s="333">
        <v>4389000</v>
      </c>
      <c r="I336" s="334">
        <v>0</v>
      </c>
      <c r="J336" s="682">
        <v>3954054</v>
      </c>
      <c r="K336" s="682">
        <f t="shared" si="50"/>
        <v>434945.94</v>
      </c>
      <c r="L336" s="333">
        <f t="shared" si="51"/>
        <v>4388999.9400000004</v>
      </c>
      <c r="M336" s="333">
        <f t="shared" si="52"/>
        <v>4389000</v>
      </c>
    </row>
    <row r="337" spans="1:13" s="256" customFormat="1" x14ac:dyDescent="0.25">
      <c r="A337" s="274">
        <v>44714</v>
      </c>
      <c r="B337" s="511">
        <v>44714</v>
      </c>
      <c r="C337" s="381">
        <v>22060031</v>
      </c>
      <c r="D337" s="273" t="s">
        <v>400</v>
      </c>
      <c r="E337" s="275" t="s">
        <v>401</v>
      </c>
      <c r="F337" s="272" t="s">
        <v>402</v>
      </c>
      <c r="G337" s="255" t="s">
        <v>3681</v>
      </c>
      <c r="H337" s="333">
        <v>22550400</v>
      </c>
      <c r="I337" s="334">
        <v>3833568</v>
      </c>
      <c r="J337" s="682">
        <v>16862010</v>
      </c>
      <c r="K337" s="682">
        <f t="shared" si="50"/>
        <v>1854821.1</v>
      </c>
      <c r="L337" s="333">
        <f t="shared" si="51"/>
        <v>18716831.100000001</v>
      </c>
      <c r="M337" s="333">
        <f t="shared" si="52"/>
        <v>18716832</v>
      </c>
    </row>
    <row r="338" spans="1:13" s="256" customFormat="1" x14ac:dyDescent="0.25">
      <c r="A338" s="274">
        <v>44714</v>
      </c>
      <c r="B338" s="511">
        <v>44714</v>
      </c>
      <c r="C338" s="381" t="s">
        <v>3161</v>
      </c>
      <c r="D338" s="273" t="s">
        <v>400</v>
      </c>
      <c r="E338" s="275" t="s">
        <v>401</v>
      </c>
      <c r="F338" s="272" t="s">
        <v>402</v>
      </c>
      <c r="G338" s="255" t="s">
        <v>3682</v>
      </c>
      <c r="H338" s="333">
        <v>37721200</v>
      </c>
      <c r="I338" s="334">
        <v>6412604</v>
      </c>
      <c r="J338" s="682">
        <v>28205942</v>
      </c>
      <c r="K338" s="682">
        <f t="shared" si="50"/>
        <v>3102653.62</v>
      </c>
      <c r="L338" s="333">
        <f t="shared" si="51"/>
        <v>31308595.620000001</v>
      </c>
      <c r="M338" s="333">
        <f t="shared" si="52"/>
        <v>31308596</v>
      </c>
    </row>
    <row r="339" spans="1:13" s="256" customFormat="1" x14ac:dyDescent="0.25">
      <c r="A339" s="274">
        <v>44714</v>
      </c>
      <c r="B339" s="511">
        <v>44714</v>
      </c>
      <c r="C339" s="381" t="s">
        <v>3160</v>
      </c>
      <c r="D339" s="273" t="s">
        <v>400</v>
      </c>
      <c r="E339" s="275" t="s">
        <v>401</v>
      </c>
      <c r="F339" s="272" t="s">
        <v>402</v>
      </c>
      <c r="G339" s="255" t="s">
        <v>3683</v>
      </c>
      <c r="H339" s="333">
        <v>28900000</v>
      </c>
      <c r="I339" s="334">
        <v>4913000</v>
      </c>
      <c r="J339" s="682">
        <v>21609909</v>
      </c>
      <c r="K339" s="682">
        <f t="shared" si="50"/>
        <v>2377089.9900000002</v>
      </c>
      <c r="L339" s="333">
        <f t="shared" si="51"/>
        <v>23986998.990000002</v>
      </c>
      <c r="M339" s="333">
        <f t="shared" si="52"/>
        <v>23987000</v>
      </c>
    </row>
    <row r="340" spans="1:13" s="256" customFormat="1" x14ac:dyDescent="0.25">
      <c r="A340" s="274">
        <v>44714</v>
      </c>
      <c r="B340" s="511">
        <v>44714</v>
      </c>
      <c r="C340" s="381" t="s">
        <v>3242</v>
      </c>
      <c r="D340" s="273" t="s">
        <v>400</v>
      </c>
      <c r="E340" s="275" t="s">
        <v>401</v>
      </c>
      <c r="F340" s="272" t="s">
        <v>402</v>
      </c>
      <c r="G340" s="255" t="s">
        <v>3684</v>
      </c>
      <c r="H340" s="333">
        <v>24912000</v>
      </c>
      <c r="I340" s="334">
        <v>4235040</v>
      </c>
      <c r="J340" s="682">
        <v>18627891</v>
      </c>
      <c r="K340" s="682">
        <f t="shared" si="50"/>
        <v>2049068.01</v>
      </c>
      <c r="L340" s="333">
        <f t="shared" si="51"/>
        <v>20676959.010000002</v>
      </c>
      <c r="M340" s="333">
        <f t="shared" si="52"/>
        <v>20676960</v>
      </c>
    </row>
    <row r="341" spans="1:13" s="256" customFormat="1" x14ac:dyDescent="0.25">
      <c r="A341" s="274">
        <v>44718</v>
      </c>
      <c r="B341" s="511">
        <v>44714</v>
      </c>
      <c r="C341" s="381" t="s">
        <v>3256</v>
      </c>
      <c r="D341" s="273" t="s">
        <v>400</v>
      </c>
      <c r="E341" s="275" t="s">
        <v>401</v>
      </c>
      <c r="F341" s="272" t="s">
        <v>402</v>
      </c>
      <c r="G341" s="255" t="s">
        <v>3685</v>
      </c>
      <c r="H341" s="333">
        <v>14930800</v>
      </c>
      <c r="I341" s="334">
        <v>2538236</v>
      </c>
      <c r="J341" s="682">
        <v>11164472</v>
      </c>
      <c r="K341" s="682">
        <f t="shared" ref="K341:K363" si="53">J341*11%</f>
        <v>1228091.92</v>
      </c>
      <c r="L341" s="333">
        <f t="shared" ref="L341:L369" si="54">SUM(J341:K341)</f>
        <v>12392563.92</v>
      </c>
      <c r="M341" s="333">
        <f t="shared" ref="M341:M369" si="55">H341-I341</f>
        <v>12392564</v>
      </c>
    </row>
    <row r="342" spans="1:13" s="256" customFormat="1" x14ac:dyDescent="0.25">
      <c r="A342" s="274">
        <v>44718</v>
      </c>
      <c r="B342" s="511">
        <v>44715</v>
      </c>
      <c r="C342" s="381" t="s">
        <v>3257</v>
      </c>
      <c r="D342" s="273" t="s">
        <v>400</v>
      </c>
      <c r="E342" s="275" t="s">
        <v>401</v>
      </c>
      <c r="F342" s="272" t="s">
        <v>402</v>
      </c>
      <c r="G342" s="255" t="s">
        <v>3686</v>
      </c>
      <c r="H342" s="333">
        <v>19008000</v>
      </c>
      <c r="I342" s="334">
        <v>3231360</v>
      </c>
      <c r="J342" s="682">
        <v>14213189</v>
      </c>
      <c r="K342" s="682">
        <f t="shared" si="53"/>
        <v>1563450.79</v>
      </c>
      <c r="L342" s="333">
        <f t="shared" si="54"/>
        <v>15776639.789999999</v>
      </c>
      <c r="M342" s="333">
        <f t="shared" si="55"/>
        <v>15776640</v>
      </c>
    </row>
    <row r="343" spans="1:13" s="256" customFormat="1" x14ac:dyDescent="0.25">
      <c r="A343" s="274">
        <v>44721</v>
      </c>
      <c r="B343" s="511">
        <v>44718</v>
      </c>
      <c r="C343" s="381" t="s">
        <v>3258</v>
      </c>
      <c r="D343" s="273" t="s">
        <v>400</v>
      </c>
      <c r="E343" s="275" t="s">
        <v>401</v>
      </c>
      <c r="F343" s="272" t="s">
        <v>402</v>
      </c>
      <c r="G343" s="255" t="s">
        <v>3687</v>
      </c>
      <c r="H343" s="333">
        <v>29829600</v>
      </c>
      <c r="I343" s="334">
        <v>5071032</v>
      </c>
      <c r="J343" s="682">
        <v>22305016</v>
      </c>
      <c r="K343" s="682">
        <f t="shared" si="53"/>
        <v>2453551.7600000002</v>
      </c>
      <c r="L343" s="333">
        <f t="shared" si="54"/>
        <v>24758567.760000002</v>
      </c>
      <c r="M343" s="333">
        <f t="shared" si="55"/>
        <v>24758568</v>
      </c>
    </row>
    <row r="344" spans="1:13" s="256" customFormat="1" x14ac:dyDescent="0.25">
      <c r="A344" s="274">
        <v>44721</v>
      </c>
      <c r="B344" s="511">
        <v>44719</v>
      </c>
      <c r="C344" s="381" t="s">
        <v>3259</v>
      </c>
      <c r="D344" s="273" t="s">
        <v>400</v>
      </c>
      <c r="E344" s="275" t="s">
        <v>401</v>
      </c>
      <c r="F344" s="272" t="s">
        <v>402</v>
      </c>
      <c r="G344" s="255" t="s">
        <v>3688</v>
      </c>
      <c r="H344" s="333">
        <v>31560000</v>
      </c>
      <c r="I344" s="334">
        <v>5365200</v>
      </c>
      <c r="J344" s="682">
        <v>23598918</v>
      </c>
      <c r="K344" s="682">
        <f t="shared" si="53"/>
        <v>2595880.98</v>
      </c>
      <c r="L344" s="333">
        <f t="shared" si="54"/>
        <v>26194798.98</v>
      </c>
      <c r="M344" s="333">
        <f t="shared" si="55"/>
        <v>26194800</v>
      </c>
    </row>
    <row r="345" spans="1:13" s="256" customFormat="1" x14ac:dyDescent="0.25">
      <c r="A345" s="274">
        <v>44723</v>
      </c>
      <c r="B345" s="511">
        <v>44720</v>
      </c>
      <c r="C345" s="381" t="s">
        <v>3285</v>
      </c>
      <c r="D345" s="273" t="s">
        <v>400</v>
      </c>
      <c r="E345" s="275" t="s">
        <v>401</v>
      </c>
      <c r="F345" s="272" t="s">
        <v>402</v>
      </c>
      <c r="G345" s="255" t="s">
        <v>3689</v>
      </c>
      <c r="H345" s="333">
        <v>17546800</v>
      </c>
      <c r="I345" s="334">
        <v>2982956</v>
      </c>
      <c r="J345" s="682">
        <v>13120580</v>
      </c>
      <c r="K345" s="682">
        <f t="shared" si="53"/>
        <v>1443263.8</v>
      </c>
      <c r="L345" s="333">
        <f t="shared" si="54"/>
        <v>14563843.800000001</v>
      </c>
      <c r="M345" s="333">
        <f t="shared" si="55"/>
        <v>14563844</v>
      </c>
    </row>
    <row r="346" spans="1:13" s="256" customFormat="1" x14ac:dyDescent="0.25">
      <c r="A346" s="274">
        <v>44725</v>
      </c>
      <c r="B346" s="511">
        <v>44722</v>
      </c>
      <c r="C346" s="381" t="s">
        <v>3540</v>
      </c>
      <c r="D346" s="273" t="s">
        <v>400</v>
      </c>
      <c r="E346" s="275" t="s">
        <v>401</v>
      </c>
      <c r="F346" s="272" t="s">
        <v>402</v>
      </c>
      <c r="G346" s="255" t="s">
        <v>3690</v>
      </c>
      <c r="H346" s="333">
        <v>14428800</v>
      </c>
      <c r="I346" s="334">
        <v>2452896</v>
      </c>
      <c r="J346" s="682">
        <v>10789102</v>
      </c>
      <c r="K346" s="682">
        <f t="shared" si="53"/>
        <v>1186801.22</v>
      </c>
      <c r="L346" s="333">
        <f t="shared" si="54"/>
        <v>11975903.220000001</v>
      </c>
      <c r="M346" s="333">
        <f t="shared" si="55"/>
        <v>11975904</v>
      </c>
    </row>
    <row r="347" spans="1:13" s="256" customFormat="1" x14ac:dyDescent="0.25">
      <c r="A347" s="274">
        <v>44725</v>
      </c>
      <c r="B347" s="511">
        <v>44723</v>
      </c>
      <c r="C347" s="381" t="s">
        <v>3541</v>
      </c>
      <c r="D347" s="273" t="s">
        <v>400</v>
      </c>
      <c r="E347" s="275" t="s">
        <v>401</v>
      </c>
      <c r="F347" s="272" t="s">
        <v>402</v>
      </c>
      <c r="G347" s="255" t="s">
        <v>3691</v>
      </c>
      <c r="H347" s="333">
        <v>10567200</v>
      </c>
      <c r="I347" s="334">
        <v>1796424</v>
      </c>
      <c r="J347" s="682">
        <v>7901600</v>
      </c>
      <c r="K347" s="682">
        <f t="shared" si="53"/>
        <v>869176</v>
      </c>
      <c r="L347" s="333">
        <f t="shared" si="54"/>
        <v>8770776</v>
      </c>
      <c r="M347" s="333">
        <f t="shared" si="55"/>
        <v>8770776</v>
      </c>
    </row>
    <row r="348" spans="1:13" s="256" customFormat="1" x14ac:dyDescent="0.25">
      <c r="A348" s="274">
        <v>44727</v>
      </c>
      <c r="B348" s="511">
        <v>44725</v>
      </c>
      <c r="C348" s="381" t="s">
        <v>3542</v>
      </c>
      <c r="D348" s="273" t="s">
        <v>400</v>
      </c>
      <c r="E348" s="275" t="s">
        <v>401</v>
      </c>
      <c r="F348" s="272" t="s">
        <v>402</v>
      </c>
      <c r="G348" s="255" t="s">
        <v>3692</v>
      </c>
      <c r="H348" s="333">
        <v>46134000</v>
      </c>
      <c r="I348" s="334">
        <v>7842780</v>
      </c>
      <c r="J348" s="682">
        <v>34496594</v>
      </c>
      <c r="K348" s="682">
        <f t="shared" si="53"/>
        <v>3794625.34</v>
      </c>
      <c r="L348" s="333">
        <f t="shared" si="54"/>
        <v>38291219.340000004</v>
      </c>
      <c r="M348" s="333">
        <f t="shared" si="55"/>
        <v>38291220</v>
      </c>
    </row>
    <row r="349" spans="1:13" s="256" customFormat="1" x14ac:dyDescent="0.25">
      <c r="A349" s="274">
        <v>44730</v>
      </c>
      <c r="B349" s="511">
        <v>44727</v>
      </c>
      <c r="C349" s="381">
        <v>22061000</v>
      </c>
      <c r="D349" s="273" t="s">
        <v>400</v>
      </c>
      <c r="E349" s="275" t="s">
        <v>401</v>
      </c>
      <c r="F349" s="272" t="s">
        <v>402</v>
      </c>
      <c r="G349" s="255" t="s">
        <v>3693</v>
      </c>
      <c r="H349" s="333">
        <v>28438000</v>
      </c>
      <c r="I349" s="334">
        <v>4834460.0000000009</v>
      </c>
      <c r="J349" s="682">
        <v>21264450</v>
      </c>
      <c r="K349" s="682">
        <f t="shared" si="53"/>
        <v>2339089.5</v>
      </c>
      <c r="L349" s="333">
        <f t="shared" si="54"/>
        <v>23603539.5</v>
      </c>
      <c r="M349" s="333">
        <f t="shared" si="55"/>
        <v>23603540</v>
      </c>
    </row>
    <row r="350" spans="1:13" s="256" customFormat="1" x14ac:dyDescent="0.25">
      <c r="A350" s="274">
        <v>44734</v>
      </c>
      <c r="B350" s="511">
        <v>44728</v>
      </c>
      <c r="C350" s="381" t="s">
        <v>3570</v>
      </c>
      <c r="D350" s="273" t="s">
        <v>400</v>
      </c>
      <c r="E350" s="275" t="s">
        <v>401</v>
      </c>
      <c r="F350" s="272" t="s">
        <v>402</v>
      </c>
      <c r="G350" s="255" t="s">
        <v>3694</v>
      </c>
      <c r="H350" s="333">
        <v>20174400</v>
      </c>
      <c r="I350" s="334">
        <v>3429648</v>
      </c>
      <c r="J350" s="682">
        <v>15085362</v>
      </c>
      <c r="K350" s="682">
        <f t="shared" si="53"/>
        <v>1659389.82</v>
      </c>
      <c r="L350" s="333">
        <f t="shared" si="54"/>
        <v>16744751.82</v>
      </c>
      <c r="M350" s="333">
        <f t="shared" si="55"/>
        <v>16744752</v>
      </c>
    </row>
    <row r="351" spans="1:13" s="256" customFormat="1" x14ac:dyDescent="0.25">
      <c r="A351" s="274">
        <v>44734</v>
      </c>
      <c r="B351" s="511">
        <v>44728</v>
      </c>
      <c r="C351" s="381" t="s">
        <v>3571</v>
      </c>
      <c r="D351" s="273" t="s">
        <v>400</v>
      </c>
      <c r="E351" s="275" t="s">
        <v>401</v>
      </c>
      <c r="F351" s="272" t="s">
        <v>402</v>
      </c>
      <c r="G351" s="255" t="s">
        <v>3695</v>
      </c>
      <c r="H351" s="333">
        <v>11502000</v>
      </c>
      <c r="I351" s="334">
        <v>1955340</v>
      </c>
      <c r="J351" s="682">
        <v>8600594</v>
      </c>
      <c r="K351" s="682">
        <f t="shared" si="53"/>
        <v>946065.34</v>
      </c>
      <c r="L351" s="333">
        <f t="shared" si="54"/>
        <v>9546659.3399999999</v>
      </c>
      <c r="M351" s="333">
        <f t="shared" si="55"/>
        <v>9546660</v>
      </c>
    </row>
    <row r="352" spans="1:13" s="256" customFormat="1" x14ac:dyDescent="0.25">
      <c r="A352" s="274">
        <v>44734</v>
      </c>
      <c r="B352" s="511">
        <v>44729</v>
      </c>
      <c r="C352" s="381" t="s">
        <v>3572</v>
      </c>
      <c r="D352" s="273" t="s">
        <v>400</v>
      </c>
      <c r="E352" s="275" t="s">
        <v>401</v>
      </c>
      <c r="F352" s="272" t="s">
        <v>402</v>
      </c>
      <c r="G352" s="255" t="s">
        <v>3696</v>
      </c>
      <c r="H352" s="333">
        <v>29862000</v>
      </c>
      <c r="I352" s="334">
        <v>5076540</v>
      </c>
      <c r="J352" s="682">
        <v>22329243</v>
      </c>
      <c r="K352" s="682">
        <f t="shared" si="53"/>
        <v>2456216.73</v>
      </c>
      <c r="L352" s="333">
        <f t="shared" si="54"/>
        <v>24785459.73</v>
      </c>
      <c r="M352" s="333">
        <f t="shared" si="55"/>
        <v>24785460</v>
      </c>
    </row>
    <row r="353" spans="1:13" s="256" customFormat="1" x14ac:dyDescent="0.25">
      <c r="A353" s="274">
        <v>44734</v>
      </c>
      <c r="B353" s="511">
        <v>44729</v>
      </c>
      <c r="C353" s="381" t="s">
        <v>3573</v>
      </c>
      <c r="D353" s="273" t="s">
        <v>400</v>
      </c>
      <c r="E353" s="275" t="s">
        <v>401</v>
      </c>
      <c r="F353" s="272" t="s">
        <v>402</v>
      </c>
      <c r="G353" s="255" t="s">
        <v>3697</v>
      </c>
      <c r="H353" s="333">
        <v>49348000</v>
      </c>
      <c r="I353" s="334">
        <v>8389160</v>
      </c>
      <c r="J353" s="682">
        <v>36899855</v>
      </c>
      <c r="K353" s="682">
        <f t="shared" si="53"/>
        <v>4058984.05</v>
      </c>
      <c r="L353" s="333">
        <f t="shared" si="54"/>
        <v>40958839.049999997</v>
      </c>
      <c r="M353" s="333">
        <f t="shared" si="55"/>
        <v>40958840</v>
      </c>
    </row>
    <row r="354" spans="1:13" s="256" customFormat="1" x14ac:dyDescent="0.25">
      <c r="A354" s="274">
        <v>44736</v>
      </c>
      <c r="B354" s="511">
        <v>44730</v>
      </c>
      <c r="C354" s="381" t="s">
        <v>3658</v>
      </c>
      <c r="D354" s="273" t="s">
        <v>400</v>
      </c>
      <c r="E354" s="275" t="s">
        <v>401</v>
      </c>
      <c r="F354" s="272" t="s">
        <v>402</v>
      </c>
      <c r="G354" s="255" t="s">
        <v>3698</v>
      </c>
      <c r="H354" s="333">
        <v>60123600</v>
      </c>
      <c r="I354" s="334">
        <v>10221012</v>
      </c>
      <c r="J354" s="682">
        <v>44957286</v>
      </c>
      <c r="K354" s="682">
        <f t="shared" si="53"/>
        <v>4945301.46</v>
      </c>
      <c r="L354" s="333">
        <f t="shared" si="54"/>
        <v>49902587.460000001</v>
      </c>
      <c r="M354" s="333">
        <f t="shared" si="55"/>
        <v>49902588</v>
      </c>
    </row>
    <row r="355" spans="1:13" s="256" customFormat="1" x14ac:dyDescent="0.25">
      <c r="A355" s="274">
        <v>44736</v>
      </c>
      <c r="B355" s="511">
        <v>44732</v>
      </c>
      <c r="C355" s="381" t="s">
        <v>3659</v>
      </c>
      <c r="D355" s="273" t="s">
        <v>400</v>
      </c>
      <c r="E355" s="275" t="s">
        <v>401</v>
      </c>
      <c r="F355" s="272" t="s">
        <v>402</v>
      </c>
      <c r="G355" s="255" t="s">
        <v>3699</v>
      </c>
      <c r="H355" s="333">
        <v>24291200</v>
      </c>
      <c r="I355" s="334">
        <v>4129504</v>
      </c>
      <c r="J355" s="682">
        <v>18163690</v>
      </c>
      <c r="K355" s="682">
        <f t="shared" si="53"/>
        <v>1998005.9</v>
      </c>
      <c r="L355" s="333">
        <f t="shared" si="54"/>
        <v>20161695.899999999</v>
      </c>
      <c r="M355" s="333">
        <f t="shared" si="55"/>
        <v>20161696</v>
      </c>
    </row>
    <row r="356" spans="1:13" s="256" customFormat="1" x14ac:dyDescent="0.25">
      <c r="A356" s="274">
        <v>44736</v>
      </c>
      <c r="B356" s="511">
        <v>44732</v>
      </c>
      <c r="C356" s="381" t="s">
        <v>3660</v>
      </c>
      <c r="D356" s="273" t="s">
        <v>400</v>
      </c>
      <c r="E356" s="275" t="s">
        <v>401</v>
      </c>
      <c r="F356" s="272" t="s">
        <v>402</v>
      </c>
      <c r="G356" s="255" t="s">
        <v>3700</v>
      </c>
      <c r="H356" s="333">
        <v>23322400</v>
      </c>
      <c r="I356" s="334">
        <v>3964808.0000000005</v>
      </c>
      <c r="J356" s="682">
        <v>17439272</v>
      </c>
      <c r="K356" s="682">
        <f t="shared" si="53"/>
        <v>1918319.92</v>
      </c>
      <c r="L356" s="333">
        <f t="shared" si="54"/>
        <v>19357591.920000002</v>
      </c>
      <c r="M356" s="333">
        <f t="shared" si="55"/>
        <v>19357592</v>
      </c>
    </row>
    <row r="357" spans="1:13" s="256" customFormat="1" x14ac:dyDescent="0.25">
      <c r="A357" s="274">
        <v>44736</v>
      </c>
      <c r="B357" s="511">
        <v>44733</v>
      </c>
      <c r="C357" s="381" t="s">
        <v>3661</v>
      </c>
      <c r="D357" s="273" t="s">
        <v>400</v>
      </c>
      <c r="E357" s="275" t="s">
        <v>401</v>
      </c>
      <c r="F357" s="272" t="s">
        <v>402</v>
      </c>
      <c r="G357" s="255" t="s">
        <v>3701</v>
      </c>
      <c r="H357" s="333">
        <v>142387200</v>
      </c>
      <c r="I357" s="334">
        <v>24205824.000000004</v>
      </c>
      <c r="J357" s="682">
        <v>106469708</v>
      </c>
      <c r="K357" s="682">
        <f t="shared" si="53"/>
        <v>11711667.880000001</v>
      </c>
      <c r="L357" s="333">
        <f t="shared" si="54"/>
        <v>118181375.88</v>
      </c>
      <c r="M357" s="333">
        <f t="shared" si="55"/>
        <v>118181376</v>
      </c>
    </row>
    <row r="358" spans="1:13" s="256" customFormat="1" x14ac:dyDescent="0.25">
      <c r="A358" s="274">
        <v>44736</v>
      </c>
      <c r="B358" s="511">
        <v>44733</v>
      </c>
      <c r="C358" s="381" t="s">
        <v>3662</v>
      </c>
      <c r="D358" s="273" t="s">
        <v>400</v>
      </c>
      <c r="E358" s="275" t="s">
        <v>401</v>
      </c>
      <c r="F358" s="272" t="s">
        <v>402</v>
      </c>
      <c r="G358" s="255" t="s">
        <v>3702</v>
      </c>
      <c r="H358" s="333">
        <v>6154600</v>
      </c>
      <c r="I358" s="334">
        <v>1046282</v>
      </c>
      <c r="J358" s="682">
        <v>4601340</v>
      </c>
      <c r="K358" s="682">
        <f t="shared" si="53"/>
        <v>506147.4</v>
      </c>
      <c r="L358" s="333">
        <f t="shared" si="54"/>
        <v>5107487.4000000004</v>
      </c>
      <c r="M358" s="333">
        <f t="shared" si="55"/>
        <v>5108318</v>
      </c>
    </row>
    <row r="359" spans="1:13" s="256" customFormat="1" x14ac:dyDescent="0.25">
      <c r="A359" s="274">
        <v>44736</v>
      </c>
      <c r="B359" s="511">
        <v>44733</v>
      </c>
      <c r="C359" s="381" t="s">
        <v>3663</v>
      </c>
      <c r="D359" s="273" t="s">
        <v>400</v>
      </c>
      <c r="E359" s="275" t="s">
        <v>401</v>
      </c>
      <c r="F359" s="272" t="s">
        <v>402</v>
      </c>
      <c r="G359" s="255" t="s">
        <v>3711</v>
      </c>
      <c r="H359" s="333">
        <v>12240000</v>
      </c>
      <c r="I359" s="334">
        <v>2080800.0000000002</v>
      </c>
      <c r="J359" s="682">
        <v>9152432</v>
      </c>
      <c r="K359" s="682">
        <f t="shared" si="53"/>
        <v>1006767.52</v>
      </c>
      <c r="L359" s="333">
        <f t="shared" si="54"/>
        <v>10159199.52</v>
      </c>
      <c r="M359" s="333">
        <f t="shared" si="55"/>
        <v>10159200</v>
      </c>
    </row>
    <row r="360" spans="1:13" s="256" customFormat="1" x14ac:dyDescent="0.25">
      <c r="A360" s="274">
        <v>44737</v>
      </c>
      <c r="B360" s="511">
        <v>44734</v>
      </c>
      <c r="C360" s="381" t="s">
        <v>3675</v>
      </c>
      <c r="D360" s="273" t="s">
        <v>400</v>
      </c>
      <c r="E360" s="275" t="s">
        <v>401</v>
      </c>
      <c r="F360" s="272" t="s">
        <v>402</v>
      </c>
      <c r="G360" s="255" t="s">
        <v>3712</v>
      </c>
      <c r="H360" s="333">
        <v>29018800</v>
      </c>
      <c r="I360" s="334">
        <v>4933196</v>
      </c>
      <c r="J360" s="682">
        <v>21698742</v>
      </c>
      <c r="K360" s="682">
        <f t="shared" si="53"/>
        <v>2386861.62</v>
      </c>
      <c r="L360" s="333">
        <f t="shared" si="54"/>
        <v>24085603.620000001</v>
      </c>
      <c r="M360" s="333">
        <f t="shared" si="55"/>
        <v>24085604</v>
      </c>
    </row>
    <row r="361" spans="1:13" s="256" customFormat="1" x14ac:dyDescent="0.25">
      <c r="A361" s="274">
        <v>44737</v>
      </c>
      <c r="B361" s="511">
        <v>44734</v>
      </c>
      <c r="C361" s="381" t="s">
        <v>3676</v>
      </c>
      <c r="D361" s="273" t="s">
        <v>400</v>
      </c>
      <c r="E361" s="275" t="s">
        <v>401</v>
      </c>
      <c r="F361" s="272" t="s">
        <v>402</v>
      </c>
      <c r="G361" s="255" t="s">
        <v>3713</v>
      </c>
      <c r="H361" s="333">
        <v>31672800</v>
      </c>
      <c r="I361" s="334">
        <v>5384376</v>
      </c>
      <c r="J361" s="682">
        <v>23683264</v>
      </c>
      <c r="K361" s="682">
        <f t="shared" si="53"/>
        <v>2605159.04</v>
      </c>
      <c r="L361" s="333">
        <f t="shared" si="54"/>
        <v>26288423.039999999</v>
      </c>
      <c r="M361" s="333">
        <f t="shared" si="55"/>
        <v>26288424</v>
      </c>
    </row>
    <row r="362" spans="1:13" s="256" customFormat="1" x14ac:dyDescent="0.25">
      <c r="A362" s="274">
        <v>44737</v>
      </c>
      <c r="B362" s="511">
        <v>44735</v>
      </c>
      <c r="C362" s="381" t="s">
        <v>3677</v>
      </c>
      <c r="D362" s="273" t="s">
        <v>400</v>
      </c>
      <c r="E362" s="275" t="s">
        <v>401</v>
      </c>
      <c r="F362" s="272" t="s">
        <v>402</v>
      </c>
      <c r="G362" s="255" t="s">
        <v>3714</v>
      </c>
      <c r="H362" s="333">
        <v>42735000</v>
      </c>
      <c r="I362" s="334">
        <v>7264950.0000000009</v>
      </c>
      <c r="J362" s="682">
        <v>31955000</v>
      </c>
      <c r="K362" s="682">
        <f t="shared" si="53"/>
        <v>3515050</v>
      </c>
      <c r="L362" s="333">
        <f t="shared" si="54"/>
        <v>35470050</v>
      </c>
      <c r="M362" s="333">
        <f t="shared" si="55"/>
        <v>35470050</v>
      </c>
    </row>
    <row r="363" spans="1:13" s="256" customFormat="1" x14ac:dyDescent="0.25">
      <c r="A363" s="274">
        <v>44740</v>
      </c>
      <c r="B363" s="511">
        <v>44736</v>
      </c>
      <c r="C363" s="381" t="s">
        <v>3707</v>
      </c>
      <c r="D363" s="273" t="s">
        <v>400</v>
      </c>
      <c r="E363" s="275" t="s">
        <v>401</v>
      </c>
      <c r="F363" s="272" t="s">
        <v>402</v>
      </c>
      <c r="G363" s="255" t="s">
        <v>3715</v>
      </c>
      <c r="H363" s="333">
        <v>128370000</v>
      </c>
      <c r="I363" s="334">
        <v>21822900.000000004</v>
      </c>
      <c r="J363" s="682">
        <f>(H363-I363)/1.11</f>
        <v>95988378.378378376</v>
      </c>
      <c r="K363" s="682">
        <f t="shared" si="53"/>
        <v>10558721.621621622</v>
      </c>
      <c r="L363" s="333">
        <f t="shared" si="54"/>
        <v>106547100</v>
      </c>
      <c r="M363" s="333">
        <f t="shared" si="55"/>
        <v>106547100</v>
      </c>
    </row>
    <row r="364" spans="1:13" s="256" customFormat="1" x14ac:dyDescent="0.25">
      <c r="A364" s="274">
        <v>44741</v>
      </c>
      <c r="B364" s="511">
        <v>44737</v>
      </c>
      <c r="C364" s="381" t="s">
        <v>3708</v>
      </c>
      <c r="D364" s="273" t="s">
        <v>400</v>
      </c>
      <c r="E364" s="275" t="s">
        <v>401</v>
      </c>
      <c r="F364" s="272" t="s">
        <v>402</v>
      </c>
      <c r="G364" s="255" t="s">
        <v>3716</v>
      </c>
      <c r="H364" s="333">
        <v>112665600</v>
      </c>
      <c r="I364" s="334">
        <v>19153152</v>
      </c>
      <c r="J364" s="682">
        <v>84245448</v>
      </c>
      <c r="K364" s="682">
        <f t="shared" ref="K364:K369" si="56">J364*11%</f>
        <v>9266999.2799999993</v>
      </c>
      <c r="L364" s="333">
        <f t="shared" si="54"/>
        <v>93512447.280000001</v>
      </c>
      <c r="M364" s="333">
        <f t="shared" si="55"/>
        <v>93512448</v>
      </c>
    </row>
    <row r="365" spans="1:13" s="256" customFormat="1" x14ac:dyDescent="0.25">
      <c r="A365" s="274">
        <v>44743</v>
      </c>
      <c r="B365" s="511">
        <v>44739</v>
      </c>
      <c r="C365" s="381">
        <v>22062380</v>
      </c>
      <c r="D365" s="273" t="s">
        <v>400</v>
      </c>
      <c r="E365" s="275" t="s">
        <v>401</v>
      </c>
      <c r="F365" s="272" t="s">
        <v>402</v>
      </c>
      <c r="G365" s="255" t="s">
        <v>3717</v>
      </c>
      <c r="H365" s="333">
        <v>99126000</v>
      </c>
      <c r="I365" s="334">
        <v>16851420</v>
      </c>
      <c r="J365" s="682">
        <v>74121243</v>
      </c>
      <c r="K365" s="682">
        <f t="shared" si="56"/>
        <v>8153336.7300000004</v>
      </c>
      <c r="L365" s="333">
        <f t="shared" si="54"/>
        <v>82274579.730000004</v>
      </c>
      <c r="M365" s="333">
        <f t="shared" si="55"/>
        <v>82274580</v>
      </c>
    </row>
    <row r="366" spans="1:13" s="256" customFormat="1" x14ac:dyDescent="0.25">
      <c r="A366" s="274">
        <v>44737</v>
      </c>
      <c r="B366" s="511">
        <v>44735</v>
      </c>
      <c r="C366" s="381" t="s">
        <v>3709</v>
      </c>
      <c r="D366" s="273" t="s">
        <v>4092</v>
      </c>
      <c r="E366" s="275" t="s">
        <v>3710</v>
      </c>
      <c r="F366" s="272" t="s">
        <v>4093</v>
      </c>
      <c r="G366" s="255" t="s">
        <v>4091</v>
      </c>
      <c r="H366" s="333">
        <v>127200032.64000002</v>
      </c>
      <c r="I366" s="334">
        <v>0</v>
      </c>
      <c r="J366" s="682">
        <v>114594624</v>
      </c>
      <c r="K366" s="682">
        <f t="shared" si="56"/>
        <v>12605408.640000001</v>
      </c>
      <c r="L366" s="333">
        <f t="shared" si="54"/>
        <v>127200032.64</v>
      </c>
      <c r="M366" s="333">
        <f t="shared" si="55"/>
        <v>127200032.64000002</v>
      </c>
    </row>
    <row r="367" spans="1:13" s="256" customFormat="1" x14ac:dyDescent="0.25">
      <c r="A367" s="274">
        <v>44721</v>
      </c>
      <c r="B367" s="511">
        <v>44715</v>
      </c>
      <c r="C367" s="381" t="s">
        <v>3260</v>
      </c>
      <c r="D367" s="272" t="s">
        <v>811</v>
      </c>
      <c r="E367" s="272" t="s">
        <v>812</v>
      </c>
      <c r="F367" s="275" t="s">
        <v>2643</v>
      </c>
      <c r="G367" s="255" t="s">
        <v>3921</v>
      </c>
      <c r="H367" s="333">
        <v>24324400</v>
      </c>
      <c r="I367" s="334">
        <v>0</v>
      </c>
      <c r="J367" s="682">
        <v>24324324</v>
      </c>
      <c r="K367" s="682">
        <f t="shared" si="56"/>
        <v>2675675.64</v>
      </c>
      <c r="L367" s="333">
        <f t="shared" si="54"/>
        <v>26999999.640000001</v>
      </c>
      <c r="M367" s="333">
        <f t="shared" si="55"/>
        <v>24324400</v>
      </c>
    </row>
    <row r="368" spans="1:13" s="256" customFormat="1" x14ac:dyDescent="0.25">
      <c r="A368" s="274">
        <v>44744</v>
      </c>
      <c r="B368" s="511">
        <v>44742</v>
      </c>
      <c r="C368" s="381" t="s">
        <v>3743</v>
      </c>
      <c r="D368" s="273" t="s">
        <v>322</v>
      </c>
      <c r="E368" s="275" t="s">
        <v>397</v>
      </c>
      <c r="F368" s="272" t="s">
        <v>2645</v>
      </c>
      <c r="G368" s="255" t="s">
        <v>3920</v>
      </c>
      <c r="H368" s="333">
        <v>25200000</v>
      </c>
      <c r="I368" s="334">
        <v>0</v>
      </c>
      <c r="J368" s="682">
        <v>22702720</v>
      </c>
      <c r="K368" s="682">
        <f t="shared" si="56"/>
        <v>2497299.2000000002</v>
      </c>
      <c r="L368" s="333">
        <f t="shared" si="54"/>
        <v>25200019.199999999</v>
      </c>
      <c r="M368" s="333">
        <f t="shared" si="55"/>
        <v>25200000</v>
      </c>
    </row>
    <row r="369" spans="1:13" s="256" customFormat="1" x14ac:dyDescent="0.25">
      <c r="A369" s="274">
        <v>44743</v>
      </c>
      <c r="B369" s="511">
        <v>44740</v>
      </c>
      <c r="C369" s="381" t="s">
        <v>3742</v>
      </c>
      <c r="D369" s="273" t="s">
        <v>305</v>
      </c>
      <c r="E369" s="275" t="s">
        <v>398</v>
      </c>
      <c r="F369" s="272" t="s">
        <v>399</v>
      </c>
      <c r="G369" s="255" t="s">
        <v>3894</v>
      </c>
      <c r="H369" s="333">
        <v>48720000</v>
      </c>
      <c r="I369" s="334">
        <v>11695200</v>
      </c>
      <c r="J369" s="682">
        <v>33356064</v>
      </c>
      <c r="K369" s="682">
        <f t="shared" si="56"/>
        <v>3669167.04</v>
      </c>
      <c r="L369" s="333">
        <f t="shared" si="54"/>
        <v>37025231.039999999</v>
      </c>
      <c r="M369" s="333">
        <f t="shared" si="55"/>
        <v>37024800</v>
      </c>
    </row>
    <row r="370" spans="1:13" s="256" customFormat="1" x14ac:dyDescent="0.25">
      <c r="A370" s="274"/>
      <c r="B370" s="511"/>
      <c r="C370" s="381"/>
      <c r="D370" s="273"/>
      <c r="E370" s="272"/>
      <c r="F370" s="275"/>
      <c r="G370" s="255"/>
      <c r="H370" s="333"/>
      <c r="I370" s="334"/>
      <c r="J370" s="682">
        <f t="shared" ref="J370" si="57">(H370-I370)/1.11</f>
        <v>0</v>
      </c>
      <c r="K370" s="682">
        <f t="shared" ref="K370" si="58">J370*11%</f>
        <v>0</v>
      </c>
      <c r="L370" s="333">
        <f t="shared" ref="L370" si="59">SUM(J370:K370)</f>
        <v>0</v>
      </c>
      <c r="M370" s="333">
        <f t="shared" ref="M370" si="60">H370-I370</f>
        <v>0</v>
      </c>
    </row>
    <row r="371" spans="1:13" ht="18" x14ac:dyDescent="0.25">
      <c r="A371" s="513" t="s">
        <v>38</v>
      </c>
      <c r="B371" s="512"/>
      <c r="C371" s="515"/>
      <c r="D371" s="514"/>
      <c r="E371" s="519"/>
      <c r="F371" s="519"/>
      <c r="G371" s="516"/>
      <c r="H371" s="413">
        <f>SUM(H309:H370)</f>
        <v>1985379178.7650001</v>
      </c>
      <c r="I371" s="412"/>
      <c r="J371" s="683">
        <f>SUM(J309:J370)</f>
        <v>1598585015.9729729</v>
      </c>
      <c r="K371" s="683">
        <f>SUM(K309:K370)</f>
        <v>175844351.757027</v>
      </c>
      <c r="L371" s="414">
        <f>SUM(L309:L370)</f>
        <v>1774429367.7300005</v>
      </c>
      <c r="M371" s="414">
        <f>SUM(M309:M370)</f>
        <v>1771877292.7650001</v>
      </c>
    </row>
    <row r="372" spans="1:13" ht="18" x14ac:dyDescent="0.25">
      <c r="A372" s="510" t="s">
        <v>104</v>
      </c>
      <c r="B372" s="510"/>
      <c r="C372" s="421"/>
      <c r="D372" s="420"/>
      <c r="E372" s="518"/>
      <c r="F372" s="518"/>
      <c r="G372" s="420"/>
      <c r="H372" s="422"/>
      <c r="I372" s="422"/>
      <c r="J372" s="681"/>
      <c r="K372" s="681"/>
      <c r="L372" s="423"/>
      <c r="M372" s="423"/>
    </row>
    <row r="373" spans="1:13" s="256" customFormat="1" x14ac:dyDescent="0.25">
      <c r="A373" s="274">
        <v>44767</v>
      </c>
      <c r="B373" s="511">
        <v>44764</v>
      </c>
      <c r="C373" s="381" t="s">
        <v>4397</v>
      </c>
      <c r="D373" s="273" t="s">
        <v>403</v>
      </c>
      <c r="E373" s="275" t="s">
        <v>404</v>
      </c>
      <c r="F373" s="272" t="s">
        <v>405</v>
      </c>
      <c r="G373" s="255" t="s">
        <v>4872</v>
      </c>
      <c r="H373" s="333">
        <v>5400000</v>
      </c>
      <c r="I373" s="334">
        <v>270000</v>
      </c>
      <c r="J373" s="682">
        <v>4621622</v>
      </c>
      <c r="K373" s="682">
        <f t="shared" ref="K373" si="61">J373*11%</f>
        <v>508378.42</v>
      </c>
      <c r="L373" s="333">
        <f t="shared" ref="L373" si="62">SUM(J373:K373)</f>
        <v>5130000.42</v>
      </c>
      <c r="M373" s="333">
        <f t="shared" ref="M373" si="63">H373-I373</f>
        <v>5130000</v>
      </c>
    </row>
    <row r="374" spans="1:13" s="256" customFormat="1" x14ac:dyDescent="0.25">
      <c r="A374" s="274">
        <v>44748</v>
      </c>
      <c r="B374" s="511">
        <v>44743</v>
      </c>
      <c r="C374" s="381" t="s">
        <v>3901</v>
      </c>
      <c r="D374" s="273" t="s">
        <v>304</v>
      </c>
      <c r="E374" s="275" t="s">
        <v>392</v>
      </c>
      <c r="F374" s="272" t="s">
        <v>2644</v>
      </c>
      <c r="G374" s="255" t="s">
        <v>4422</v>
      </c>
      <c r="H374" s="333">
        <v>12032643</v>
      </c>
      <c r="I374" s="334">
        <v>387828</v>
      </c>
      <c r="J374" s="682">
        <v>10490824</v>
      </c>
      <c r="K374" s="682">
        <v>1153990</v>
      </c>
      <c r="L374" s="333">
        <f t="shared" ref="L374:L453" si="64">SUM(J374:K374)</f>
        <v>11644814</v>
      </c>
      <c r="M374" s="333">
        <f t="shared" ref="M374:M381" si="65">H374-I374</f>
        <v>11644815</v>
      </c>
    </row>
    <row r="375" spans="1:13" s="256" customFormat="1" x14ac:dyDescent="0.25">
      <c r="A375" s="274">
        <v>44749</v>
      </c>
      <c r="B375" s="511">
        <v>44744</v>
      </c>
      <c r="C375" s="381" t="s">
        <v>3906</v>
      </c>
      <c r="D375" s="670" t="s">
        <v>304</v>
      </c>
      <c r="E375" s="669" t="s">
        <v>392</v>
      </c>
      <c r="F375" s="668" t="s">
        <v>2644</v>
      </c>
      <c r="G375" s="255" t="s">
        <v>4423</v>
      </c>
      <c r="H375" s="333">
        <v>8067780</v>
      </c>
      <c r="I375" s="334">
        <v>0</v>
      </c>
      <c r="J375" s="682">
        <v>7268270</v>
      </c>
      <c r="K375" s="682">
        <v>799509</v>
      </c>
      <c r="L375" s="333">
        <f t="shared" si="64"/>
        <v>8067779</v>
      </c>
      <c r="M375" s="333">
        <f t="shared" si="65"/>
        <v>8067780</v>
      </c>
    </row>
    <row r="376" spans="1:13" s="256" customFormat="1" x14ac:dyDescent="0.25">
      <c r="A376" s="274">
        <v>44749</v>
      </c>
      <c r="B376" s="511">
        <v>44746</v>
      </c>
      <c r="C376" s="381" t="s">
        <v>3907</v>
      </c>
      <c r="D376" s="670" t="s">
        <v>304</v>
      </c>
      <c r="E376" s="669" t="s">
        <v>392</v>
      </c>
      <c r="F376" s="272" t="s">
        <v>2644</v>
      </c>
      <c r="G376" s="255" t="s">
        <v>4424</v>
      </c>
      <c r="H376" s="333">
        <v>12166308</v>
      </c>
      <c r="I376" s="334">
        <v>387828</v>
      </c>
      <c r="J376" s="682">
        <v>10611243</v>
      </c>
      <c r="K376" s="682">
        <v>1167236</v>
      </c>
      <c r="L376" s="333">
        <f t="shared" si="64"/>
        <v>11778479</v>
      </c>
      <c r="M376" s="333">
        <f t="shared" si="65"/>
        <v>11778480</v>
      </c>
    </row>
    <row r="377" spans="1:13" s="256" customFormat="1" x14ac:dyDescent="0.25">
      <c r="A377" s="274">
        <v>44756</v>
      </c>
      <c r="B377" s="511">
        <v>44747</v>
      </c>
      <c r="C377" s="381" t="s">
        <v>3927</v>
      </c>
      <c r="D377" s="670" t="s">
        <v>304</v>
      </c>
      <c r="E377" s="669" t="s">
        <v>392</v>
      </c>
      <c r="F377" s="272" t="s">
        <v>2644</v>
      </c>
      <c r="G377" s="255" t="s">
        <v>4425</v>
      </c>
      <c r="H377" s="333">
        <v>14745909.5</v>
      </c>
      <c r="I377" s="334">
        <v>258552</v>
      </c>
      <c r="J377" s="682">
        <v>13051673</v>
      </c>
      <c r="K377" s="682">
        <v>1435684</v>
      </c>
      <c r="L377" s="333">
        <f t="shared" si="64"/>
        <v>14487357</v>
      </c>
      <c r="M377" s="333">
        <f t="shared" si="65"/>
        <v>14487357.5</v>
      </c>
    </row>
    <row r="378" spans="1:13" s="256" customFormat="1" x14ac:dyDescent="0.25">
      <c r="A378" s="274">
        <v>44753</v>
      </c>
      <c r="B378" s="511">
        <v>44748</v>
      </c>
      <c r="C378" s="381" t="s">
        <v>3924</v>
      </c>
      <c r="D378" s="670" t="s">
        <v>304</v>
      </c>
      <c r="E378" s="669" t="s">
        <v>392</v>
      </c>
      <c r="F378" s="272" t="s">
        <v>2644</v>
      </c>
      <c r="G378" s="255" t="s">
        <v>4426</v>
      </c>
      <c r="H378" s="333">
        <v>8147580</v>
      </c>
      <c r="I378" s="334">
        <v>0</v>
      </c>
      <c r="J378" s="682">
        <v>7340162</v>
      </c>
      <c r="K378" s="682">
        <v>807417</v>
      </c>
      <c r="L378" s="333">
        <f t="shared" si="64"/>
        <v>8147579</v>
      </c>
      <c r="M378" s="333">
        <f t="shared" si="65"/>
        <v>8147580</v>
      </c>
    </row>
    <row r="379" spans="1:13" s="256" customFormat="1" x14ac:dyDescent="0.25">
      <c r="A379" s="274">
        <v>44753</v>
      </c>
      <c r="B379" s="511">
        <v>44748</v>
      </c>
      <c r="C379" s="381" t="s">
        <v>3925</v>
      </c>
      <c r="D379" s="670" t="s">
        <v>304</v>
      </c>
      <c r="E379" s="669" t="s">
        <v>392</v>
      </c>
      <c r="F379" s="272" t="s">
        <v>2644</v>
      </c>
      <c r="G379" s="255" t="s">
        <v>4427</v>
      </c>
      <c r="H379" s="333">
        <v>20427802.5</v>
      </c>
      <c r="I379" s="334">
        <v>1005480</v>
      </c>
      <c r="J379" s="682">
        <v>17497587</v>
      </c>
      <c r="K379" s="682">
        <v>1924734</v>
      </c>
      <c r="L379" s="333">
        <f t="shared" si="64"/>
        <v>19422321</v>
      </c>
      <c r="M379" s="333">
        <f t="shared" si="65"/>
        <v>19422322.5</v>
      </c>
    </row>
    <row r="380" spans="1:13" s="256" customFormat="1" x14ac:dyDescent="0.25">
      <c r="A380" s="274">
        <v>44756</v>
      </c>
      <c r="B380" s="511">
        <v>44750</v>
      </c>
      <c r="C380" s="381" t="s">
        <v>3926</v>
      </c>
      <c r="D380" s="670" t="s">
        <v>304</v>
      </c>
      <c r="E380" s="669" t="s">
        <v>392</v>
      </c>
      <c r="F380" s="272" t="s">
        <v>2644</v>
      </c>
      <c r="G380" s="255" t="s">
        <v>4428</v>
      </c>
      <c r="H380" s="333">
        <v>32817750</v>
      </c>
      <c r="I380" s="334">
        <v>2748872</v>
      </c>
      <c r="J380" s="682">
        <v>27089079</v>
      </c>
      <c r="K380" s="682">
        <v>2979798</v>
      </c>
      <c r="L380" s="333">
        <f t="shared" si="64"/>
        <v>30068877</v>
      </c>
      <c r="M380" s="333">
        <f t="shared" si="65"/>
        <v>30068878</v>
      </c>
    </row>
    <row r="381" spans="1:13" s="256" customFormat="1" x14ac:dyDescent="0.25">
      <c r="A381" s="274">
        <v>44756</v>
      </c>
      <c r="B381" s="511">
        <v>44753</v>
      </c>
      <c r="C381" s="381" t="s">
        <v>3928</v>
      </c>
      <c r="D381" s="670" t="s">
        <v>304</v>
      </c>
      <c r="E381" s="669" t="s">
        <v>392</v>
      </c>
      <c r="F381" s="272" t="s">
        <v>2644</v>
      </c>
      <c r="G381" s="255" t="s">
        <v>4429</v>
      </c>
      <c r="H381" s="333">
        <v>5622508.5</v>
      </c>
      <c r="I381" s="334">
        <v>129276</v>
      </c>
      <c r="J381" s="682">
        <v>4948858</v>
      </c>
      <c r="K381" s="682">
        <v>544374</v>
      </c>
      <c r="L381" s="333">
        <f t="shared" si="64"/>
        <v>5493232</v>
      </c>
      <c r="M381" s="333">
        <f t="shared" si="65"/>
        <v>5493232.5</v>
      </c>
    </row>
    <row r="382" spans="1:13" s="256" customFormat="1" x14ac:dyDescent="0.25">
      <c r="A382" s="274">
        <v>44760</v>
      </c>
      <c r="B382" s="511">
        <v>44754</v>
      </c>
      <c r="C382" s="381" t="s">
        <v>4094</v>
      </c>
      <c r="D382" s="670" t="s">
        <v>304</v>
      </c>
      <c r="E382" s="669" t="s">
        <v>392</v>
      </c>
      <c r="F382" s="272" t="s">
        <v>2644</v>
      </c>
      <c r="G382" s="255" t="s">
        <v>4430</v>
      </c>
      <c r="H382" s="333">
        <v>25992023.75</v>
      </c>
      <c r="I382" s="334">
        <v>0</v>
      </c>
      <c r="J382" s="682">
        <v>23416237</v>
      </c>
      <c r="K382" s="682">
        <v>2575786</v>
      </c>
      <c r="L382" s="333">
        <f t="shared" ref="L382:L387" si="66">SUM(J382:K382)</f>
        <v>25992023</v>
      </c>
      <c r="M382" s="333">
        <f t="shared" ref="M382:M387" si="67">H382-I382</f>
        <v>25992023.75</v>
      </c>
    </row>
    <row r="383" spans="1:13" s="256" customFormat="1" x14ac:dyDescent="0.25">
      <c r="A383" s="274">
        <v>44760</v>
      </c>
      <c r="B383" s="511">
        <v>44754</v>
      </c>
      <c r="C383" s="381" t="s">
        <v>4095</v>
      </c>
      <c r="D383" s="670" t="s">
        <v>304</v>
      </c>
      <c r="E383" s="669" t="s">
        <v>392</v>
      </c>
      <c r="F383" s="272" t="s">
        <v>2644</v>
      </c>
      <c r="G383" s="255" t="s">
        <v>4431</v>
      </c>
      <c r="H383" s="333">
        <v>4538226</v>
      </c>
      <c r="I383" s="334">
        <v>129276</v>
      </c>
      <c r="J383" s="682">
        <v>3972027</v>
      </c>
      <c r="K383" s="682">
        <v>436922</v>
      </c>
      <c r="L383" s="333">
        <f t="shared" si="66"/>
        <v>4408949</v>
      </c>
      <c r="M383" s="333">
        <f t="shared" si="67"/>
        <v>4408950</v>
      </c>
    </row>
    <row r="384" spans="1:13" s="256" customFormat="1" x14ac:dyDescent="0.25">
      <c r="A384" s="274">
        <v>44760</v>
      </c>
      <c r="B384" s="511">
        <v>44755</v>
      </c>
      <c r="C384" s="381" t="s">
        <v>4096</v>
      </c>
      <c r="D384" s="670" t="s">
        <v>304</v>
      </c>
      <c r="E384" s="669" t="s">
        <v>392</v>
      </c>
      <c r="F384" s="272" t="s">
        <v>2644</v>
      </c>
      <c r="G384" s="255" t="s">
        <v>4432</v>
      </c>
      <c r="H384" s="333">
        <v>7553070</v>
      </c>
      <c r="I384" s="334">
        <v>0</v>
      </c>
      <c r="J384" s="682">
        <v>6804567</v>
      </c>
      <c r="K384" s="682">
        <v>748502</v>
      </c>
      <c r="L384" s="333">
        <f t="shared" si="66"/>
        <v>7553069</v>
      </c>
      <c r="M384" s="333">
        <f t="shared" si="67"/>
        <v>7553070</v>
      </c>
    </row>
    <row r="385" spans="1:13" s="256" customFormat="1" x14ac:dyDescent="0.25">
      <c r="A385" s="274">
        <v>44760</v>
      </c>
      <c r="B385" s="511">
        <v>44755</v>
      </c>
      <c r="C385" s="381" t="s">
        <v>4097</v>
      </c>
      <c r="D385" s="670" t="s">
        <v>304</v>
      </c>
      <c r="E385" s="669" t="s">
        <v>392</v>
      </c>
      <c r="F385" s="272" t="s">
        <v>2644</v>
      </c>
      <c r="G385" s="255" t="s">
        <v>4433</v>
      </c>
      <c r="H385" s="333">
        <v>35377002.5</v>
      </c>
      <c r="I385" s="334">
        <v>0</v>
      </c>
      <c r="J385" s="682">
        <v>31871173</v>
      </c>
      <c r="K385" s="682">
        <v>3505829</v>
      </c>
      <c r="L385" s="333">
        <f t="shared" si="66"/>
        <v>35377002</v>
      </c>
      <c r="M385" s="333">
        <f t="shared" si="67"/>
        <v>35377002.5</v>
      </c>
    </row>
    <row r="386" spans="1:13" s="256" customFormat="1" x14ac:dyDescent="0.25">
      <c r="A386" s="274">
        <v>44760</v>
      </c>
      <c r="B386" s="511">
        <v>44755</v>
      </c>
      <c r="C386" s="381" t="s">
        <v>4098</v>
      </c>
      <c r="D386" s="670" t="s">
        <v>304</v>
      </c>
      <c r="E386" s="669" t="s">
        <v>392</v>
      </c>
      <c r="F386" s="272" t="s">
        <v>2644</v>
      </c>
      <c r="G386" s="255" t="s">
        <v>4434</v>
      </c>
      <c r="H386" s="333">
        <v>9456300</v>
      </c>
      <c r="I386" s="334">
        <v>0</v>
      </c>
      <c r="J386" s="682">
        <v>8519189</v>
      </c>
      <c r="K386" s="682">
        <v>937110</v>
      </c>
      <c r="L386" s="333">
        <f t="shared" si="66"/>
        <v>9456299</v>
      </c>
      <c r="M386" s="333">
        <f t="shared" si="67"/>
        <v>9456300</v>
      </c>
    </row>
    <row r="387" spans="1:13" s="256" customFormat="1" x14ac:dyDescent="0.25">
      <c r="A387" s="274">
        <v>44760</v>
      </c>
      <c r="B387" s="511">
        <v>44755</v>
      </c>
      <c r="C387" s="381" t="s">
        <v>4099</v>
      </c>
      <c r="D387" s="670" t="s">
        <v>304</v>
      </c>
      <c r="E387" s="669" t="s">
        <v>392</v>
      </c>
      <c r="F387" s="272" t="s">
        <v>2644</v>
      </c>
      <c r="G387" s="255" t="s">
        <v>4435</v>
      </c>
      <c r="H387" s="333">
        <v>36066607.5</v>
      </c>
      <c r="I387" s="334">
        <v>1508220</v>
      </c>
      <c r="J387" s="682">
        <v>31133682</v>
      </c>
      <c r="K387" s="682">
        <v>3424705</v>
      </c>
      <c r="L387" s="333">
        <f t="shared" si="66"/>
        <v>34558387</v>
      </c>
      <c r="M387" s="333">
        <f t="shared" si="67"/>
        <v>34558387.5</v>
      </c>
    </row>
    <row r="388" spans="1:13" s="256" customFormat="1" x14ac:dyDescent="0.25">
      <c r="A388" s="274">
        <v>44763</v>
      </c>
      <c r="B388" s="511">
        <v>44756</v>
      </c>
      <c r="C388" s="381" t="s">
        <v>4381</v>
      </c>
      <c r="D388" s="670" t="s">
        <v>304</v>
      </c>
      <c r="E388" s="669" t="s">
        <v>392</v>
      </c>
      <c r="F388" s="272" t="s">
        <v>2644</v>
      </c>
      <c r="G388" s="255" t="s">
        <v>4436</v>
      </c>
      <c r="H388" s="333">
        <v>17236800</v>
      </c>
      <c r="I388" s="334">
        <v>0</v>
      </c>
      <c r="J388" s="682">
        <v>15528648</v>
      </c>
      <c r="K388" s="682">
        <v>1708151</v>
      </c>
      <c r="L388" s="333">
        <f t="shared" ref="L388:L389" si="68">SUM(J388:K388)</f>
        <v>17236799</v>
      </c>
      <c r="M388" s="333">
        <f t="shared" ref="M388" si="69">H388-I388</f>
        <v>17236800</v>
      </c>
    </row>
    <row r="389" spans="1:13" s="256" customFormat="1" x14ac:dyDescent="0.25">
      <c r="A389" s="274">
        <v>44763</v>
      </c>
      <c r="B389" s="511">
        <v>44756</v>
      </c>
      <c r="C389" s="381" t="s">
        <v>4382</v>
      </c>
      <c r="D389" s="670" t="s">
        <v>304</v>
      </c>
      <c r="E389" s="669" t="s">
        <v>392</v>
      </c>
      <c r="F389" s="272" t="s">
        <v>2644</v>
      </c>
      <c r="G389" s="255" t="s">
        <v>4437</v>
      </c>
      <c r="H389" s="333">
        <v>14531580</v>
      </c>
      <c r="I389" s="334">
        <v>646380</v>
      </c>
      <c r="J389" s="682">
        <v>12509189</v>
      </c>
      <c r="K389" s="682">
        <v>1376010</v>
      </c>
      <c r="L389" s="333">
        <f t="shared" si="68"/>
        <v>13885199</v>
      </c>
      <c r="M389" s="333">
        <f>H389-I389</f>
        <v>13885200</v>
      </c>
    </row>
    <row r="390" spans="1:13" s="256" customFormat="1" x14ac:dyDescent="0.25">
      <c r="A390" s="274">
        <v>44768</v>
      </c>
      <c r="B390" s="511">
        <v>44761</v>
      </c>
      <c r="C390" s="381" t="s">
        <v>4412</v>
      </c>
      <c r="D390" s="670" t="s">
        <v>304</v>
      </c>
      <c r="E390" s="669" t="s">
        <v>392</v>
      </c>
      <c r="F390" s="272" t="s">
        <v>2644</v>
      </c>
      <c r="G390" s="255" t="s">
        <v>4853</v>
      </c>
      <c r="H390" s="333">
        <v>5745600</v>
      </c>
      <c r="I390" s="334">
        <v>0</v>
      </c>
      <c r="J390" s="682">
        <v>5176216</v>
      </c>
      <c r="K390" s="682">
        <f t="shared" ref="K390:K398" si="70">J390*11%</f>
        <v>569383.76</v>
      </c>
      <c r="L390" s="333">
        <f t="shared" ref="L390:L398" si="71">SUM(J390:K390)</f>
        <v>5745599.7599999998</v>
      </c>
      <c r="M390" s="333">
        <f t="shared" ref="M390:M398" si="72">H390-I390</f>
        <v>5745600</v>
      </c>
    </row>
    <row r="391" spans="1:13" s="256" customFormat="1" x14ac:dyDescent="0.25">
      <c r="A391" s="274">
        <v>44768</v>
      </c>
      <c r="B391" s="511">
        <v>44762</v>
      </c>
      <c r="C391" s="381" t="s">
        <v>4413</v>
      </c>
      <c r="D391" s="670" t="s">
        <v>304</v>
      </c>
      <c r="E391" s="669" t="s">
        <v>392</v>
      </c>
      <c r="F391" s="272" t="s">
        <v>2644</v>
      </c>
      <c r="G391" s="255" t="s">
        <v>4854</v>
      </c>
      <c r="H391" s="333">
        <v>20117580</v>
      </c>
      <c r="I391" s="334">
        <v>0</v>
      </c>
      <c r="J391" s="682">
        <v>18123945</v>
      </c>
      <c r="K391" s="682">
        <f t="shared" si="70"/>
        <v>1993633.95</v>
      </c>
      <c r="L391" s="333">
        <f t="shared" si="71"/>
        <v>20117578.949999999</v>
      </c>
      <c r="M391" s="333">
        <f t="shared" si="72"/>
        <v>20117580</v>
      </c>
    </row>
    <row r="392" spans="1:13" s="256" customFormat="1" x14ac:dyDescent="0.25">
      <c r="A392" s="274">
        <v>44768</v>
      </c>
      <c r="B392" s="511">
        <v>44762</v>
      </c>
      <c r="C392" s="381" t="s">
        <v>4414</v>
      </c>
      <c r="D392" s="670" t="s">
        <v>304</v>
      </c>
      <c r="E392" s="669" t="s">
        <v>392</v>
      </c>
      <c r="F392" s="272" t="s">
        <v>2644</v>
      </c>
      <c r="G392" s="255" t="s">
        <v>4855</v>
      </c>
      <c r="H392" s="333">
        <v>24658200</v>
      </c>
      <c r="I392" s="334">
        <v>879795</v>
      </c>
      <c r="J392" s="682">
        <v>21421986</v>
      </c>
      <c r="K392" s="682">
        <f t="shared" si="70"/>
        <v>2356418.46</v>
      </c>
      <c r="L392" s="333">
        <f t="shared" si="71"/>
        <v>23778404.460000001</v>
      </c>
      <c r="M392" s="333">
        <f t="shared" si="72"/>
        <v>23778405</v>
      </c>
    </row>
    <row r="393" spans="1:13" s="256" customFormat="1" x14ac:dyDescent="0.25">
      <c r="A393" s="274">
        <v>44768</v>
      </c>
      <c r="B393" s="511">
        <v>44762</v>
      </c>
      <c r="C393" s="381" t="s">
        <v>4415</v>
      </c>
      <c r="D393" s="670" t="s">
        <v>304</v>
      </c>
      <c r="E393" s="669" t="s">
        <v>392</v>
      </c>
      <c r="F393" s="272" t="s">
        <v>2644</v>
      </c>
      <c r="G393" s="255" t="s">
        <v>4856</v>
      </c>
      <c r="H393" s="333">
        <v>59245515</v>
      </c>
      <c r="I393" s="334">
        <v>377055</v>
      </c>
      <c r="J393" s="682">
        <v>53034648</v>
      </c>
      <c r="K393" s="682">
        <f t="shared" si="70"/>
        <v>5833811.2800000003</v>
      </c>
      <c r="L393" s="333">
        <f t="shared" si="71"/>
        <v>58868459.280000001</v>
      </c>
      <c r="M393" s="333">
        <f t="shared" si="72"/>
        <v>58868460</v>
      </c>
    </row>
    <row r="394" spans="1:13" s="256" customFormat="1" x14ac:dyDescent="0.25">
      <c r="A394" s="274">
        <v>44769</v>
      </c>
      <c r="B394" s="511">
        <v>44763</v>
      </c>
      <c r="C394" s="381" t="s">
        <v>4416</v>
      </c>
      <c r="D394" s="670" t="s">
        <v>304</v>
      </c>
      <c r="E394" s="669" t="s">
        <v>392</v>
      </c>
      <c r="F394" s="272" t="s">
        <v>2644</v>
      </c>
      <c r="G394" s="255" t="s">
        <v>4857</v>
      </c>
      <c r="H394" s="333">
        <v>46455570</v>
      </c>
      <c r="I394" s="334">
        <v>0</v>
      </c>
      <c r="J394" s="682">
        <v>41851864</v>
      </c>
      <c r="K394" s="682">
        <f t="shared" si="70"/>
        <v>4603705.04</v>
      </c>
      <c r="L394" s="333">
        <f t="shared" si="71"/>
        <v>46455569.039999999</v>
      </c>
      <c r="M394" s="333">
        <f t="shared" si="72"/>
        <v>46455570</v>
      </c>
    </row>
    <row r="395" spans="1:13" s="256" customFormat="1" x14ac:dyDescent="0.25">
      <c r="A395" s="274">
        <v>44769</v>
      </c>
      <c r="B395" s="511">
        <v>44763</v>
      </c>
      <c r="C395" s="381" t="s">
        <v>4417</v>
      </c>
      <c r="D395" s="670" t="s">
        <v>304</v>
      </c>
      <c r="E395" s="669" t="s">
        <v>392</v>
      </c>
      <c r="F395" s="272" t="s">
        <v>2644</v>
      </c>
      <c r="G395" s="255" t="s">
        <v>4858</v>
      </c>
      <c r="H395" s="333">
        <v>16869720</v>
      </c>
      <c r="I395" s="334">
        <v>0</v>
      </c>
      <c r="J395" s="682">
        <v>15197945</v>
      </c>
      <c r="K395" s="682">
        <f t="shared" si="70"/>
        <v>1671773.95</v>
      </c>
      <c r="L395" s="333">
        <f t="shared" si="71"/>
        <v>16869718.949999999</v>
      </c>
      <c r="M395" s="333">
        <f t="shared" si="72"/>
        <v>16869720</v>
      </c>
    </row>
    <row r="396" spans="1:13" s="256" customFormat="1" x14ac:dyDescent="0.25">
      <c r="A396" s="274">
        <v>44769</v>
      </c>
      <c r="B396" s="511">
        <v>44763</v>
      </c>
      <c r="C396" s="381" t="s">
        <v>4418</v>
      </c>
      <c r="D396" s="670" t="s">
        <v>304</v>
      </c>
      <c r="E396" s="669" t="s">
        <v>392</v>
      </c>
      <c r="F396" s="272" t="s">
        <v>2644</v>
      </c>
      <c r="G396" s="255" t="s">
        <v>4859</v>
      </c>
      <c r="H396" s="333">
        <v>12212991</v>
      </c>
      <c r="I396" s="334">
        <v>129276</v>
      </c>
      <c r="J396" s="682">
        <v>10886229</v>
      </c>
      <c r="K396" s="682">
        <f t="shared" si="70"/>
        <v>1197485.19</v>
      </c>
      <c r="L396" s="333">
        <f t="shared" si="71"/>
        <v>12083714.189999999</v>
      </c>
      <c r="M396" s="333">
        <f t="shared" si="72"/>
        <v>12083715</v>
      </c>
    </row>
    <row r="397" spans="1:13" s="256" customFormat="1" x14ac:dyDescent="0.25">
      <c r="A397" s="274">
        <v>44769</v>
      </c>
      <c r="B397" s="511">
        <v>44763</v>
      </c>
      <c r="C397" s="381" t="s">
        <v>4419</v>
      </c>
      <c r="D397" s="670" t="s">
        <v>304</v>
      </c>
      <c r="E397" s="669" t="s">
        <v>392</v>
      </c>
      <c r="F397" s="272" t="s">
        <v>2644</v>
      </c>
      <c r="G397" s="255" t="s">
        <v>4860</v>
      </c>
      <c r="H397" s="333">
        <v>9252810</v>
      </c>
      <c r="I397" s="334">
        <v>0</v>
      </c>
      <c r="J397" s="682">
        <v>8335864</v>
      </c>
      <c r="K397" s="682">
        <f t="shared" si="70"/>
        <v>916945.04</v>
      </c>
      <c r="L397" s="333">
        <f t="shared" si="71"/>
        <v>9252809.0399999991</v>
      </c>
      <c r="M397" s="333">
        <f t="shared" si="72"/>
        <v>9252810</v>
      </c>
    </row>
    <row r="398" spans="1:13" s="256" customFormat="1" x14ac:dyDescent="0.25">
      <c r="A398" s="274">
        <v>44769</v>
      </c>
      <c r="B398" s="511">
        <v>44764</v>
      </c>
      <c r="C398" s="381" t="s">
        <v>4420</v>
      </c>
      <c r="D398" s="670" t="s">
        <v>304</v>
      </c>
      <c r="E398" s="669" t="s">
        <v>392</v>
      </c>
      <c r="F398" s="272" t="s">
        <v>2644</v>
      </c>
      <c r="G398" s="255" t="s">
        <v>4861</v>
      </c>
      <c r="H398" s="333">
        <v>5745600</v>
      </c>
      <c r="I398" s="334">
        <v>0</v>
      </c>
      <c r="J398" s="682">
        <v>5176216</v>
      </c>
      <c r="K398" s="682">
        <f t="shared" si="70"/>
        <v>569383.76</v>
      </c>
      <c r="L398" s="333">
        <f t="shared" si="71"/>
        <v>5745599.7599999998</v>
      </c>
      <c r="M398" s="333">
        <f t="shared" si="72"/>
        <v>5745600</v>
      </c>
    </row>
    <row r="399" spans="1:13" s="256" customFormat="1" x14ac:dyDescent="0.25">
      <c r="A399" s="274">
        <v>44771</v>
      </c>
      <c r="B399" s="511">
        <v>44765</v>
      </c>
      <c r="C399" s="381" t="s">
        <v>4537</v>
      </c>
      <c r="D399" s="670" t="s">
        <v>304</v>
      </c>
      <c r="E399" s="669" t="s">
        <v>392</v>
      </c>
      <c r="F399" s="272" t="s">
        <v>2644</v>
      </c>
      <c r="G399" s="255" t="s">
        <v>4862</v>
      </c>
      <c r="H399" s="333">
        <v>43888005</v>
      </c>
      <c r="I399" s="334">
        <v>0</v>
      </c>
      <c r="J399" s="682">
        <v>39538743</v>
      </c>
      <c r="K399" s="682">
        <f t="shared" ref="K399:K405" si="73">J399*11%</f>
        <v>4349261.7300000004</v>
      </c>
      <c r="L399" s="333">
        <f t="shared" ref="L399:L405" si="74">SUM(J399:K399)</f>
        <v>43888004.730000004</v>
      </c>
      <c r="M399" s="333">
        <f t="shared" ref="M399:M405" si="75">H399-I399</f>
        <v>43888005</v>
      </c>
    </row>
    <row r="400" spans="1:13" s="256" customFormat="1" x14ac:dyDescent="0.25">
      <c r="A400" s="274">
        <v>44771</v>
      </c>
      <c r="B400" s="511">
        <v>44765</v>
      </c>
      <c r="C400" s="381" t="s">
        <v>4538</v>
      </c>
      <c r="D400" s="670" t="s">
        <v>304</v>
      </c>
      <c r="E400" s="669" t="s">
        <v>392</v>
      </c>
      <c r="F400" s="272" t="s">
        <v>2644</v>
      </c>
      <c r="G400" s="255" t="s">
        <v>4863</v>
      </c>
      <c r="H400" s="333">
        <v>13414779</v>
      </c>
      <c r="I400" s="334">
        <v>0</v>
      </c>
      <c r="J400" s="682">
        <v>12085386</v>
      </c>
      <c r="K400" s="682">
        <f t="shared" si="73"/>
        <v>1329392.46</v>
      </c>
      <c r="L400" s="333">
        <f t="shared" si="74"/>
        <v>13414778.460000001</v>
      </c>
      <c r="M400" s="333">
        <f t="shared" si="75"/>
        <v>13414779</v>
      </c>
    </row>
    <row r="401" spans="1:13" s="256" customFormat="1" x14ac:dyDescent="0.25">
      <c r="A401" s="274">
        <v>44771</v>
      </c>
      <c r="B401" s="511">
        <v>44765</v>
      </c>
      <c r="C401" s="381" t="s">
        <v>4539</v>
      </c>
      <c r="D401" s="670" t="s">
        <v>304</v>
      </c>
      <c r="E401" s="669" t="s">
        <v>392</v>
      </c>
      <c r="F401" s="272" t="s">
        <v>2644</v>
      </c>
      <c r="G401" s="255" t="s">
        <v>4864</v>
      </c>
      <c r="H401" s="333">
        <v>11326014</v>
      </c>
      <c r="I401" s="334">
        <v>517104</v>
      </c>
      <c r="J401" s="682">
        <v>9737756</v>
      </c>
      <c r="K401" s="682">
        <f t="shared" si="73"/>
        <v>1071153.1599999999</v>
      </c>
      <c r="L401" s="333">
        <f t="shared" si="74"/>
        <v>10808909.16</v>
      </c>
      <c r="M401" s="333">
        <f t="shared" si="75"/>
        <v>10808910</v>
      </c>
    </row>
    <row r="402" spans="1:13" s="256" customFormat="1" x14ac:dyDescent="0.25">
      <c r="A402" s="274">
        <v>44771</v>
      </c>
      <c r="B402" s="511">
        <v>44765</v>
      </c>
      <c r="C402" s="381" t="s">
        <v>4540</v>
      </c>
      <c r="D402" s="670" t="s">
        <v>304</v>
      </c>
      <c r="E402" s="669" t="s">
        <v>392</v>
      </c>
      <c r="F402" s="272" t="s">
        <v>2644</v>
      </c>
      <c r="G402" s="255" t="s">
        <v>4865</v>
      </c>
      <c r="H402" s="333">
        <v>29704718.75</v>
      </c>
      <c r="I402" s="334">
        <v>0</v>
      </c>
      <c r="J402" s="682">
        <v>26761007</v>
      </c>
      <c r="K402" s="682">
        <f t="shared" si="73"/>
        <v>2943710.77</v>
      </c>
      <c r="L402" s="333">
        <f t="shared" si="74"/>
        <v>29704717.77</v>
      </c>
      <c r="M402" s="333">
        <f t="shared" si="75"/>
        <v>29704718.75</v>
      </c>
    </row>
    <row r="403" spans="1:13" s="256" customFormat="1" x14ac:dyDescent="0.25">
      <c r="A403" s="274">
        <v>44771</v>
      </c>
      <c r="B403" s="511">
        <v>44767</v>
      </c>
      <c r="C403" s="381" t="s">
        <v>4541</v>
      </c>
      <c r="D403" s="670" t="s">
        <v>304</v>
      </c>
      <c r="E403" s="669" t="s">
        <v>392</v>
      </c>
      <c r="F403" s="272" t="s">
        <v>2644</v>
      </c>
      <c r="G403" s="255" t="s">
        <v>4866</v>
      </c>
      <c r="H403" s="333">
        <v>12195435</v>
      </c>
      <c r="I403" s="334">
        <v>0</v>
      </c>
      <c r="J403" s="682">
        <v>10986878</v>
      </c>
      <c r="K403" s="682">
        <f t="shared" si="73"/>
        <v>1208556.58</v>
      </c>
      <c r="L403" s="333">
        <f t="shared" si="74"/>
        <v>12195434.58</v>
      </c>
      <c r="M403" s="333">
        <f t="shared" si="75"/>
        <v>12195435</v>
      </c>
    </row>
    <row r="404" spans="1:13" s="256" customFormat="1" x14ac:dyDescent="0.25">
      <c r="A404" s="274">
        <v>44771</v>
      </c>
      <c r="B404" s="511">
        <v>44767</v>
      </c>
      <c r="C404" s="381" t="s">
        <v>4542</v>
      </c>
      <c r="D404" s="670" t="s">
        <v>304</v>
      </c>
      <c r="E404" s="669" t="s">
        <v>392</v>
      </c>
      <c r="F404" s="272" t="s">
        <v>2644</v>
      </c>
      <c r="G404" s="255" t="s">
        <v>4867</v>
      </c>
      <c r="H404" s="333">
        <v>14321440</v>
      </c>
      <c r="I404" s="334">
        <v>0</v>
      </c>
      <c r="J404" s="682">
        <v>12902198</v>
      </c>
      <c r="K404" s="682">
        <f t="shared" si="73"/>
        <v>1419241.78</v>
      </c>
      <c r="L404" s="333">
        <f t="shared" si="74"/>
        <v>14321439.779999999</v>
      </c>
      <c r="M404" s="333">
        <f t="shared" si="75"/>
        <v>14321440</v>
      </c>
    </row>
    <row r="405" spans="1:13" s="256" customFormat="1" x14ac:dyDescent="0.25">
      <c r="A405" s="274">
        <v>44771</v>
      </c>
      <c r="B405" s="511">
        <v>44768</v>
      </c>
      <c r="C405" s="381" t="s">
        <v>4543</v>
      </c>
      <c r="D405" s="670" t="s">
        <v>304</v>
      </c>
      <c r="E405" s="669" t="s">
        <v>392</v>
      </c>
      <c r="F405" s="272" t="s">
        <v>2644</v>
      </c>
      <c r="G405" s="255" t="s">
        <v>4868</v>
      </c>
      <c r="H405" s="333">
        <v>38045448</v>
      </c>
      <c r="I405" s="334">
        <v>387828</v>
      </c>
      <c r="J405" s="682">
        <v>33925783</v>
      </c>
      <c r="K405" s="682">
        <f t="shared" si="73"/>
        <v>3731836.13</v>
      </c>
      <c r="L405" s="333">
        <f t="shared" si="74"/>
        <v>37657619.130000003</v>
      </c>
      <c r="M405" s="333">
        <f t="shared" si="75"/>
        <v>37657620</v>
      </c>
    </row>
    <row r="406" spans="1:13" s="256" customFormat="1" x14ac:dyDescent="0.25">
      <c r="A406" s="274">
        <v>44775</v>
      </c>
      <c r="B406" s="511">
        <v>44769</v>
      </c>
      <c r="C406" s="381" t="s">
        <v>4545</v>
      </c>
      <c r="D406" s="670" t="s">
        <v>304</v>
      </c>
      <c r="E406" s="669" t="s">
        <v>392</v>
      </c>
      <c r="F406" s="272" t="s">
        <v>2644</v>
      </c>
      <c r="G406" s="255" t="s">
        <v>4869</v>
      </c>
      <c r="H406" s="333">
        <v>35131950</v>
      </c>
      <c r="I406" s="334">
        <v>1633905</v>
      </c>
      <c r="J406" s="682">
        <v>30178418</v>
      </c>
      <c r="K406" s="682">
        <f t="shared" ref="K406" si="76">J406*11%</f>
        <v>3319625.98</v>
      </c>
      <c r="L406" s="333">
        <f t="shared" ref="L406" si="77">SUM(J406:K406)</f>
        <v>33498043.98</v>
      </c>
      <c r="M406" s="333">
        <f t="shared" ref="M406" si="78">H406-I406</f>
        <v>33498045</v>
      </c>
    </row>
    <row r="407" spans="1:13" s="256" customFormat="1" x14ac:dyDescent="0.25">
      <c r="A407" s="274">
        <v>44776</v>
      </c>
      <c r="B407" s="511">
        <v>44770</v>
      </c>
      <c r="C407" s="381" t="s">
        <v>4546</v>
      </c>
      <c r="D407" s="670" t="s">
        <v>304</v>
      </c>
      <c r="E407" s="669" t="s">
        <v>392</v>
      </c>
      <c r="F407" s="272" t="s">
        <v>2644</v>
      </c>
      <c r="G407" s="255" t="s">
        <v>4870</v>
      </c>
      <c r="H407" s="333">
        <v>19843433.75</v>
      </c>
      <c r="I407" s="334">
        <v>0</v>
      </c>
      <c r="J407" s="682">
        <v>17876967</v>
      </c>
      <c r="K407" s="682">
        <f t="shared" ref="K407" si="79">J407*11%</f>
        <v>1966466.37</v>
      </c>
      <c r="L407" s="333">
        <f t="shared" ref="L407" si="80">SUM(J407:K407)</f>
        <v>19843433.370000001</v>
      </c>
      <c r="M407" s="333">
        <f t="shared" ref="M407" si="81">H407-I407</f>
        <v>19843433.75</v>
      </c>
    </row>
    <row r="408" spans="1:13" s="256" customFormat="1" x14ac:dyDescent="0.25">
      <c r="A408" s="274">
        <v>44777</v>
      </c>
      <c r="B408" s="511">
        <v>44771</v>
      </c>
      <c r="C408" s="381" t="s">
        <v>4578</v>
      </c>
      <c r="D408" s="670" t="s">
        <v>304</v>
      </c>
      <c r="E408" s="669" t="s">
        <v>392</v>
      </c>
      <c r="F408" s="272" t="s">
        <v>2644</v>
      </c>
      <c r="G408" s="255" t="s">
        <v>4871</v>
      </c>
      <c r="H408" s="333">
        <v>22335687.5</v>
      </c>
      <c r="I408" s="334">
        <v>0</v>
      </c>
      <c r="J408" s="682">
        <v>20122240</v>
      </c>
      <c r="K408" s="682">
        <f t="shared" ref="K408" si="82">J408*11%</f>
        <v>2213446.4</v>
      </c>
      <c r="L408" s="333">
        <f t="shared" ref="L408" si="83">SUM(J408:K408)</f>
        <v>22335686.399999999</v>
      </c>
      <c r="M408" s="333">
        <f t="shared" ref="M408" si="84">H408-I408</f>
        <v>22335687.5</v>
      </c>
    </row>
    <row r="409" spans="1:13" s="256" customFormat="1" x14ac:dyDescent="0.25">
      <c r="A409" s="274">
        <v>44756</v>
      </c>
      <c r="B409" s="511">
        <v>44753</v>
      </c>
      <c r="C409" s="381" t="s">
        <v>3929</v>
      </c>
      <c r="D409" s="670" t="s">
        <v>317</v>
      </c>
      <c r="E409" s="669" t="s">
        <v>395</v>
      </c>
      <c r="F409" s="668" t="s">
        <v>396</v>
      </c>
      <c r="G409" s="255" t="s">
        <v>4696</v>
      </c>
      <c r="H409" s="333">
        <v>14064750</v>
      </c>
      <c r="I409" s="334">
        <v>0</v>
      </c>
      <c r="J409" s="682">
        <v>12670945</v>
      </c>
      <c r="K409" s="682">
        <f t="shared" ref="K409:K453" si="85">J409*11%</f>
        <v>1393803.95</v>
      </c>
      <c r="L409" s="333">
        <f t="shared" si="64"/>
        <v>14064748.949999999</v>
      </c>
      <c r="M409" s="333">
        <f t="shared" ref="M409:M450" si="86">H409-I409</f>
        <v>14064750</v>
      </c>
    </row>
    <row r="410" spans="1:13" s="256" customFormat="1" x14ac:dyDescent="0.25">
      <c r="A410" s="274">
        <v>44760</v>
      </c>
      <c r="B410" s="511">
        <v>44755</v>
      </c>
      <c r="C410" s="381" t="s">
        <v>4106</v>
      </c>
      <c r="D410" s="670" t="s">
        <v>317</v>
      </c>
      <c r="E410" s="669" t="s">
        <v>395</v>
      </c>
      <c r="F410" s="668" t="s">
        <v>396</v>
      </c>
      <c r="G410" s="255" t="s">
        <v>4697</v>
      </c>
      <c r="H410" s="333">
        <v>16857750</v>
      </c>
      <c r="I410" s="334">
        <v>227763</v>
      </c>
      <c r="J410" s="682">
        <v>14981970</v>
      </c>
      <c r="K410" s="682">
        <f t="shared" ref="K410" si="87">J410*11%</f>
        <v>1648016.7</v>
      </c>
      <c r="L410" s="333">
        <f t="shared" ref="L410" si="88">SUM(J410:K410)</f>
        <v>16629986.699999999</v>
      </c>
      <c r="M410" s="333">
        <f t="shared" si="86"/>
        <v>16629987</v>
      </c>
    </row>
    <row r="411" spans="1:13" s="256" customFormat="1" x14ac:dyDescent="0.25">
      <c r="A411" s="274">
        <v>44776</v>
      </c>
      <c r="B411" s="511">
        <v>44770</v>
      </c>
      <c r="C411" s="381" t="s">
        <v>4547</v>
      </c>
      <c r="D411" s="670" t="s">
        <v>317</v>
      </c>
      <c r="E411" s="669" t="s">
        <v>395</v>
      </c>
      <c r="F411" s="668" t="s">
        <v>396</v>
      </c>
      <c r="G411" s="255" t="s">
        <v>4851</v>
      </c>
      <c r="H411" s="333">
        <v>15529500</v>
      </c>
      <c r="I411" s="334">
        <v>0</v>
      </c>
      <c r="J411" s="682">
        <v>13990540</v>
      </c>
      <c r="K411" s="682">
        <f t="shared" ref="K411:K412" si="89">J411*11%</f>
        <v>1538959.4</v>
      </c>
      <c r="L411" s="333">
        <f t="shared" ref="L411:L412" si="90">SUM(J411:K411)</f>
        <v>15529499.4</v>
      </c>
      <c r="M411" s="333">
        <f t="shared" ref="M411:M412" si="91">H411-I411</f>
        <v>15529500</v>
      </c>
    </row>
    <row r="412" spans="1:13" s="256" customFormat="1" x14ac:dyDescent="0.25">
      <c r="A412" s="274">
        <v>44776</v>
      </c>
      <c r="B412" s="511">
        <v>44770</v>
      </c>
      <c r="C412" s="381" t="s">
        <v>4548</v>
      </c>
      <c r="D412" s="670" t="s">
        <v>317</v>
      </c>
      <c r="E412" s="669" t="s">
        <v>395</v>
      </c>
      <c r="F412" s="668" t="s">
        <v>396</v>
      </c>
      <c r="G412" s="255" t="s">
        <v>4852</v>
      </c>
      <c r="H412" s="333">
        <v>3118500</v>
      </c>
      <c r="I412" s="334">
        <v>0</v>
      </c>
      <c r="J412" s="682">
        <v>2809459</v>
      </c>
      <c r="K412" s="682">
        <f t="shared" si="89"/>
        <v>309040.49</v>
      </c>
      <c r="L412" s="333">
        <f t="shared" si="90"/>
        <v>3118499.49</v>
      </c>
      <c r="M412" s="333">
        <f t="shared" si="91"/>
        <v>3118500</v>
      </c>
    </row>
    <row r="413" spans="1:13" s="256" customFormat="1" x14ac:dyDescent="0.25">
      <c r="A413" s="274">
        <v>44743</v>
      </c>
      <c r="B413" s="511">
        <v>44743</v>
      </c>
      <c r="C413" s="381" t="s">
        <v>3902</v>
      </c>
      <c r="D413" s="670" t="s">
        <v>400</v>
      </c>
      <c r="E413" s="669" t="s">
        <v>401</v>
      </c>
      <c r="F413" s="668" t="s">
        <v>402</v>
      </c>
      <c r="G413" s="255" t="s">
        <v>4354</v>
      </c>
      <c r="H413" s="333">
        <v>5760000</v>
      </c>
      <c r="I413" s="334">
        <v>979200.00000000012</v>
      </c>
      <c r="J413" s="682">
        <v>4307027</v>
      </c>
      <c r="K413" s="682">
        <v>473772</v>
      </c>
      <c r="L413" s="333">
        <f t="shared" si="64"/>
        <v>4780799</v>
      </c>
      <c r="M413" s="333">
        <f t="shared" si="86"/>
        <v>4780800</v>
      </c>
    </row>
    <row r="414" spans="1:13" s="256" customFormat="1" x14ac:dyDescent="0.25">
      <c r="A414" s="274">
        <v>44744</v>
      </c>
      <c r="B414" s="511">
        <v>44743</v>
      </c>
      <c r="C414" s="381" t="s">
        <v>3903</v>
      </c>
      <c r="D414" s="273" t="s">
        <v>400</v>
      </c>
      <c r="E414" s="275" t="s">
        <v>401</v>
      </c>
      <c r="F414" s="272" t="s">
        <v>402</v>
      </c>
      <c r="G414" s="255" t="s">
        <v>4355</v>
      </c>
      <c r="H414" s="333">
        <v>28684800</v>
      </c>
      <c r="I414" s="334">
        <v>4876416</v>
      </c>
      <c r="J414" s="682">
        <v>21448994</v>
      </c>
      <c r="K414" s="682">
        <v>2359389</v>
      </c>
      <c r="L414" s="333">
        <f t="shared" si="64"/>
        <v>23808383</v>
      </c>
      <c r="M414" s="333">
        <f t="shared" si="86"/>
        <v>23808384</v>
      </c>
    </row>
    <row r="415" spans="1:13" s="256" customFormat="1" x14ac:dyDescent="0.25">
      <c r="A415" s="274">
        <v>44744</v>
      </c>
      <c r="B415" s="511">
        <v>44743</v>
      </c>
      <c r="C415" s="381" t="s">
        <v>3904</v>
      </c>
      <c r="D415" s="273" t="s">
        <v>400</v>
      </c>
      <c r="E415" s="275" t="s">
        <v>401</v>
      </c>
      <c r="F415" s="272" t="s">
        <v>402</v>
      </c>
      <c r="G415" s="255" t="s">
        <v>4356</v>
      </c>
      <c r="H415" s="333">
        <v>40003200</v>
      </c>
      <c r="I415" s="334">
        <v>6800544</v>
      </c>
      <c r="J415" s="682">
        <v>29912302</v>
      </c>
      <c r="K415" s="682">
        <v>3290353</v>
      </c>
      <c r="L415" s="333">
        <f t="shared" si="64"/>
        <v>33202655</v>
      </c>
      <c r="M415" s="333">
        <f t="shared" si="86"/>
        <v>33202656</v>
      </c>
    </row>
    <row r="416" spans="1:13" s="256" customFormat="1" x14ac:dyDescent="0.25">
      <c r="A416" s="274">
        <v>44748</v>
      </c>
      <c r="B416" s="511">
        <v>44744</v>
      </c>
      <c r="C416" s="381" t="s">
        <v>3905</v>
      </c>
      <c r="D416" s="273" t="s">
        <v>400</v>
      </c>
      <c r="E416" s="275" t="s">
        <v>401</v>
      </c>
      <c r="F416" s="272" t="s">
        <v>402</v>
      </c>
      <c r="G416" s="255" t="s">
        <v>4357</v>
      </c>
      <c r="H416" s="333">
        <v>24600000</v>
      </c>
      <c r="I416" s="334">
        <v>4182000</v>
      </c>
      <c r="J416" s="682">
        <v>18394594</v>
      </c>
      <c r="K416" s="682">
        <v>2023405</v>
      </c>
      <c r="L416" s="333">
        <f t="shared" si="64"/>
        <v>20417999</v>
      </c>
      <c r="M416" s="333">
        <f t="shared" si="86"/>
        <v>20418000</v>
      </c>
    </row>
    <row r="417" spans="1:13" s="256" customFormat="1" x14ac:dyDescent="0.25">
      <c r="A417" s="274">
        <v>44749</v>
      </c>
      <c r="B417" s="511">
        <v>44746</v>
      </c>
      <c r="C417" s="381">
        <v>22070238</v>
      </c>
      <c r="D417" s="273" t="s">
        <v>400</v>
      </c>
      <c r="E417" s="275" t="s">
        <v>401</v>
      </c>
      <c r="F417" s="272" t="s">
        <v>402</v>
      </c>
      <c r="G417" s="255" t="s">
        <v>4358</v>
      </c>
      <c r="H417" s="333">
        <v>40262400</v>
      </c>
      <c r="I417" s="334">
        <v>6844608</v>
      </c>
      <c r="J417" s="682">
        <v>30106118</v>
      </c>
      <c r="K417" s="682">
        <v>3311673</v>
      </c>
      <c r="L417" s="333">
        <f t="shared" si="64"/>
        <v>33417791</v>
      </c>
      <c r="M417" s="333">
        <f t="shared" si="86"/>
        <v>33417792</v>
      </c>
    </row>
    <row r="418" spans="1:13" s="256" customFormat="1" x14ac:dyDescent="0.25">
      <c r="A418" s="274">
        <v>44749</v>
      </c>
      <c r="B418" s="511">
        <v>44747</v>
      </c>
      <c r="C418" s="381">
        <v>22070298</v>
      </c>
      <c r="D418" s="273" t="s">
        <v>400</v>
      </c>
      <c r="E418" s="275" t="s">
        <v>401</v>
      </c>
      <c r="F418" s="272" t="s">
        <v>402</v>
      </c>
      <c r="G418" s="255" t="s">
        <v>4359</v>
      </c>
      <c r="H418" s="333">
        <v>115588800</v>
      </c>
      <c r="I418" s="334">
        <v>19650096</v>
      </c>
      <c r="J418" s="682">
        <v>86431264</v>
      </c>
      <c r="K418" s="682">
        <v>9507439</v>
      </c>
      <c r="L418" s="333">
        <f t="shared" si="64"/>
        <v>95938703</v>
      </c>
      <c r="M418" s="333">
        <f t="shared" si="86"/>
        <v>95938704</v>
      </c>
    </row>
    <row r="419" spans="1:13" s="256" customFormat="1" x14ac:dyDescent="0.25">
      <c r="A419" s="274">
        <v>44750</v>
      </c>
      <c r="B419" s="511">
        <v>44748</v>
      </c>
      <c r="C419" s="381">
        <v>22070460</v>
      </c>
      <c r="D419" s="273" t="s">
        <v>400</v>
      </c>
      <c r="E419" s="275" t="s">
        <v>401</v>
      </c>
      <c r="F419" s="272" t="s">
        <v>402</v>
      </c>
      <c r="G419" s="255" t="s">
        <v>4360</v>
      </c>
      <c r="H419" s="333">
        <v>35809200</v>
      </c>
      <c r="I419" s="334">
        <v>6087564</v>
      </c>
      <c r="J419" s="682">
        <v>26776248</v>
      </c>
      <c r="K419" s="682">
        <v>2945387</v>
      </c>
      <c r="L419" s="333">
        <f t="shared" si="64"/>
        <v>29721635</v>
      </c>
      <c r="M419" s="333">
        <f t="shared" si="86"/>
        <v>29721636</v>
      </c>
    </row>
    <row r="420" spans="1:13" s="256" customFormat="1" x14ac:dyDescent="0.25">
      <c r="A420" s="274">
        <v>44753</v>
      </c>
      <c r="B420" s="511">
        <v>44749</v>
      </c>
      <c r="C420" s="381">
        <v>22070585</v>
      </c>
      <c r="D420" s="273" t="s">
        <v>400</v>
      </c>
      <c r="E420" s="275" t="s">
        <v>401</v>
      </c>
      <c r="F420" s="272" t="s">
        <v>402</v>
      </c>
      <c r="G420" s="255" t="s">
        <v>4361</v>
      </c>
      <c r="H420" s="333">
        <v>31707600</v>
      </c>
      <c r="I420" s="334">
        <v>5390292</v>
      </c>
      <c r="J420" s="682">
        <v>23709286</v>
      </c>
      <c r="K420" s="682">
        <v>2608021</v>
      </c>
      <c r="L420" s="333">
        <f t="shared" si="64"/>
        <v>26317307</v>
      </c>
      <c r="M420" s="333">
        <f t="shared" si="86"/>
        <v>26317308</v>
      </c>
    </row>
    <row r="421" spans="1:13" s="256" customFormat="1" x14ac:dyDescent="0.25">
      <c r="A421" s="274">
        <v>44753</v>
      </c>
      <c r="B421" s="511">
        <v>44749</v>
      </c>
      <c r="C421" s="381">
        <v>22070607</v>
      </c>
      <c r="D421" s="273" t="s">
        <v>400</v>
      </c>
      <c r="E421" s="275" t="s">
        <v>401</v>
      </c>
      <c r="F421" s="272" t="s">
        <v>402</v>
      </c>
      <c r="G421" s="255" t="s">
        <v>4362</v>
      </c>
      <c r="H421" s="333">
        <v>22771200</v>
      </c>
      <c r="I421" s="334">
        <v>3871104</v>
      </c>
      <c r="J421" s="682">
        <v>17027113</v>
      </c>
      <c r="K421" s="682">
        <v>1872982</v>
      </c>
      <c r="L421" s="333">
        <f t="shared" si="64"/>
        <v>18900095</v>
      </c>
      <c r="M421" s="333">
        <f t="shared" si="86"/>
        <v>18900096</v>
      </c>
    </row>
    <row r="422" spans="1:13" s="256" customFormat="1" x14ac:dyDescent="0.25">
      <c r="A422" s="274">
        <v>44753</v>
      </c>
      <c r="B422" s="511">
        <v>44749</v>
      </c>
      <c r="C422" s="381">
        <v>22070613</v>
      </c>
      <c r="D422" s="273" t="s">
        <v>400</v>
      </c>
      <c r="E422" s="275" t="s">
        <v>401</v>
      </c>
      <c r="F422" s="272" t="s">
        <v>402</v>
      </c>
      <c r="G422" s="255" t="s">
        <v>4363</v>
      </c>
      <c r="H422" s="333">
        <v>24048000</v>
      </c>
      <c r="I422" s="334">
        <v>4088160</v>
      </c>
      <c r="J422" s="682">
        <v>17981837</v>
      </c>
      <c r="K422" s="682">
        <v>1978002</v>
      </c>
      <c r="L422" s="333">
        <f t="shared" si="64"/>
        <v>19959839</v>
      </c>
      <c r="M422" s="333">
        <f t="shared" si="86"/>
        <v>19959840</v>
      </c>
    </row>
    <row r="423" spans="1:13" s="256" customFormat="1" x14ac:dyDescent="0.25">
      <c r="A423" s="274">
        <v>44756</v>
      </c>
      <c r="B423" s="511">
        <v>44750</v>
      </c>
      <c r="C423" s="381" t="s">
        <v>3930</v>
      </c>
      <c r="D423" s="273" t="s">
        <v>400</v>
      </c>
      <c r="E423" s="275" t="s">
        <v>401</v>
      </c>
      <c r="F423" s="272" t="s">
        <v>402</v>
      </c>
      <c r="G423" s="255" t="s">
        <v>4364</v>
      </c>
      <c r="H423" s="333">
        <v>67109600</v>
      </c>
      <c r="I423" s="334">
        <v>11408632</v>
      </c>
      <c r="J423" s="682">
        <v>50181052</v>
      </c>
      <c r="K423" s="682">
        <v>5519915</v>
      </c>
      <c r="L423" s="333">
        <f t="shared" si="64"/>
        <v>55700967</v>
      </c>
      <c r="M423" s="333">
        <f t="shared" si="86"/>
        <v>55700968</v>
      </c>
    </row>
    <row r="424" spans="1:13" s="256" customFormat="1" x14ac:dyDescent="0.25">
      <c r="A424" s="274">
        <v>44756</v>
      </c>
      <c r="B424" s="511">
        <v>44750</v>
      </c>
      <c r="C424" s="381" t="s">
        <v>3931</v>
      </c>
      <c r="D424" s="273" t="s">
        <v>400</v>
      </c>
      <c r="E424" s="275" t="s">
        <v>401</v>
      </c>
      <c r="F424" s="272" t="s">
        <v>402</v>
      </c>
      <c r="G424" s="255" t="s">
        <v>4365</v>
      </c>
      <c r="H424" s="333">
        <v>8700000</v>
      </c>
      <c r="I424" s="334">
        <v>1479000</v>
      </c>
      <c r="J424" s="682">
        <v>6505405</v>
      </c>
      <c r="K424" s="682">
        <v>715594</v>
      </c>
      <c r="L424" s="333">
        <f t="shared" si="64"/>
        <v>7220999</v>
      </c>
      <c r="M424" s="333">
        <f t="shared" si="86"/>
        <v>7221000</v>
      </c>
    </row>
    <row r="425" spans="1:13" s="256" customFormat="1" x14ac:dyDescent="0.25">
      <c r="A425" s="274">
        <v>44758</v>
      </c>
      <c r="B425" s="511">
        <v>44753</v>
      </c>
      <c r="C425" s="381">
        <v>22070852</v>
      </c>
      <c r="D425" s="273" t="s">
        <v>400</v>
      </c>
      <c r="E425" s="275" t="s">
        <v>401</v>
      </c>
      <c r="F425" s="272" t="s">
        <v>402</v>
      </c>
      <c r="G425" s="255" t="s">
        <v>4366</v>
      </c>
      <c r="H425" s="333">
        <v>37339200</v>
      </c>
      <c r="I425" s="334">
        <v>6347664</v>
      </c>
      <c r="J425" s="682">
        <v>27920302</v>
      </c>
      <c r="K425" s="682">
        <v>3071233</v>
      </c>
      <c r="L425" s="333">
        <f>SUM(J425:K425)</f>
        <v>30991535</v>
      </c>
      <c r="M425" s="333">
        <f t="shared" si="86"/>
        <v>30991536</v>
      </c>
    </row>
    <row r="426" spans="1:13" s="256" customFormat="1" x14ac:dyDescent="0.25">
      <c r="A426" s="274">
        <v>44758</v>
      </c>
      <c r="B426" s="511">
        <v>44753</v>
      </c>
      <c r="C426" s="381">
        <v>22070867</v>
      </c>
      <c r="D426" s="273" t="s">
        <v>400</v>
      </c>
      <c r="E426" s="275" t="s">
        <v>401</v>
      </c>
      <c r="F426" s="272" t="s">
        <v>402</v>
      </c>
      <c r="G426" s="255" t="s">
        <v>4367</v>
      </c>
      <c r="H426" s="333">
        <v>5250000</v>
      </c>
      <c r="I426" s="334">
        <v>892500.00000000012</v>
      </c>
      <c r="J426" s="682">
        <v>3925675</v>
      </c>
      <c r="K426" s="682">
        <v>431824</v>
      </c>
      <c r="L426" s="333">
        <f>SUM(J426:K426)</f>
        <v>4357499</v>
      </c>
      <c r="M426" s="333">
        <f t="shared" si="86"/>
        <v>4357500</v>
      </c>
    </row>
    <row r="427" spans="1:13" s="256" customFormat="1" x14ac:dyDescent="0.25">
      <c r="A427" s="274">
        <v>44758</v>
      </c>
      <c r="B427" s="511">
        <v>44754</v>
      </c>
      <c r="C427" s="381">
        <v>22070969</v>
      </c>
      <c r="D427" s="273" t="s">
        <v>400</v>
      </c>
      <c r="E427" s="275" t="s">
        <v>401</v>
      </c>
      <c r="F427" s="272" t="s">
        <v>402</v>
      </c>
      <c r="G427" s="255" t="s">
        <v>4368</v>
      </c>
      <c r="H427" s="333">
        <v>49986000</v>
      </c>
      <c r="I427" s="334">
        <v>8497620</v>
      </c>
      <c r="J427" s="682">
        <v>37376918</v>
      </c>
      <c r="K427" s="682">
        <v>4111461</v>
      </c>
      <c r="L427" s="333">
        <f>SUM(J427:K427)</f>
        <v>41488379</v>
      </c>
      <c r="M427" s="333">
        <f t="shared" si="86"/>
        <v>41488380</v>
      </c>
    </row>
    <row r="428" spans="1:13" s="256" customFormat="1" x14ac:dyDescent="0.25">
      <c r="A428" s="274">
        <v>44758</v>
      </c>
      <c r="B428" s="511">
        <v>44754</v>
      </c>
      <c r="C428" s="381">
        <v>22070976</v>
      </c>
      <c r="D428" s="273" t="s">
        <v>400</v>
      </c>
      <c r="E428" s="275" t="s">
        <v>401</v>
      </c>
      <c r="F428" s="272" t="s">
        <v>402</v>
      </c>
      <c r="G428" s="255" t="s">
        <v>4369</v>
      </c>
      <c r="H428" s="333">
        <v>4680000</v>
      </c>
      <c r="I428" s="334">
        <v>795600</v>
      </c>
      <c r="J428" s="682">
        <v>3499459</v>
      </c>
      <c r="K428" s="682">
        <v>384940</v>
      </c>
      <c r="L428" s="333">
        <f>SUM(J428:K428)</f>
        <v>3884399</v>
      </c>
      <c r="M428" s="333">
        <f t="shared" si="86"/>
        <v>3884400</v>
      </c>
    </row>
    <row r="429" spans="1:13" s="256" customFormat="1" x14ac:dyDescent="0.25">
      <c r="A429" s="274">
        <v>44760</v>
      </c>
      <c r="B429" s="511">
        <v>44755</v>
      </c>
      <c r="C429" s="381" t="s">
        <v>4100</v>
      </c>
      <c r="D429" s="273" t="s">
        <v>400</v>
      </c>
      <c r="E429" s="275" t="s">
        <v>401</v>
      </c>
      <c r="F429" s="272" t="s">
        <v>402</v>
      </c>
      <c r="G429" s="255" t="s">
        <v>4370</v>
      </c>
      <c r="H429" s="333">
        <v>45545200</v>
      </c>
      <c r="I429" s="334">
        <v>7742684</v>
      </c>
      <c r="J429" s="682">
        <v>34056320</v>
      </c>
      <c r="K429" s="682">
        <v>3746195</v>
      </c>
      <c r="L429" s="333">
        <f t="shared" ref="L429:L434" si="92">SUM(J429:K429)</f>
        <v>37802515</v>
      </c>
      <c r="M429" s="333">
        <f t="shared" si="86"/>
        <v>37802516</v>
      </c>
    </row>
    <row r="430" spans="1:13" s="256" customFormat="1" x14ac:dyDescent="0.25">
      <c r="A430" s="274">
        <v>44760</v>
      </c>
      <c r="B430" s="511">
        <v>44755</v>
      </c>
      <c r="C430" s="381" t="s">
        <v>4101</v>
      </c>
      <c r="D430" s="273" t="s">
        <v>400</v>
      </c>
      <c r="E430" s="275" t="s">
        <v>401</v>
      </c>
      <c r="F430" s="272" t="s">
        <v>402</v>
      </c>
      <c r="G430" s="255" t="s">
        <v>4371</v>
      </c>
      <c r="H430" s="333">
        <v>17847600</v>
      </c>
      <c r="I430" s="334">
        <v>3034092</v>
      </c>
      <c r="J430" s="682">
        <v>13345502</v>
      </c>
      <c r="K430" s="682">
        <v>1468005</v>
      </c>
      <c r="L430" s="333">
        <f t="shared" si="92"/>
        <v>14813507</v>
      </c>
      <c r="M430" s="333">
        <f t="shared" si="86"/>
        <v>14813508</v>
      </c>
    </row>
    <row r="431" spans="1:13" s="256" customFormat="1" x14ac:dyDescent="0.25">
      <c r="A431" s="274">
        <v>44760</v>
      </c>
      <c r="B431" s="511">
        <v>44755</v>
      </c>
      <c r="C431" s="381" t="s">
        <v>4102</v>
      </c>
      <c r="D431" s="273" t="s">
        <v>400</v>
      </c>
      <c r="E431" s="275" t="s">
        <v>401</v>
      </c>
      <c r="F431" s="272" t="s">
        <v>402</v>
      </c>
      <c r="G431" s="255" t="s">
        <v>4372</v>
      </c>
      <c r="H431" s="333">
        <v>19008000</v>
      </c>
      <c r="I431" s="334">
        <v>3231360</v>
      </c>
      <c r="J431" s="682">
        <v>14213189</v>
      </c>
      <c r="K431" s="682">
        <v>1563450</v>
      </c>
      <c r="L431" s="333">
        <f t="shared" si="92"/>
        <v>15776639</v>
      </c>
      <c r="M431" s="333">
        <f t="shared" si="86"/>
        <v>15776640</v>
      </c>
    </row>
    <row r="432" spans="1:13" s="256" customFormat="1" x14ac:dyDescent="0.25">
      <c r="A432" s="274">
        <v>44760</v>
      </c>
      <c r="B432" s="511">
        <v>44756</v>
      </c>
      <c r="C432" s="381" t="s">
        <v>4103</v>
      </c>
      <c r="D432" s="273" t="s">
        <v>400</v>
      </c>
      <c r="E432" s="275" t="s">
        <v>401</v>
      </c>
      <c r="F432" s="272" t="s">
        <v>402</v>
      </c>
      <c r="G432" s="255" t="s">
        <v>4373</v>
      </c>
      <c r="H432" s="333">
        <v>14156000</v>
      </c>
      <c r="I432" s="334">
        <v>2406520</v>
      </c>
      <c r="J432" s="682">
        <v>10585117</v>
      </c>
      <c r="K432" s="682">
        <v>1164362</v>
      </c>
      <c r="L432" s="333">
        <f t="shared" si="92"/>
        <v>11749479</v>
      </c>
      <c r="M432" s="333">
        <f t="shared" si="86"/>
        <v>11749480</v>
      </c>
    </row>
    <row r="433" spans="1:13" s="256" customFormat="1" x14ac:dyDescent="0.25">
      <c r="A433" s="274">
        <v>44760</v>
      </c>
      <c r="B433" s="511">
        <v>44756</v>
      </c>
      <c r="C433" s="381" t="s">
        <v>4104</v>
      </c>
      <c r="D433" s="273" t="s">
        <v>400</v>
      </c>
      <c r="E433" s="275" t="s">
        <v>401</v>
      </c>
      <c r="F433" s="272" t="s">
        <v>402</v>
      </c>
      <c r="G433" s="255" t="s">
        <v>4374</v>
      </c>
      <c r="H433" s="333">
        <v>11550000</v>
      </c>
      <c r="I433" s="334">
        <v>1963500.0000000002</v>
      </c>
      <c r="J433" s="682">
        <v>8636486</v>
      </c>
      <c r="K433" s="682">
        <v>950013</v>
      </c>
      <c r="L433" s="333">
        <f t="shared" si="92"/>
        <v>9586499</v>
      </c>
      <c r="M433" s="333">
        <f t="shared" si="86"/>
        <v>9586500</v>
      </c>
    </row>
    <row r="434" spans="1:13" s="256" customFormat="1" x14ac:dyDescent="0.25">
      <c r="A434" s="274">
        <v>44760</v>
      </c>
      <c r="B434" s="511">
        <v>44756</v>
      </c>
      <c r="C434" s="381" t="s">
        <v>4105</v>
      </c>
      <c r="D434" s="273" t="s">
        <v>400</v>
      </c>
      <c r="E434" s="275" t="s">
        <v>401</v>
      </c>
      <c r="F434" s="272" t="s">
        <v>402</v>
      </c>
      <c r="G434" s="255" t="s">
        <v>4375</v>
      </c>
      <c r="H434" s="333">
        <v>15684000</v>
      </c>
      <c r="I434" s="334">
        <v>2666280.0000000005</v>
      </c>
      <c r="J434" s="682">
        <v>11727675</v>
      </c>
      <c r="K434" s="682">
        <v>1290044</v>
      </c>
      <c r="L434" s="333">
        <f t="shared" si="92"/>
        <v>13017719</v>
      </c>
      <c r="M434" s="333">
        <f t="shared" si="86"/>
        <v>13017720</v>
      </c>
    </row>
    <row r="435" spans="1:13" s="256" customFormat="1" x14ac:dyDescent="0.25">
      <c r="A435" s="274">
        <v>44763</v>
      </c>
      <c r="B435" s="511">
        <v>44757</v>
      </c>
      <c r="C435" s="381">
        <v>22071356</v>
      </c>
      <c r="D435" s="273" t="s">
        <v>400</v>
      </c>
      <c r="E435" s="275" t="s">
        <v>401</v>
      </c>
      <c r="F435" s="272" t="s">
        <v>402</v>
      </c>
      <c r="G435" s="255" t="s">
        <v>4376</v>
      </c>
      <c r="H435" s="333">
        <v>50042400</v>
      </c>
      <c r="I435" s="334">
        <v>8507208</v>
      </c>
      <c r="J435" s="682">
        <v>37419091</v>
      </c>
      <c r="K435" s="682">
        <v>4116100</v>
      </c>
      <c r="L435" s="333">
        <f>SUM(J435:K435)</f>
        <v>41535191</v>
      </c>
      <c r="M435" s="333">
        <f t="shared" si="86"/>
        <v>41535192</v>
      </c>
    </row>
    <row r="436" spans="1:13" s="256" customFormat="1" x14ac:dyDescent="0.25">
      <c r="A436" s="274">
        <v>44763</v>
      </c>
      <c r="B436" s="511">
        <v>44757</v>
      </c>
      <c r="C436" s="381">
        <v>22071365</v>
      </c>
      <c r="D436" s="273" t="s">
        <v>400</v>
      </c>
      <c r="E436" s="275" t="s">
        <v>401</v>
      </c>
      <c r="F436" s="272" t="s">
        <v>402</v>
      </c>
      <c r="G436" s="255" t="s">
        <v>4377</v>
      </c>
      <c r="H436" s="333">
        <v>1464000</v>
      </c>
      <c r="I436" s="334">
        <v>248880.00000000003</v>
      </c>
      <c r="J436" s="682">
        <v>1094702</v>
      </c>
      <c r="K436" s="682">
        <v>120417</v>
      </c>
      <c r="L436" s="333">
        <f>SUM(J436:K436)</f>
        <v>1215119</v>
      </c>
      <c r="M436" s="333">
        <f t="shared" si="86"/>
        <v>1215120</v>
      </c>
    </row>
    <row r="437" spans="1:13" s="256" customFormat="1" x14ac:dyDescent="0.25">
      <c r="A437" s="274">
        <v>44763</v>
      </c>
      <c r="B437" s="511">
        <v>44758</v>
      </c>
      <c r="C437" s="381">
        <v>22071481</v>
      </c>
      <c r="D437" s="273" t="s">
        <v>400</v>
      </c>
      <c r="E437" s="275" t="s">
        <v>401</v>
      </c>
      <c r="F437" s="272" t="s">
        <v>402</v>
      </c>
      <c r="G437" s="255" t="s">
        <v>4378</v>
      </c>
      <c r="H437" s="333">
        <v>55802400</v>
      </c>
      <c r="I437" s="334">
        <v>9486408</v>
      </c>
      <c r="J437" s="682">
        <v>41726118</v>
      </c>
      <c r="K437" s="682">
        <v>4589873</v>
      </c>
      <c r="L437" s="333">
        <f>SUM(J437:K437)</f>
        <v>46315991</v>
      </c>
      <c r="M437" s="333">
        <f t="shared" si="86"/>
        <v>46315992</v>
      </c>
    </row>
    <row r="438" spans="1:13" s="256" customFormat="1" x14ac:dyDescent="0.25">
      <c r="A438" s="274">
        <v>44763</v>
      </c>
      <c r="B438" s="511">
        <v>44758</v>
      </c>
      <c r="C438" s="381">
        <v>22071517</v>
      </c>
      <c r="D438" s="273" t="s">
        <v>400</v>
      </c>
      <c r="E438" s="275" t="s">
        <v>401</v>
      </c>
      <c r="F438" s="272" t="s">
        <v>402</v>
      </c>
      <c r="G438" s="255" t="s">
        <v>4379</v>
      </c>
      <c r="H438" s="333">
        <v>4500000</v>
      </c>
      <c r="I438" s="334">
        <v>765000</v>
      </c>
      <c r="J438" s="682">
        <v>3364864</v>
      </c>
      <c r="K438" s="682">
        <v>370135</v>
      </c>
      <c r="L438" s="333">
        <f>SUM(J438:K438)</f>
        <v>3734999</v>
      </c>
      <c r="M438" s="333">
        <f t="shared" si="86"/>
        <v>3735000</v>
      </c>
    </row>
    <row r="439" spans="1:13" s="256" customFormat="1" x14ac:dyDescent="0.25">
      <c r="A439" s="274">
        <v>44762</v>
      </c>
      <c r="B439" s="511">
        <v>44760</v>
      </c>
      <c r="C439" s="381" t="s">
        <v>4389</v>
      </c>
      <c r="D439" s="273" t="s">
        <v>400</v>
      </c>
      <c r="E439" s="275" t="s">
        <v>401</v>
      </c>
      <c r="F439" s="272" t="s">
        <v>402</v>
      </c>
      <c r="G439" s="255" t="s">
        <v>4380</v>
      </c>
      <c r="H439" s="333">
        <v>94537200</v>
      </c>
      <c r="I439" s="334">
        <v>16071324</v>
      </c>
      <c r="J439" s="682">
        <f>(H439-I439)/1.11</f>
        <v>70689978.378378376</v>
      </c>
      <c r="K439" s="682">
        <v>7775897</v>
      </c>
      <c r="L439" s="333">
        <f t="shared" ref="L439:L441" si="93">SUM(J439:K439)</f>
        <v>78465875.378378376</v>
      </c>
      <c r="M439" s="333">
        <f t="shared" si="86"/>
        <v>78465876</v>
      </c>
    </row>
    <row r="440" spans="1:13" s="256" customFormat="1" x14ac:dyDescent="0.25">
      <c r="A440" s="274">
        <v>44764</v>
      </c>
      <c r="B440" s="511">
        <v>44761</v>
      </c>
      <c r="C440" s="381" t="s">
        <v>4390</v>
      </c>
      <c r="D440" s="273" t="s">
        <v>400</v>
      </c>
      <c r="E440" s="275" t="s">
        <v>401</v>
      </c>
      <c r="F440" s="272" t="s">
        <v>402</v>
      </c>
      <c r="G440" s="255" t="s">
        <v>4401</v>
      </c>
      <c r="H440" s="333">
        <v>7992000</v>
      </c>
      <c r="I440" s="334">
        <v>1358640</v>
      </c>
      <c r="J440" s="682">
        <v>5976000</v>
      </c>
      <c r="K440" s="682">
        <v>657360</v>
      </c>
      <c r="L440" s="333">
        <f t="shared" si="93"/>
        <v>6633360</v>
      </c>
      <c r="M440" s="333">
        <f t="shared" si="86"/>
        <v>6633360</v>
      </c>
    </row>
    <row r="441" spans="1:13" s="256" customFormat="1" x14ac:dyDescent="0.25">
      <c r="A441" s="274">
        <v>44764</v>
      </c>
      <c r="B441" s="511">
        <v>44762</v>
      </c>
      <c r="C441" s="381" t="s">
        <v>4391</v>
      </c>
      <c r="D441" s="273" t="s">
        <v>400</v>
      </c>
      <c r="E441" s="275" t="s">
        <v>401</v>
      </c>
      <c r="F441" s="272" t="s">
        <v>402</v>
      </c>
      <c r="G441" s="255" t="s">
        <v>4402</v>
      </c>
      <c r="H441" s="333">
        <v>17346000</v>
      </c>
      <c r="I441" s="334">
        <v>2948820</v>
      </c>
      <c r="J441" s="682">
        <v>12970432</v>
      </c>
      <c r="K441" s="682">
        <v>1426747</v>
      </c>
      <c r="L441" s="333">
        <f t="shared" si="93"/>
        <v>14397179</v>
      </c>
      <c r="M441" s="333">
        <f t="shared" si="86"/>
        <v>14397180</v>
      </c>
    </row>
    <row r="442" spans="1:13" s="256" customFormat="1" x14ac:dyDescent="0.25">
      <c r="A442" s="274">
        <v>44767</v>
      </c>
      <c r="B442" s="511">
        <v>44763</v>
      </c>
      <c r="C442" s="381" t="s">
        <v>4394</v>
      </c>
      <c r="D442" s="273" t="s">
        <v>400</v>
      </c>
      <c r="E442" s="275" t="s">
        <v>401</v>
      </c>
      <c r="F442" s="272" t="s">
        <v>402</v>
      </c>
      <c r="G442" s="255" t="s">
        <v>4403</v>
      </c>
      <c r="H442" s="333">
        <v>66192600</v>
      </c>
      <c r="I442" s="334">
        <v>11252742</v>
      </c>
      <c r="J442" s="682">
        <v>49495367</v>
      </c>
      <c r="K442" s="682">
        <v>5444490</v>
      </c>
      <c r="L442" s="333">
        <f t="shared" ref="L442:L444" si="94">SUM(J442:K442)</f>
        <v>54939857</v>
      </c>
      <c r="M442" s="333">
        <f t="shared" si="86"/>
        <v>54939858</v>
      </c>
    </row>
    <row r="443" spans="1:13" s="256" customFormat="1" x14ac:dyDescent="0.25">
      <c r="A443" s="274">
        <v>44767</v>
      </c>
      <c r="B443" s="511">
        <v>44763</v>
      </c>
      <c r="C443" s="381" t="s">
        <v>4395</v>
      </c>
      <c r="D443" s="273" t="s">
        <v>400</v>
      </c>
      <c r="E443" s="275" t="s">
        <v>401</v>
      </c>
      <c r="F443" s="272" t="s">
        <v>402</v>
      </c>
      <c r="G443" s="255" t="s">
        <v>4404</v>
      </c>
      <c r="H443" s="333">
        <v>73582400</v>
      </c>
      <c r="I443" s="334">
        <v>12509008</v>
      </c>
      <c r="J443" s="682">
        <v>55021073</v>
      </c>
      <c r="K443" s="682">
        <v>6052318</v>
      </c>
      <c r="L443" s="333">
        <f t="shared" si="94"/>
        <v>61073391</v>
      </c>
      <c r="M443" s="333">
        <f t="shared" si="86"/>
        <v>61073392</v>
      </c>
    </row>
    <row r="444" spans="1:13" s="256" customFormat="1" x14ac:dyDescent="0.25">
      <c r="A444" s="274">
        <v>44767</v>
      </c>
      <c r="B444" s="511">
        <v>44763</v>
      </c>
      <c r="C444" s="381" t="s">
        <v>4396</v>
      </c>
      <c r="D444" s="273" t="s">
        <v>400</v>
      </c>
      <c r="E444" s="275" t="s">
        <v>401</v>
      </c>
      <c r="F444" s="272" t="s">
        <v>402</v>
      </c>
      <c r="G444" s="255" t="s">
        <v>4405</v>
      </c>
      <c r="H444" s="333">
        <v>21549200</v>
      </c>
      <c r="I444" s="334">
        <v>3663364</v>
      </c>
      <c r="J444" s="682">
        <v>16113365</v>
      </c>
      <c r="K444" s="682">
        <v>1772470</v>
      </c>
      <c r="L444" s="333">
        <f t="shared" si="94"/>
        <v>17885835</v>
      </c>
      <c r="M444" s="333">
        <f t="shared" si="86"/>
        <v>17885836</v>
      </c>
    </row>
    <row r="445" spans="1:13" s="256" customFormat="1" x14ac:dyDescent="0.25">
      <c r="A445" s="274">
        <v>44768</v>
      </c>
      <c r="B445" s="511">
        <v>44764</v>
      </c>
      <c r="C445" s="381">
        <v>22072109</v>
      </c>
      <c r="D445" s="273" t="s">
        <v>400</v>
      </c>
      <c r="E445" s="275" t="s">
        <v>401</v>
      </c>
      <c r="F445" s="272" t="s">
        <v>402</v>
      </c>
      <c r="G445" s="255" t="s">
        <v>4406</v>
      </c>
      <c r="H445" s="333">
        <v>57807000</v>
      </c>
      <c r="I445" s="334">
        <v>9827190.0000000019</v>
      </c>
      <c r="J445" s="682">
        <v>43225054</v>
      </c>
      <c r="K445" s="682">
        <v>4754755</v>
      </c>
      <c r="L445" s="333">
        <f t="shared" ref="L445:L450" si="95">SUM(J445:K445)</f>
        <v>47979809</v>
      </c>
      <c r="M445" s="333">
        <f t="shared" si="86"/>
        <v>47979810</v>
      </c>
    </row>
    <row r="446" spans="1:13" s="256" customFormat="1" x14ac:dyDescent="0.25">
      <c r="A446" s="274">
        <v>44769</v>
      </c>
      <c r="B446" s="511">
        <v>44765</v>
      </c>
      <c r="C446" s="381">
        <v>22072256</v>
      </c>
      <c r="D446" s="273" t="s">
        <v>400</v>
      </c>
      <c r="E446" s="275" t="s">
        <v>401</v>
      </c>
      <c r="F446" s="272" t="s">
        <v>402</v>
      </c>
      <c r="G446" s="255" t="s">
        <v>4407</v>
      </c>
      <c r="H446" s="333">
        <v>16768800</v>
      </c>
      <c r="I446" s="334">
        <v>2850696.0000000005</v>
      </c>
      <c r="J446" s="682">
        <v>12538832</v>
      </c>
      <c r="K446" s="682">
        <v>1379271</v>
      </c>
      <c r="L446" s="333">
        <f t="shared" si="95"/>
        <v>13918103</v>
      </c>
      <c r="M446" s="333">
        <f t="shared" si="86"/>
        <v>13918104</v>
      </c>
    </row>
    <row r="447" spans="1:13" s="256" customFormat="1" x14ac:dyDescent="0.25">
      <c r="A447" s="274">
        <v>44769</v>
      </c>
      <c r="B447" s="511">
        <v>44767</v>
      </c>
      <c r="C447" s="381">
        <v>22072347</v>
      </c>
      <c r="D447" s="273" t="s">
        <v>400</v>
      </c>
      <c r="E447" s="275" t="s">
        <v>401</v>
      </c>
      <c r="F447" s="272" t="s">
        <v>402</v>
      </c>
      <c r="G447" s="255" t="s">
        <v>4408</v>
      </c>
      <c r="H447" s="333">
        <v>68738400</v>
      </c>
      <c r="I447" s="334">
        <v>11685528</v>
      </c>
      <c r="J447" s="682">
        <v>51398983</v>
      </c>
      <c r="K447" s="682">
        <v>5653888</v>
      </c>
      <c r="L447" s="333">
        <f t="shared" si="95"/>
        <v>57052871</v>
      </c>
      <c r="M447" s="333">
        <f t="shared" si="86"/>
        <v>57052872</v>
      </c>
    </row>
    <row r="448" spans="1:13" s="256" customFormat="1" x14ac:dyDescent="0.25">
      <c r="A448" s="274">
        <v>44769</v>
      </c>
      <c r="B448" s="511">
        <v>44767</v>
      </c>
      <c r="C448" s="381">
        <v>22072367</v>
      </c>
      <c r="D448" s="273" t="s">
        <v>400</v>
      </c>
      <c r="E448" s="275" t="s">
        <v>401</v>
      </c>
      <c r="F448" s="272" t="s">
        <v>402</v>
      </c>
      <c r="G448" s="255" t="s">
        <v>4409</v>
      </c>
      <c r="H448" s="333">
        <v>15264000</v>
      </c>
      <c r="I448" s="334">
        <v>2594880</v>
      </c>
      <c r="J448" s="682">
        <v>11413621</v>
      </c>
      <c r="K448" s="682">
        <v>1255498</v>
      </c>
      <c r="L448" s="333">
        <f t="shared" si="95"/>
        <v>12669119</v>
      </c>
      <c r="M448" s="333">
        <f t="shared" si="86"/>
        <v>12669120</v>
      </c>
    </row>
    <row r="449" spans="1:13" s="256" customFormat="1" x14ac:dyDescent="0.25">
      <c r="A449" s="274">
        <v>44771</v>
      </c>
      <c r="B449" s="511">
        <v>44768</v>
      </c>
      <c r="C449" s="381">
        <v>22072386</v>
      </c>
      <c r="D449" s="273" t="s">
        <v>400</v>
      </c>
      <c r="E449" s="275" t="s">
        <v>401</v>
      </c>
      <c r="F449" s="272" t="s">
        <v>402</v>
      </c>
      <c r="G449" s="255" t="s">
        <v>4410</v>
      </c>
      <c r="H449" s="333">
        <v>11739000</v>
      </c>
      <c r="I449" s="334">
        <v>1995630.0000000002</v>
      </c>
      <c r="J449" s="682">
        <v>8777810</v>
      </c>
      <c r="K449" s="682">
        <v>965559</v>
      </c>
      <c r="L449" s="333">
        <f t="shared" si="95"/>
        <v>9743369</v>
      </c>
      <c r="M449" s="333">
        <f t="shared" si="86"/>
        <v>9743370</v>
      </c>
    </row>
    <row r="450" spans="1:13" s="256" customFormat="1" x14ac:dyDescent="0.25">
      <c r="A450" s="274">
        <v>44771</v>
      </c>
      <c r="B450" s="511">
        <v>44769</v>
      </c>
      <c r="C450" s="381">
        <v>22072516</v>
      </c>
      <c r="D450" s="273" t="s">
        <v>400</v>
      </c>
      <c r="E450" s="275" t="s">
        <v>401</v>
      </c>
      <c r="F450" s="272" t="s">
        <v>402</v>
      </c>
      <c r="G450" s="255" t="s">
        <v>4411</v>
      </c>
      <c r="H450" s="333">
        <v>3480000</v>
      </c>
      <c r="I450" s="334">
        <v>591600</v>
      </c>
      <c r="J450" s="682">
        <v>2602162</v>
      </c>
      <c r="K450" s="682">
        <v>286237</v>
      </c>
      <c r="L450" s="333">
        <f t="shared" si="95"/>
        <v>2888399</v>
      </c>
      <c r="M450" s="333">
        <f t="shared" si="86"/>
        <v>2888400</v>
      </c>
    </row>
    <row r="451" spans="1:13" s="256" customFormat="1" x14ac:dyDescent="0.25">
      <c r="A451" s="274">
        <v>44758</v>
      </c>
      <c r="B451" s="511">
        <v>44756</v>
      </c>
      <c r="C451" s="381" t="s">
        <v>4421</v>
      </c>
      <c r="D451" s="273" t="s">
        <v>322</v>
      </c>
      <c r="E451" s="275" t="s">
        <v>397</v>
      </c>
      <c r="F451" s="272" t="s">
        <v>2645</v>
      </c>
      <c r="G451" s="255" t="s">
        <v>4400</v>
      </c>
      <c r="H451" s="333">
        <v>6000000</v>
      </c>
      <c r="I451" s="334">
        <v>0</v>
      </c>
      <c r="J451" s="682">
        <v>5405407</v>
      </c>
      <c r="K451" s="682">
        <v>594594</v>
      </c>
      <c r="L451" s="333">
        <f t="shared" si="64"/>
        <v>6000001</v>
      </c>
      <c r="M451" s="333">
        <f t="shared" ref="M451:M454" si="96">H451-I451</f>
        <v>6000000</v>
      </c>
    </row>
    <row r="452" spans="1:13" s="256" customFormat="1" x14ac:dyDescent="0.25">
      <c r="A452" s="274">
        <v>44753</v>
      </c>
      <c r="B452" s="511">
        <v>44749</v>
      </c>
      <c r="C452" s="381" t="s">
        <v>3932</v>
      </c>
      <c r="D452" s="273" t="s">
        <v>305</v>
      </c>
      <c r="E452" s="275" t="s">
        <v>398</v>
      </c>
      <c r="F452" s="272" t="s">
        <v>399</v>
      </c>
      <c r="G452" s="255" t="s">
        <v>4595</v>
      </c>
      <c r="H452" s="333">
        <v>23652000</v>
      </c>
      <c r="I452" s="334">
        <v>0</v>
      </c>
      <c r="J452" s="682">
        <v>21307536</v>
      </c>
      <c r="K452" s="682">
        <f t="shared" si="85"/>
        <v>2343828.96</v>
      </c>
      <c r="L452" s="333">
        <f t="shared" si="64"/>
        <v>23651364.960000001</v>
      </c>
      <c r="M452" s="333">
        <f t="shared" si="96"/>
        <v>23652000</v>
      </c>
    </row>
    <row r="453" spans="1:13" s="256" customFormat="1" x14ac:dyDescent="0.25">
      <c r="A453" s="274">
        <v>44753</v>
      </c>
      <c r="B453" s="511">
        <v>44749</v>
      </c>
      <c r="C453" s="381" t="s">
        <v>3933</v>
      </c>
      <c r="D453" s="273" t="s">
        <v>305</v>
      </c>
      <c r="E453" s="275" t="s">
        <v>398</v>
      </c>
      <c r="F453" s="272" t="s">
        <v>399</v>
      </c>
      <c r="G453" s="255" t="s">
        <v>4596</v>
      </c>
      <c r="H453" s="333">
        <v>15768000</v>
      </c>
      <c r="I453" s="334">
        <v>0</v>
      </c>
      <c r="J453" s="682">
        <v>14205024</v>
      </c>
      <c r="K453" s="682">
        <f t="shared" si="85"/>
        <v>1562552.64</v>
      </c>
      <c r="L453" s="333">
        <f t="shared" si="64"/>
        <v>15767576.640000001</v>
      </c>
      <c r="M453" s="333">
        <f t="shared" si="96"/>
        <v>15768000</v>
      </c>
    </row>
    <row r="454" spans="1:13" s="256" customFormat="1" x14ac:dyDescent="0.25">
      <c r="A454" s="274"/>
      <c r="B454" s="511"/>
      <c r="C454" s="381"/>
      <c r="D454" s="273"/>
      <c r="E454" s="272"/>
      <c r="F454" s="275"/>
      <c r="G454" s="255"/>
      <c r="H454" s="333"/>
      <c r="I454" s="334"/>
      <c r="J454" s="682">
        <f t="shared" ref="J454" si="97">(H454-I454)/1.11</f>
        <v>0</v>
      </c>
      <c r="K454" s="682">
        <f t="shared" ref="K454" si="98">J454*11%</f>
        <v>0</v>
      </c>
      <c r="L454" s="333">
        <f t="shared" ref="L454" si="99">SUM(J454:K454)</f>
        <v>0</v>
      </c>
      <c r="M454" s="333">
        <f t="shared" si="96"/>
        <v>0</v>
      </c>
    </row>
    <row r="455" spans="1:13" ht="18" x14ac:dyDescent="0.25">
      <c r="A455" s="513" t="s">
        <v>38</v>
      </c>
      <c r="B455" s="512"/>
      <c r="C455" s="515"/>
      <c r="D455" s="514"/>
      <c r="E455" s="519"/>
      <c r="F455" s="519"/>
      <c r="G455" s="516"/>
      <c r="H455" s="413">
        <f>SUM(H374:H454)</f>
        <v>2033177088.25</v>
      </c>
      <c r="I455" s="412"/>
      <c r="J455" s="683">
        <f>SUM(J374:J454)</f>
        <v>1632638913.3783784</v>
      </c>
      <c r="K455" s="683">
        <f>SUM(K374:K454)</f>
        <v>179590258.92999998</v>
      </c>
      <c r="L455" s="414">
        <f>SUM(L374:L454)</f>
        <v>1812229172.3083785</v>
      </c>
      <c r="M455" s="414">
        <f>SUM(M374:M454)</f>
        <v>1812230296.25</v>
      </c>
    </row>
    <row r="456" spans="1:13" ht="18" x14ac:dyDescent="0.25">
      <c r="A456" s="510" t="s">
        <v>105</v>
      </c>
      <c r="B456" s="510"/>
      <c r="C456" s="421"/>
      <c r="D456" s="420"/>
      <c r="E456" s="518"/>
      <c r="F456" s="518"/>
      <c r="G456" s="420"/>
      <c r="H456" s="422"/>
      <c r="I456" s="422"/>
      <c r="J456" s="681"/>
      <c r="K456" s="681"/>
      <c r="L456" s="423"/>
      <c r="M456" s="423"/>
    </row>
    <row r="457" spans="1:13" s="256" customFormat="1" x14ac:dyDescent="0.25">
      <c r="A457" s="274">
        <v>44777</v>
      </c>
      <c r="B457" s="511">
        <v>44775</v>
      </c>
      <c r="C457" s="381" t="s">
        <v>4584</v>
      </c>
      <c r="D457" s="273" t="s">
        <v>403</v>
      </c>
      <c r="E457" s="275" t="s">
        <v>404</v>
      </c>
      <c r="F457" s="272" t="s">
        <v>405</v>
      </c>
      <c r="G457" s="255" t="s">
        <v>5606</v>
      </c>
      <c r="H457" s="333">
        <v>19152000</v>
      </c>
      <c r="I457" s="334">
        <v>383040</v>
      </c>
      <c r="J457" s="682">
        <v>16391351</v>
      </c>
      <c r="K457" s="682">
        <v>1803049</v>
      </c>
      <c r="L457" s="333">
        <f t="shared" ref="L457:L533" si="100">SUM(J457:K457)</f>
        <v>18194400</v>
      </c>
      <c r="M457" s="333">
        <f t="shared" ref="M457:M533" si="101">H457-I457</f>
        <v>18768960</v>
      </c>
    </row>
    <row r="458" spans="1:13" s="256" customFormat="1" x14ac:dyDescent="0.25">
      <c r="A458" s="274">
        <v>44785</v>
      </c>
      <c r="B458" s="511">
        <v>44782</v>
      </c>
      <c r="C458" s="381" t="s">
        <v>5064</v>
      </c>
      <c r="D458" s="273" t="s">
        <v>403</v>
      </c>
      <c r="E458" s="275" t="s">
        <v>404</v>
      </c>
      <c r="F458" s="272" t="s">
        <v>405</v>
      </c>
      <c r="G458" s="255" t="s">
        <v>5607</v>
      </c>
      <c r="H458" s="333">
        <v>10800000</v>
      </c>
      <c r="I458" s="334">
        <v>540000</v>
      </c>
      <c r="J458" s="682">
        <v>9243243</v>
      </c>
      <c r="K458" s="682">
        <v>1016757</v>
      </c>
      <c r="L458" s="333">
        <f t="shared" ref="L458" si="102">SUM(J458:K458)</f>
        <v>10260000</v>
      </c>
      <c r="M458" s="333">
        <f t="shared" ref="M458" si="103">H458-I458</f>
        <v>10260000</v>
      </c>
    </row>
    <row r="459" spans="1:13" s="256" customFormat="1" x14ac:dyDescent="0.25">
      <c r="A459" s="274">
        <v>44777</v>
      </c>
      <c r="B459" s="511">
        <v>44774</v>
      </c>
      <c r="C459" s="381" t="s">
        <v>4583</v>
      </c>
      <c r="D459" s="273" t="s">
        <v>304</v>
      </c>
      <c r="E459" s="275" t="s">
        <v>392</v>
      </c>
      <c r="F459" s="272" t="s">
        <v>2644</v>
      </c>
      <c r="G459" s="255" t="s">
        <v>5078</v>
      </c>
      <c r="H459" s="333">
        <v>58643523.75</v>
      </c>
      <c r="I459" s="334">
        <v>0</v>
      </c>
      <c r="J459" s="682">
        <v>52832003</v>
      </c>
      <c r="K459" s="682">
        <v>5811520</v>
      </c>
      <c r="L459" s="333">
        <f t="shared" ref="L459" si="104">SUM(J459:K459)</f>
        <v>58643523</v>
      </c>
      <c r="M459" s="333">
        <f t="shared" ref="M459" si="105">H459-I459</f>
        <v>58643523.75</v>
      </c>
    </row>
    <row r="460" spans="1:13" s="256" customFormat="1" x14ac:dyDescent="0.25">
      <c r="A460" s="274">
        <v>44783</v>
      </c>
      <c r="B460" s="511">
        <v>44778</v>
      </c>
      <c r="C460" s="381" t="s">
        <v>4750</v>
      </c>
      <c r="D460" s="273" t="s">
        <v>304</v>
      </c>
      <c r="E460" s="275" t="s">
        <v>392</v>
      </c>
      <c r="F460" s="272" t="s">
        <v>2644</v>
      </c>
      <c r="G460" s="255" t="s">
        <v>5079</v>
      </c>
      <c r="H460" s="333">
        <v>30483600</v>
      </c>
      <c r="I460" s="334">
        <v>0</v>
      </c>
      <c r="J460" s="682">
        <v>27462702</v>
      </c>
      <c r="K460" s="682">
        <v>3020897</v>
      </c>
      <c r="L460" s="333">
        <f t="shared" ref="L460" si="106">SUM(J460:K460)</f>
        <v>30483599</v>
      </c>
      <c r="M460" s="333">
        <f t="shared" ref="M460" si="107">H460-I460</f>
        <v>30483600</v>
      </c>
    </row>
    <row r="461" spans="1:13" s="256" customFormat="1" x14ac:dyDescent="0.25">
      <c r="A461" s="274">
        <v>44783</v>
      </c>
      <c r="B461" s="511">
        <v>44778</v>
      </c>
      <c r="C461" s="381" t="s">
        <v>4693</v>
      </c>
      <c r="D461" s="273" t="s">
        <v>304</v>
      </c>
      <c r="E461" s="275" t="s">
        <v>392</v>
      </c>
      <c r="F461" s="272" t="s">
        <v>2644</v>
      </c>
      <c r="G461" s="255" t="s">
        <v>5080</v>
      </c>
      <c r="H461" s="333">
        <v>24041013.5</v>
      </c>
      <c r="I461" s="334">
        <v>129276</v>
      </c>
      <c r="J461" s="682">
        <v>21542105</v>
      </c>
      <c r="K461" s="682">
        <v>2369631</v>
      </c>
      <c r="L461" s="333">
        <f t="shared" ref="L461:L463" si="108">SUM(J461:K461)</f>
        <v>23911736</v>
      </c>
      <c r="M461" s="333">
        <f t="shared" ref="M461:M463" si="109">H461-I461</f>
        <v>23911737.5</v>
      </c>
    </row>
    <row r="462" spans="1:13" s="256" customFormat="1" x14ac:dyDescent="0.25">
      <c r="A462" s="274">
        <v>44783</v>
      </c>
      <c r="B462" s="511">
        <v>44779</v>
      </c>
      <c r="C462" s="381" t="s">
        <v>4694</v>
      </c>
      <c r="D462" s="273" t="s">
        <v>304</v>
      </c>
      <c r="E462" s="275" t="s">
        <v>392</v>
      </c>
      <c r="F462" s="272" t="s">
        <v>2644</v>
      </c>
      <c r="G462" s="255" t="s">
        <v>5081</v>
      </c>
      <c r="H462" s="333">
        <v>13076393.75</v>
      </c>
      <c r="I462" s="334">
        <v>0</v>
      </c>
      <c r="J462" s="682">
        <v>11780534</v>
      </c>
      <c r="K462" s="682">
        <v>1295858</v>
      </c>
      <c r="L462" s="333">
        <f t="shared" si="108"/>
        <v>13076392</v>
      </c>
      <c r="M462" s="333">
        <f t="shared" si="109"/>
        <v>13076393.75</v>
      </c>
    </row>
    <row r="463" spans="1:13" s="256" customFormat="1" x14ac:dyDescent="0.25">
      <c r="A463" s="274">
        <v>44783</v>
      </c>
      <c r="B463" s="511">
        <v>44779</v>
      </c>
      <c r="C463" s="381" t="s">
        <v>4695</v>
      </c>
      <c r="D463" s="273" t="s">
        <v>304</v>
      </c>
      <c r="E463" s="275" t="s">
        <v>392</v>
      </c>
      <c r="F463" s="272" t="s">
        <v>2644</v>
      </c>
      <c r="G463" s="255" t="s">
        <v>5082</v>
      </c>
      <c r="H463" s="333">
        <v>52295932.5</v>
      </c>
      <c r="I463" s="334">
        <v>2262330</v>
      </c>
      <c r="J463" s="682">
        <v>45075317</v>
      </c>
      <c r="K463" s="682">
        <v>4958284</v>
      </c>
      <c r="L463" s="333">
        <f t="shared" si="108"/>
        <v>50033601</v>
      </c>
      <c r="M463" s="333">
        <f t="shared" si="109"/>
        <v>50033602.5</v>
      </c>
    </row>
    <row r="464" spans="1:13" s="256" customFormat="1" x14ac:dyDescent="0.25">
      <c r="A464" s="274">
        <v>44785</v>
      </c>
      <c r="B464" s="511">
        <v>44782</v>
      </c>
      <c r="C464" s="381" t="s">
        <v>5058</v>
      </c>
      <c r="D464" s="273" t="s">
        <v>304</v>
      </c>
      <c r="E464" s="275" t="s">
        <v>392</v>
      </c>
      <c r="F464" s="272" t="s">
        <v>2644</v>
      </c>
      <c r="G464" s="255" t="s">
        <v>5083</v>
      </c>
      <c r="H464" s="333">
        <v>25911060</v>
      </c>
      <c r="I464" s="334">
        <v>0</v>
      </c>
      <c r="J464" s="682">
        <v>23343297</v>
      </c>
      <c r="K464" s="682">
        <v>2567762</v>
      </c>
      <c r="L464" s="333">
        <f t="shared" ref="L464" si="110">SUM(J464:K464)</f>
        <v>25911059</v>
      </c>
      <c r="M464" s="333">
        <f t="shared" ref="M464" si="111">H464-I464</f>
        <v>25911060</v>
      </c>
    </row>
    <row r="465" spans="1:13" s="256" customFormat="1" x14ac:dyDescent="0.25">
      <c r="A465" s="274">
        <v>44788</v>
      </c>
      <c r="B465" s="511">
        <v>44784</v>
      </c>
      <c r="C465" s="381" t="s">
        <v>4845</v>
      </c>
      <c r="D465" s="273" t="s">
        <v>304</v>
      </c>
      <c r="E465" s="275" t="s">
        <v>392</v>
      </c>
      <c r="F465" s="272" t="s">
        <v>2644</v>
      </c>
      <c r="G465" s="255" t="s">
        <v>5086</v>
      </c>
      <c r="H465" s="333">
        <v>29664852</v>
      </c>
      <c r="I465" s="334">
        <v>258552</v>
      </c>
      <c r="J465" s="682">
        <v>26492162</v>
      </c>
      <c r="K465" s="682">
        <v>2914137</v>
      </c>
      <c r="L465" s="333">
        <f t="shared" ref="L465:L466" si="112">SUM(J465:K465)</f>
        <v>29406299</v>
      </c>
      <c r="M465" s="333">
        <f t="shared" ref="M465:M466" si="113">H465-I465</f>
        <v>29406300</v>
      </c>
    </row>
    <row r="466" spans="1:13" s="256" customFormat="1" x14ac:dyDescent="0.25">
      <c r="A466" s="274">
        <v>44788</v>
      </c>
      <c r="B466" s="511">
        <v>44784</v>
      </c>
      <c r="C466" s="381" t="s">
        <v>4846</v>
      </c>
      <c r="D466" s="273" t="s">
        <v>304</v>
      </c>
      <c r="E466" s="275" t="s">
        <v>392</v>
      </c>
      <c r="F466" s="272" t="s">
        <v>2644</v>
      </c>
      <c r="G466" s="255" t="s">
        <v>5087</v>
      </c>
      <c r="H466" s="333">
        <v>53697420</v>
      </c>
      <c r="I466" s="334">
        <v>0</v>
      </c>
      <c r="J466" s="682">
        <v>48376054</v>
      </c>
      <c r="K466" s="682">
        <v>5321365</v>
      </c>
      <c r="L466" s="333">
        <f t="shared" si="112"/>
        <v>53697419</v>
      </c>
      <c r="M466" s="333">
        <f t="shared" si="113"/>
        <v>53697420</v>
      </c>
    </row>
    <row r="467" spans="1:13" s="256" customFormat="1" x14ac:dyDescent="0.25">
      <c r="A467" s="274">
        <v>44791</v>
      </c>
      <c r="B467" s="511">
        <v>44785</v>
      </c>
      <c r="C467" s="381" t="s">
        <v>5059</v>
      </c>
      <c r="D467" s="273" t="s">
        <v>304</v>
      </c>
      <c r="E467" s="669" t="s">
        <v>392</v>
      </c>
      <c r="F467" s="272" t="s">
        <v>2644</v>
      </c>
      <c r="G467" s="255" t="s">
        <v>5084</v>
      </c>
      <c r="H467" s="333">
        <v>15828130.5</v>
      </c>
      <c r="I467" s="334">
        <v>387828</v>
      </c>
      <c r="J467" s="682">
        <v>13910182</v>
      </c>
      <c r="K467" s="682">
        <v>1530120</v>
      </c>
      <c r="L467" s="333">
        <f t="shared" ref="L467:L468" si="114">SUM(J467:K467)</f>
        <v>15440302</v>
      </c>
      <c r="M467" s="333">
        <f t="shared" ref="M467:M468" si="115">H467-I467</f>
        <v>15440302.5</v>
      </c>
    </row>
    <row r="468" spans="1:13" s="256" customFormat="1" x14ac:dyDescent="0.25">
      <c r="A468" s="274">
        <v>44791</v>
      </c>
      <c r="B468" s="511">
        <v>44785</v>
      </c>
      <c r="C468" s="381" t="s">
        <v>5060</v>
      </c>
      <c r="D468" s="273" t="s">
        <v>304</v>
      </c>
      <c r="E468" s="669" t="s">
        <v>392</v>
      </c>
      <c r="F468" s="272" t="s">
        <v>2644</v>
      </c>
      <c r="G468" s="255" t="s">
        <v>5085</v>
      </c>
      <c r="H468" s="333">
        <v>17730562.5</v>
      </c>
      <c r="I468" s="334">
        <v>0</v>
      </c>
      <c r="J468" s="682">
        <v>15973479</v>
      </c>
      <c r="K468" s="682">
        <v>1757082</v>
      </c>
      <c r="L468" s="333">
        <f t="shared" si="114"/>
        <v>17730561</v>
      </c>
      <c r="M468" s="333">
        <f t="shared" si="115"/>
        <v>17730562.5</v>
      </c>
    </row>
    <row r="469" spans="1:13" s="256" customFormat="1" x14ac:dyDescent="0.25">
      <c r="A469" s="274">
        <v>44793</v>
      </c>
      <c r="B469" s="511">
        <v>44789</v>
      </c>
      <c r="C469" s="381" t="s">
        <v>4924</v>
      </c>
      <c r="D469" s="273" t="s">
        <v>304</v>
      </c>
      <c r="E469" s="669" t="s">
        <v>392</v>
      </c>
      <c r="F469" s="272" t="s">
        <v>2644</v>
      </c>
      <c r="G469" s="255" t="s">
        <v>5582</v>
      </c>
      <c r="H469" s="333">
        <v>13509342</v>
      </c>
      <c r="I469" s="334">
        <v>258552</v>
      </c>
      <c r="J469" s="682">
        <v>11937648</v>
      </c>
      <c r="K469" s="682">
        <v>1313141</v>
      </c>
      <c r="L469" s="333">
        <f t="shared" ref="L469:L470" si="116">SUM(J469:K469)</f>
        <v>13250789</v>
      </c>
      <c r="M469" s="333">
        <f t="shared" ref="M469:M470" si="117">H469-I469</f>
        <v>13250790</v>
      </c>
    </row>
    <row r="470" spans="1:13" s="256" customFormat="1" x14ac:dyDescent="0.25">
      <c r="A470" s="274">
        <v>44793</v>
      </c>
      <c r="B470" s="511">
        <v>44789</v>
      </c>
      <c r="C470" s="381" t="s">
        <v>4925</v>
      </c>
      <c r="D470" s="273" t="s">
        <v>304</v>
      </c>
      <c r="E470" s="669" t="s">
        <v>392</v>
      </c>
      <c r="F470" s="272" t="s">
        <v>2644</v>
      </c>
      <c r="G470" s="255" t="s">
        <v>5583</v>
      </c>
      <c r="H470" s="333">
        <v>17306625</v>
      </c>
      <c r="I470" s="334">
        <v>0</v>
      </c>
      <c r="J470" s="682">
        <v>15591554</v>
      </c>
      <c r="K470" s="682">
        <v>1715070</v>
      </c>
      <c r="L470" s="333">
        <f t="shared" si="116"/>
        <v>17306624</v>
      </c>
      <c r="M470" s="333">
        <f t="shared" si="117"/>
        <v>17306625</v>
      </c>
    </row>
    <row r="471" spans="1:13" s="256" customFormat="1" x14ac:dyDescent="0.25">
      <c r="A471" s="274">
        <v>44795</v>
      </c>
      <c r="B471" s="511">
        <v>44791</v>
      </c>
      <c r="C471" s="381" t="s">
        <v>4934</v>
      </c>
      <c r="D471" s="273" t="s">
        <v>304</v>
      </c>
      <c r="E471" s="669" t="s">
        <v>392</v>
      </c>
      <c r="F471" s="272" t="s">
        <v>2644</v>
      </c>
      <c r="G471" s="255" t="s">
        <v>5584</v>
      </c>
      <c r="H471" s="333">
        <v>73199542.5</v>
      </c>
      <c r="I471" s="334">
        <v>2010900</v>
      </c>
      <c r="J471" s="682">
        <v>64133858</v>
      </c>
      <c r="K471" s="682">
        <v>7054724</v>
      </c>
      <c r="L471" s="333">
        <f t="shared" ref="L471:L472" si="118">SUM(J471:K471)</f>
        <v>71188582</v>
      </c>
      <c r="M471" s="333">
        <f t="shared" ref="M471:M472" si="119">H471-I471</f>
        <v>71188642.5</v>
      </c>
    </row>
    <row r="472" spans="1:13" s="256" customFormat="1" x14ac:dyDescent="0.25">
      <c r="A472" s="274">
        <v>44795</v>
      </c>
      <c r="B472" s="511">
        <v>44791</v>
      </c>
      <c r="C472" s="381" t="s">
        <v>4935</v>
      </c>
      <c r="D472" s="273" t="s">
        <v>304</v>
      </c>
      <c r="E472" s="669" t="s">
        <v>392</v>
      </c>
      <c r="F472" s="272" t="s">
        <v>2644</v>
      </c>
      <c r="G472" s="255" t="s">
        <v>5585</v>
      </c>
      <c r="H472" s="333">
        <v>15010380</v>
      </c>
      <c r="I472" s="334">
        <v>377055</v>
      </c>
      <c r="J472" s="682">
        <v>13183175</v>
      </c>
      <c r="K472" s="682">
        <v>1450149</v>
      </c>
      <c r="L472" s="333">
        <f t="shared" si="118"/>
        <v>14633324</v>
      </c>
      <c r="M472" s="333">
        <f t="shared" si="119"/>
        <v>14633325</v>
      </c>
    </row>
    <row r="473" spans="1:13" s="256" customFormat="1" x14ac:dyDescent="0.25">
      <c r="A473" s="274">
        <v>44797</v>
      </c>
      <c r="B473" s="511">
        <v>44792</v>
      </c>
      <c r="C473" s="381" t="s">
        <v>4936</v>
      </c>
      <c r="D473" s="273" t="s">
        <v>304</v>
      </c>
      <c r="E473" s="669" t="s">
        <v>392</v>
      </c>
      <c r="F473" s="272" t="s">
        <v>2644</v>
      </c>
      <c r="G473" s="255" t="s">
        <v>5586</v>
      </c>
      <c r="H473" s="333">
        <v>22796865</v>
      </c>
      <c r="I473" s="334">
        <v>628425</v>
      </c>
      <c r="J473" s="682">
        <v>19971567</v>
      </c>
      <c r="K473" s="682">
        <v>2196872</v>
      </c>
      <c r="L473" s="333">
        <f t="shared" ref="L473:L474" si="120">SUM(J473:K473)</f>
        <v>22168439</v>
      </c>
      <c r="M473" s="333">
        <f t="shared" ref="M473:M474" si="121">H473-I473</f>
        <v>22168440</v>
      </c>
    </row>
    <row r="474" spans="1:13" s="256" customFormat="1" x14ac:dyDescent="0.25">
      <c r="A474" s="274">
        <v>44797</v>
      </c>
      <c r="B474" s="511">
        <v>44793</v>
      </c>
      <c r="C474" s="381" t="s">
        <v>4937</v>
      </c>
      <c r="D474" s="273" t="s">
        <v>304</v>
      </c>
      <c r="E474" s="669" t="s">
        <v>392</v>
      </c>
      <c r="F474" s="272" t="s">
        <v>2644</v>
      </c>
      <c r="G474" s="255" t="s">
        <v>5587</v>
      </c>
      <c r="H474" s="333">
        <v>9807420</v>
      </c>
      <c r="I474" s="334">
        <v>0</v>
      </c>
      <c r="J474" s="682">
        <v>8835513</v>
      </c>
      <c r="K474" s="682">
        <v>971906</v>
      </c>
      <c r="L474" s="333">
        <f t="shared" si="120"/>
        <v>9807419</v>
      </c>
      <c r="M474" s="333">
        <f t="shared" si="121"/>
        <v>9807420</v>
      </c>
    </row>
    <row r="475" spans="1:13" s="256" customFormat="1" x14ac:dyDescent="0.25">
      <c r="A475" s="274">
        <v>44798</v>
      </c>
      <c r="B475" s="511">
        <v>44795</v>
      </c>
      <c r="C475" s="381" t="s">
        <v>4941</v>
      </c>
      <c r="D475" s="273" t="s">
        <v>304</v>
      </c>
      <c r="E475" s="669" t="s">
        <v>392</v>
      </c>
      <c r="F475" s="272" t="s">
        <v>2644</v>
      </c>
      <c r="G475" s="255" t="s">
        <v>5588</v>
      </c>
      <c r="H475" s="333">
        <v>3750600</v>
      </c>
      <c r="I475" s="334">
        <v>1</v>
      </c>
      <c r="J475" s="682">
        <v>3378918</v>
      </c>
      <c r="K475" s="682">
        <v>371681</v>
      </c>
      <c r="L475" s="333">
        <f t="shared" ref="L475" si="122">SUM(J475:K475)</f>
        <v>3750599</v>
      </c>
      <c r="M475" s="333">
        <f t="shared" ref="M475" si="123">H475-I475</f>
        <v>3750599</v>
      </c>
    </row>
    <row r="476" spans="1:13" s="256" customFormat="1" x14ac:dyDescent="0.25">
      <c r="A476" s="274">
        <v>44799</v>
      </c>
      <c r="B476" s="511">
        <v>44796</v>
      </c>
      <c r="C476" s="381" t="s">
        <v>4972</v>
      </c>
      <c r="D476" s="273" t="s">
        <v>304</v>
      </c>
      <c r="E476" s="669" t="s">
        <v>392</v>
      </c>
      <c r="F476" s="272" t="s">
        <v>2644</v>
      </c>
      <c r="G476" s="255" t="s">
        <v>5589</v>
      </c>
      <c r="H476" s="333">
        <v>13107150</v>
      </c>
      <c r="I476" s="334">
        <v>0</v>
      </c>
      <c r="J476" s="682">
        <v>11808243</v>
      </c>
      <c r="K476" s="682">
        <v>1298906</v>
      </c>
      <c r="L476" s="333">
        <f t="shared" ref="L476:L485" si="124">SUM(J476:K476)</f>
        <v>13107149</v>
      </c>
      <c r="M476" s="333">
        <f t="shared" ref="M476:M485" si="125">H476-I476</f>
        <v>13107150</v>
      </c>
    </row>
    <row r="477" spans="1:13" s="256" customFormat="1" x14ac:dyDescent="0.25">
      <c r="A477" s="274">
        <v>44799</v>
      </c>
      <c r="B477" s="511">
        <v>44796</v>
      </c>
      <c r="C477" s="381" t="s">
        <v>4973</v>
      </c>
      <c r="D477" s="273" t="s">
        <v>304</v>
      </c>
      <c r="E477" s="669" t="s">
        <v>392</v>
      </c>
      <c r="F477" s="272" t="s">
        <v>2644</v>
      </c>
      <c r="G477" s="255" t="s">
        <v>5590</v>
      </c>
      <c r="H477" s="333">
        <v>6619410</v>
      </c>
      <c r="I477" s="334">
        <v>0</v>
      </c>
      <c r="J477" s="682">
        <v>5963432</v>
      </c>
      <c r="K477" s="682">
        <v>655977</v>
      </c>
      <c r="L477" s="333">
        <f t="shared" si="124"/>
        <v>6619409</v>
      </c>
      <c r="M477" s="333">
        <f t="shared" si="125"/>
        <v>6619410</v>
      </c>
    </row>
    <row r="478" spans="1:13" s="256" customFormat="1" x14ac:dyDescent="0.25">
      <c r="A478" s="274">
        <v>44800</v>
      </c>
      <c r="B478" s="511">
        <v>44797</v>
      </c>
      <c r="C478" s="381" t="s">
        <v>4992</v>
      </c>
      <c r="D478" s="273" t="s">
        <v>304</v>
      </c>
      <c r="E478" s="669" t="s">
        <v>392</v>
      </c>
      <c r="F478" s="272" t="s">
        <v>2644</v>
      </c>
      <c r="G478" s="255" t="s">
        <v>5591</v>
      </c>
      <c r="H478" s="333">
        <v>4349100</v>
      </c>
      <c r="I478" s="334">
        <v>0</v>
      </c>
      <c r="J478" s="682">
        <v>3918108</v>
      </c>
      <c r="K478" s="682">
        <v>430991</v>
      </c>
      <c r="L478" s="333">
        <f t="shared" si="124"/>
        <v>4349099</v>
      </c>
      <c r="M478" s="333">
        <f t="shared" si="125"/>
        <v>4349100</v>
      </c>
    </row>
    <row r="479" spans="1:13" s="256" customFormat="1" x14ac:dyDescent="0.25">
      <c r="A479" s="274">
        <v>44800</v>
      </c>
      <c r="B479" s="511">
        <v>44797</v>
      </c>
      <c r="C479" s="381" t="s">
        <v>4993</v>
      </c>
      <c r="D479" s="273" t="s">
        <v>304</v>
      </c>
      <c r="E479" s="669" t="s">
        <v>392</v>
      </c>
      <c r="F479" s="272" t="s">
        <v>2644</v>
      </c>
      <c r="G479" s="255" t="s">
        <v>5592</v>
      </c>
      <c r="H479" s="333">
        <v>20748665</v>
      </c>
      <c r="I479" s="334">
        <v>0</v>
      </c>
      <c r="J479" s="682">
        <v>18692490</v>
      </c>
      <c r="K479" s="682">
        <v>2056174</v>
      </c>
      <c r="L479" s="333">
        <f t="shared" si="124"/>
        <v>20748664</v>
      </c>
      <c r="M479" s="333">
        <f t="shared" si="125"/>
        <v>20748665</v>
      </c>
    </row>
    <row r="480" spans="1:13" s="256" customFormat="1" x14ac:dyDescent="0.25">
      <c r="A480" s="274">
        <v>44800</v>
      </c>
      <c r="B480" s="511">
        <v>44797</v>
      </c>
      <c r="C480" s="381" t="s">
        <v>4994</v>
      </c>
      <c r="D480" s="273" t="s">
        <v>304</v>
      </c>
      <c r="E480" s="669" t="s">
        <v>392</v>
      </c>
      <c r="F480" s="272" t="s">
        <v>2644</v>
      </c>
      <c r="G480" s="255" t="s">
        <v>5593</v>
      </c>
      <c r="H480" s="333">
        <v>34305022.5</v>
      </c>
      <c r="I480" s="334">
        <v>0</v>
      </c>
      <c r="J480" s="682">
        <v>30905425</v>
      </c>
      <c r="K480" s="682">
        <v>3399596</v>
      </c>
      <c r="L480" s="333">
        <f t="shared" si="124"/>
        <v>34305021</v>
      </c>
      <c r="M480" s="333">
        <f t="shared" si="125"/>
        <v>34305022.5</v>
      </c>
    </row>
    <row r="481" spans="1:13" s="256" customFormat="1" x14ac:dyDescent="0.25">
      <c r="A481" s="274">
        <v>44800</v>
      </c>
      <c r="B481" s="511">
        <v>44797</v>
      </c>
      <c r="C481" s="381" t="s">
        <v>4995</v>
      </c>
      <c r="D481" s="273" t="s">
        <v>304</v>
      </c>
      <c r="E481" s="669" t="s">
        <v>392</v>
      </c>
      <c r="F481" s="272" t="s">
        <v>2644</v>
      </c>
      <c r="G481" s="255" t="s">
        <v>5594</v>
      </c>
      <c r="H481" s="333">
        <v>22944285</v>
      </c>
      <c r="I481" s="334">
        <v>0</v>
      </c>
      <c r="J481" s="682">
        <v>20670527</v>
      </c>
      <c r="K481" s="682">
        <v>2273757</v>
      </c>
      <c r="L481" s="333">
        <f t="shared" si="124"/>
        <v>22944284</v>
      </c>
      <c r="M481" s="333">
        <f t="shared" si="125"/>
        <v>22944285</v>
      </c>
    </row>
    <row r="482" spans="1:13" s="256" customFormat="1" x14ac:dyDescent="0.25">
      <c r="A482" s="274">
        <v>44800</v>
      </c>
      <c r="B482" s="511">
        <v>44797</v>
      </c>
      <c r="C482" s="381" t="s">
        <v>4996</v>
      </c>
      <c r="D482" s="273" t="s">
        <v>304</v>
      </c>
      <c r="E482" s="669" t="s">
        <v>392</v>
      </c>
      <c r="F482" s="272" t="s">
        <v>2644</v>
      </c>
      <c r="G482" s="255" t="s">
        <v>5595</v>
      </c>
      <c r="H482" s="333">
        <v>5119170</v>
      </c>
      <c r="I482" s="334">
        <v>94392</v>
      </c>
      <c r="J482" s="682">
        <v>4529189</v>
      </c>
      <c r="K482" s="682">
        <v>498210</v>
      </c>
      <c r="L482" s="333">
        <f t="shared" si="124"/>
        <v>5027399</v>
      </c>
      <c r="M482" s="333">
        <f t="shared" si="125"/>
        <v>5024778</v>
      </c>
    </row>
    <row r="483" spans="1:13" s="256" customFormat="1" x14ac:dyDescent="0.25">
      <c r="A483" s="274">
        <v>44800</v>
      </c>
      <c r="B483" s="511">
        <v>44797</v>
      </c>
      <c r="C483" s="381" t="s">
        <v>4997</v>
      </c>
      <c r="D483" s="273" t="s">
        <v>304</v>
      </c>
      <c r="E483" s="669" t="s">
        <v>392</v>
      </c>
      <c r="F483" s="272" t="s">
        <v>2644</v>
      </c>
      <c r="G483" s="255" t="s">
        <v>5596</v>
      </c>
      <c r="H483" s="333">
        <v>29516856.25</v>
      </c>
      <c r="I483" s="334">
        <v>0</v>
      </c>
      <c r="J483" s="682">
        <v>22191978</v>
      </c>
      <c r="K483" s="682">
        <v>2441117</v>
      </c>
      <c r="L483" s="333">
        <f t="shared" si="124"/>
        <v>24633095</v>
      </c>
      <c r="M483" s="333">
        <f t="shared" si="125"/>
        <v>29516856.25</v>
      </c>
    </row>
    <row r="484" spans="1:13" s="256" customFormat="1" x14ac:dyDescent="0.25">
      <c r="A484" s="274">
        <v>44800</v>
      </c>
      <c r="B484" s="511">
        <v>44797</v>
      </c>
      <c r="C484" s="381" t="s">
        <v>4998</v>
      </c>
      <c r="D484" s="273" t="s">
        <v>304</v>
      </c>
      <c r="E484" s="669" t="s">
        <v>392</v>
      </c>
      <c r="F484" s="272" t="s">
        <v>2644</v>
      </c>
      <c r="G484" s="255" t="s">
        <v>5597</v>
      </c>
      <c r="H484" s="333">
        <v>60288610.5</v>
      </c>
      <c r="I484" s="334">
        <v>849528</v>
      </c>
      <c r="J484" s="682">
        <v>53548722</v>
      </c>
      <c r="K484" s="682">
        <v>5890359</v>
      </c>
      <c r="L484" s="333">
        <f t="shared" si="124"/>
        <v>59439081</v>
      </c>
      <c r="M484" s="333">
        <f t="shared" si="125"/>
        <v>59439082.5</v>
      </c>
    </row>
    <row r="485" spans="1:13" s="256" customFormat="1" x14ac:dyDescent="0.25">
      <c r="A485" s="274">
        <v>44802</v>
      </c>
      <c r="B485" s="511">
        <v>44798</v>
      </c>
      <c r="C485" s="381" t="s">
        <v>4999</v>
      </c>
      <c r="D485" s="273" t="s">
        <v>304</v>
      </c>
      <c r="E485" s="669" t="s">
        <v>392</v>
      </c>
      <c r="F485" s="272" t="s">
        <v>2644</v>
      </c>
      <c r="G485" s="255" t="s">
        <v>5598</v>
      </c>
      <c r="H485" s="333">
        <v>9528120</v>
      </c>
      <c r="I485" s="334">
        <v>0</v>
      </c>
      <c r="J485" s="682">
        <v>8583891</v>
      </c>
      <c r="K485" s="682">
        <v>944228</v>
      </c>
      <c r="L485" s="333">
        <f t="shared" si="124"/>
        <v>9528119</v>
      </c>
      <c r="M485" s="333">
        <f t="shared" si="125"/>
        <v>9528120</v>
      </c>
    </row>
    <row r="486" spans="1:13" s="256" customFormat="1" x14ac:dyDescent="0.25">
      <c r="A486" s="274">
        <v>44802</v>
      </c>
      <c r="B486" s="511">
        <v>44798</v>
      </c>
      <c r="C486" s="381" t="s">
        <v>5000</v>
      </c>
      <c r="D486" s="273" t="s">
        <v>304</v>
      </c>
      <c r="E486" s="669" t="s">
        <v>392</v>
      </c>
      <c r="F486" s="272" t="s">
        <v>2644</v>
      </c>
      <c r="G486" s="255" t="s">
        <v>5599</v>
      </c>
      <c r="H486" s="333">
        <v>47750325</v>
      </c>
      <c r="I486" s="334">
        <v>1376550</v>
      </c>
      <c r="J486" s="682">
        <v>41778175</v>
      </c>
      <c r="K486" s="682">
        <v>4595599</v>
      </c>
      <c r="L486" s="333">
        <f>SUM(J486:K486)</f>
        <v>46373774</v>
      </c>
      <c r="M486" s="333">
        <f>H486-I486</f>
        <v>46373775</v>
      </c>
    </row>
    <row r="487" spans="1:13" s="256" customFormat="1" x14ac:dyDescent="0.25">
      <c r="A487" s="274">
        <v>44805</v>
      </c>
      <c r="B487" s="511">
        <v>44799</v>
      </c>
      <c r="C487" s="381" t="s">
        <v>5001</v>
      </c>
      <c r="D487" s="273" t="s">
        <v>304</v>
      </c>
      <c r="E487" s="669" t="s">
        <v>392</v>
      </c>
      <c r="F487" s="272" t="s">
        <v>2644</v>
      </c>
      <c r="G487" s="255" t="s">
        <v>5600</v>
      </c>
      <c r="H487" s="333">
        <v>13657770</v>
      </c>
      <c r="I487" s="334">
        <v>0</v>
      </c>
      <c r="J487" s="682">
        <v>12304297</v>
      </c>
      <c r="K487" s="682">
        <v>1353472</v>
      </c>
      <c r="L487" s="333">
        <f t="shared" ref="L487:L488" si="126">SUM(J487:K487)</f>
        <v>13657769</v>
      </c>
      <c r="M487" s="333">
        <f t="shared" ref="M487:M488" si="127">H487-I487</f>
        <v>13657770</v>
      </c>
    </row>
    <row r="488" spans="1:13" s="256" customFormat="1" x14ac:dyDescent="0.25">
      <c r="A488" s="274">
        <v>44805</v>
      </c>
      <c r="B488" s="511">
        <v>44800</v>
      </c>
      <c r="C488" s="381" t="s">
        <v>5002</v>
      </c>
      <c r="D488" s="273" t="s">
        <v>304</v>
      </c>
      <c r="E488" s="669" t="s">
        <v>392</v>
      </c>
      <c r="F488" s="272" t="s">
        <v>2644</v>
      </c>
      <c r="G488" s="255" t="s">
        <v>5601</v>
      </c>
      <c r="H488" s="333">
        <v>21463977</v>
      </c>
      <c r="I488" s="334">
        <v>566352</v>
      </c>
      <c r="J488" s="682">
        <v>18826689</v>
      </c>
      <c r="K488" s="682">
        <v>2070935</v>
      </c>
      <c r="L488" s="333">
        <f t="shared" si="126"/>
        <v>20897624</v>
      </c>
      <c r="M488" s="333">
        <f t="shared" si="127"/>
        <v>20897625</v>
      </c>
    </row>
    <row r="489" spans="1:13" s="256" customFormat="1" x14ac:dyDescent="0.25">
      <c r="A489" s="274">
        <v>44806</v>
      </c>
      <c r="B489" s="511">
        <v>44803</v>
      </c>
      <c r="C489" s="381" t="s">
        <v>5061</v>
      </c>
      <c r="D489" s="273" t="s">
        <v>304</v>
      </c>
      <c r="E489" s="669" t="s">
        <v>392</v>
      </c>
      <c r="F489" s="272" t="s">
        <v>2644</v>
      </c>
      <c r="G489" s="255" t="s">
        <v>5602</v>
      </c>
      <c r="H489" s="333">
        <v>23833467</v>
      </c>
      <c r="I489" s="334">
        <v>330372</v>
      </c>
      <c r="J489" s="682">
        <v>21173959</v>
      </c>
      <c r="K489" s="682">
        <v>2329135</v>
      </c>
      <c r="L489" s="333">
        <f t="shared" ref="L489:L490" si="128">SUM(J489:K489)</f>
        <v>23503094</v>
      </c>
      <c r="M489" s="333">
        <f t="shared" ref="M489:M490" si="129">H489-I489</f>
        <v>23503095</v>
      </c>
    </row>
    <row r="490" spans="1:13" s="256" customFormat="1" x14ac:dyDescent="0.25">
      <c r="A490" s="274">
        <v>44807</v>
      </c>
      <c r="B490" s="511">
        <v>44804</v>
      </c>
      <c r="C490" s="381" t="s">
        <v>5062</v>
      </c>
      <c r="D490" s="273" t="s">
        <v>304</v>
      </c>
      <c r="E490" s="669" t="s">
        <v>392</v>
      </c>
      <c r="F490" s="272" t="s">
        <v>2644</v>
      </c>
      <c r="G490" s="255" t="s">
        <v>5603</v>
      </c>
      <c r="H490" s="333">
        <v>20396880</v>
      </c>
      <c r="I490" s="334">
        <v>0</v>
      </c>
      <c r="J490" s="682">
        <v>18375567</v>
      </c>
      <c r="K490" s="682">
        <v>2021312</v>
      </c>
      <c r="L490" s="333">
        <f t="shared" si="128"/>
        <v>20396879</v>
      </c>
      <c r="M490" s="333">
        <f t="shared" si="129"/>
        <v>20396880</v>
      </c>
    </row>
    <row r="491" spans="1:13" s="256" customFormat="1" x14ac:dyDescent="0.25">
      <c r="A491" s="274">
        <v>44795</v>
      </c>
      <c r="B491" s="511">
        <v>44791</v>
      </c>
      <c r="C491" s="381" t="s">
        <v>4931</v>
      </c>
      <c r="D491" s="670" t="s">
        <v>321</v>
      </c>
      <c r="E491" s="669" t="s">
        <v>393</v>
      </c>
      <c r="F491" s="668" t="s">
        <v>394</v>
      </c>
      <c r="G491" s="255" t="s">
        <v>4981</v>
      </c>
      <c r="H491" s="333">
        <f>13588567.61+1449900.16</f>
        <v>15038467.77</v>
      </c>
      <c r="I491" s="334">
        <v>407657.03</v>
      </c>
      <c r="J491" s="682">
        <v>13180909</v>
      </c>
      <c r="K491" s="682">
        <v>1449900</v>
      </c>
      <c r="L491" s="333">
        <f t="shared" si="100"/>
        <v>14630809</v>
      </c>
      <c r="M491" s="333">
        <f t="shared" si="101"/>
        <v>14630810.74</v>
      </c>
    </row>
    <row r="492" spans="1:13" s="256" customFormat="1" x14ac:dyDescent="0.25">
      <c r="A492" s="274">
        <v>44795</v>
      </c>
      <c r="B492" s="511">
        <v>44791</v>
      </c>
      <c r="C492" s="381" t="s">
        <v>4932</v>
      </c>
      <c r="D492" s="670" t="s">
        <v>321</v>
      </c>
      <c r="E492" s="669" t="s">
        <v>393</v>
      </c>
      <c r="F492" s="668" t="s">
        <v>394</v>
      </c>
      <c r="G492" s="255" t="s">
        <v>4982</v>
      </c>
      <c r="H492" s="333">
        <f>4216329.73+458694.65</f>
        <v>4675024.3800000008</v>
      </c>
      <c r="I492" s="334">
        <v>46378.38</v>
      </c>
      <c r="J492" s="682">
        <v>4169948</v>
      </c>
      <c r="K492" s="682">
        <v>458694</v>
      </c>
      <c r="L492" s="333">
        <f t="shared" ref="L492" si="130">SUM(J492:K492)</f>
        <v>4628642</v>
      </c>
      <c r="M492" s="333">
        <f t="shared" ref="M492" si="131">H492-I492</f>
        <v>4628646.0000000009</v>
      </c>
    </row>
    <row r="493" spans="1:13" s="256" customFormat="1" x14ac:dyDescent="0.25">
      <c r="A493" s="274">
        <v>44782</v>
      </c>
      <c r="B493" s="511">
        <v>44777</v>
      </c>
      <c r="C493" s="381" t="s">
        <v>4620</v>
      </c>
      <c r="D493" s="273" t="s">
        <v>317</v>
      </c>
      <c r="E493" s="275" t="s">
        <v>395</v>
      </c>
      <c r="F493" s="272" t="s">
        <v>396</v>
      </c>
      <c r="G493" s="255" t="s">
        <v>5088</v>
      </c>
      <c r="H493" s="333">
        <v>15078875</v>
      </c>
      <c r="I493" s="334">
        <v>0</v>
      </c>
      <c r="J493" s="682">
        <v>13584572</v>
      </c>
      <c r="K493" s="682">
        <v>1494302</v>
      </c>
      <c r="L493" s="333">
        <f t="shared" si="100"/>
        <v>15078874</v>
      </c>
      <c r="M493" s="333">
        <f t="shared" si="101"/>
        <v>15078875</v>
      </c>
    </row>
    <row r="494" spans="1:13" s="256" customFormat="1" x14ac:dyDescent="0.25">
      <c r="A494" s="274">
        <v>44798</v>
      </c>
      <c r="B494" s="511">
        <v>44795</v>
      </c>
      <c r="C494" s="381" t="s">
        <v>4942</v>
      </c>
      <c r="D494" s="273" t="s">
        <v>317</v>
      </c>
      <c r="E494" s="275" t="s">
        <v>395</v>
      </c>
      <c r="F494" s="272" t="s">
        <v>396</v>
      </c>
      <c r="G494" s="255" t="s">
        <v>5089</v>
      </c>
      <c r="H494" s="333">
        <v>13699000</v>
      </c>
      <c r="I494" s="334">
        <v>0</v>
      </c>
      <c r="J494" s="682">
        <v>12341441</v>
      </c>
      <c r="K494" s="682">
        <v>1357558</v>
      </c>
      <c r="L494" s="333">
        <f t="shared" ref="L494" si="132">SUM(J494:K494)</f>
        <v>13698999</v>
      </c>
      <c r="M494" s="333">
        <f t="shared" ref="M494" si="133">H494-I494</f>
        <v>13699000</v>
      </c>
    </row>
    <row r="495" spans="1:13" s="256" customFormat="1" x14ac:dyDescent="0.25">
      <c r="A495" s="274">
        <v>44805</v>
      </c>
      <c r="B495" s="511">
        <v>44800</v>
      </c>
      <c r="C495" s="381" t="s">
        <v>5003</v>
      </c>
      <c r="D495" s="273" t="s">
        <v>317</v>
      </c>
      <c r="E495" s="275" t="s">
        <v>395</v>
      </c>
      <c r="F495" s="272" t="s">
        <v>396</v>
      </c>
      <c r="G495" s="255" t="s">
        <v>5090</v>
      </c>
      <c r="H495" s="333">
        <v>23441250</v>
      </c>
      <c r="I495" s="334">
        <v>0</v>
      </c>
      <c r="J495" s="682">
        <v>21118243</v>
      </c>
      <c r="K495" s="682">
        <v>2323006</v>
      </c>
      <c r="L495" s="333">
        <f t="shared" ref="L495" si="134">SUM(J495:K495)</f>
        <v>23441249</v>
      </c>
      <c r="M495" s="333">
        <f t="shared" ref="M495" si="135">H495-I495</f>
        <v>23441250</v>
      </c>
    </row>
    <row r="496" spans="1:13" s="256" customFormat="1" x14ac:dyDescent="0.25">
      <c r="A496" s="274">
        <v>44807</v>
      </c>
      <c r="B496" s="511">
        <v>44804</v>
      </c>
      <c r="C496" s="381" t="s">
        <v>5063</v>
      </c>
      <c r="D496" s="273" t="s">
        <v>317</v>
      </c>
      <c r="E496" s="275" t="s">
        <v>395</v>
      </c>
      <c r="F496" s="272" t="s">
        <v>396</v>
      </c>
      <c r="G496" s="255" t="s">
        <v>5091</v>
      </c>
      <c r="H496" s="333">
        <v>4688250</v>
      </c>
      <c r="I496" s="334">
        <v>0</v>
      </c>
      <c r="J496" s="682">
        <v>4223648</v>
      </c>
      <c r="K496" s="682">
        <v>464601</v>
      </c>
      <c r="L496" s="333">
        <f t="shared" ref="L496" si="136">SUM(J496:K496)</f>
        <v>4688249</v>
      </c>
      <c r="M496" s="333">
        <f t="shared" ref="M496" si="137">H496-I496</f>
        <v>4688250</v>
      </c>
    </row>
    <row r="497" spans="1:13" s="256" customFormat="1" x14ac:dyDescent="0.25">
      <c r="A497" s="274">
        <v>44774</v>
      </c>
      <c r="B497" s="511">
        <v>44774</v>
      </c>
      <c r="C497" s="381" t="s">
        <v>4579</v>
      </c>
      <c r="D497" s="273" t="s">
        <v>400</v>
      </c>
      <c r="E497" s="275" t="s">
        <v>401</v>
      </c>
      <c r="F497" s="272" t="s">
        <v>402</v>
      </c>
      <c r="G497" s="255" t="s">
        <v>4943</v>
      </c>
      <c r="H497" s="333">
        <v>90892800</v>
      </c>
      <c r="I497" s="334">
        <v>15451776</v>
      </c>
      <c r="J497" s="682">
        <v>67964886.48648648</v>
      </c>
      <c r="K497" s="682">
        <v>7476137</v>
      </c>
      <c r="L497" s="333">
        <f t="shared" si="100"/>
        <v>75441023.48648648</v>
      </c>
      <c r="M497" s="333">
        <f t="shared" si="101"/>
        <v>75441024</v>
      </c>
    </row>
    <row r="498" spans="1:13" s="256" customFormat="1" x14ac:dyDescent="0.25">
      <c r="A498" s="274">
        <v>44777</v>
      </c>
      <c r="B498" s="511">
        <v>44774</v>
      </c>
      <c r="C498" s="381" t="s">
        <v>4580</v>
      </c>
      <c r="D498" s="273" t="s">
        <v>400</v>
      </c>
      <c r="E498" s="275" t="s">
        <v>401</v>
      </c>
      <c r="F498" s="272" t="s">
        <v>402</v>
      </c>
      <c r="G498" s="255" t="s">
        <v>4944</v>
      </c>
      <c r="H498" s="333">
        <v>101834400</v>
      </c>
      <c r="I498" s="334">
        <v>17311848</v>
      </c>
      <c r="J498" s="682">
        <v>76146443.243243232</v>
      </c>
      <c r="K498" s="682">
        <v>8376108</v>
      </c>
      <c r="L498" s="333">
        <f t="shared" ref="L498:L500" si="138">SUM(J498:K498)</f>
        <v>84522551.243243232</v>
      </c>
      <c r="M498" s="333">
        <f t="shared" ref="M498:M500" si="139">H498-I498</f>
        <v>84522552</v>
      </c>
    </row>
    <row r="499" spans="1:13" s="256" customFormat="1" x14ac:dyDescent="0.25">
      <c r="A499" s="274">
        <v>44777</v>
      </c>
      <c r="B499" s="511">
        <v>44774</v>
      </c>
      <c r="C499" s="381" t="s">
        <v>4581</v>
      </c>
      <c r="D499" s="273" t="s">
        <v>400</v>
      </c>
      <c r="E499" s="275" t="s">
        <v>401</v>
      </c>
      <c r="F499" s="272" t="s">
        <v>402</v>
      </c>
      <c r="G499" s="255" t="s">
        <v>4945</v>
      </c>
      <c r="H499" s="333">
        <v>27882000</v>
      </c>
      <c r="I499" s="334">
        <v>4739940</v>
      </c>
      <c r="J499" s="682">
        <v>20848702</v>
      </c>
      <c r="K499" s="682">
        <v>2293357</v>
      </c>
      <c r="L499" s="333">
        <f t="shared" si="138"/>
        <v>23142059</v>
      </c>
      <c r="M499" s="333">
        <f t="shared" si="139"/>
        <v>23142060</v>
      </c>
    </row>
    <row r="500" spans="1:13" s="256" customFormat="1" x14ac:dyDescent="0.25">
      <c r="A500" s="274">
        <v>44777</v>
      </c>
      <c r="B500" s="511">
        <v>44775</v>
      </c>
      <c r="C500" s="381" t="s">
        <v>4582</v>
      </c>
      <c r="D500" s="273" t="s">
        <v>400</v>
      </c>
      <c r="E500" s="275" t="s">
        <v>401</v>
      </c>
      <c r="F500" s="272" t="s">
        <v>402</v>
      </c>
      <c r="G500" s="255" t="s">
        <v>4946</v>
      </c>
      <c r="H500" s="333">
        <v>42339200</v>
      </c>
      <c r="I500" s="334">
        <v>7197664</v>
      </c>
      <c r="J500" s="682">
        <v>31659041</v>
      </c>
      <c r="K500" s="682">
        <v>3482494</v>
      </c>
      <c r="L500" s="333">
        <f t="shared" si="138"/>
        <v>35141535</v>
      </c>
      <c r="M500" s="333">
        <f t="shared" si="139"/>
        <v>35141536</v>
      </c>
    </row>
    <row r="501" spans="1:13" s="256" customFormat="1" x14ac:dyDescent="0.25">
      <c r="A501" s="274">
        <v>44781</v>
      </c>
      <c r="B501" s="511">
        <v>44776</v>
      </c>
      <c r="C501" s="381" t="s">
        <v>4612</v>
      </c>
      <c r="D501" s="273" t="s">
        <v>400</v>
      </c>
      <c r="E501" s="275" t="s">
        <v>401</v>
      </c>
      <c r="F501" s="272" t="s">
        <v>402</v>
      </c>
      <c r="G501" s="255" t="s">
        <v>4947</v>
      </c>
      <c r="H501" s="333">
        <v>44568000</v>
      </c>
      <c r="I501" s="334">
        <v>7576560</v>
      </c>
      <c r="J501" s="682">
        <v>33325621</v>
      </c>
      <c r="K501" s="682">
        <v>3665818</v>
      </c>
      <c r="L501" s="333">
        <f t="shared" ref="L501:L503" si="140">SUM(J501:K501)</f>
        <v>36991439</v>
      </c>
      <c r="M501" s="333">
        <f t="shared" ref="M501:M503" si="141">H501-I501</f>
        <v>36991440</v>
      </c>
    </row>
    <row r="502" spans="1:13" s="256" customFormat="1" x14ac:dyDescent="0.25">
      <c r="A502" s="274">
        <v>44781</v>
      </c>
      <c r="B502" s="511">
        <v>44776</v>
      </c>
      <c r="C502" s="381" t="s">
        <v>4613</v>
      </c>
      <c r="D502" s="273" t="s">
        <v>400</v>
      </c>
      <c r="E502" s="275" t="s">
        <v>401</v>
      </c>
      <c r="F502" s="272" t="s">
        <v>402</v>
      </c>
      <c r="G502" s="255" t="s">
        <v>4948</v>
      </c>
      <c r="H502" s="333">
        <v>1464000</v>
      </c>
      <c r="I502" s="334">
        <v>248880</v>
      </c>
      <c r="J502" s="682">
        <v>1094702</v>
      </c>
      <c r="K502" s="682">
        <v>120417</v>
      </c>
      <c r="L502" s="333">
        <f t="shared" si="140"/>
        <v>1215119</v>
      </c>
      <c r="M502" s="333">
        <f t="shared" si="141"/>
        <v>1215120</v>
      </c>
    </row>
    <row r="503" spans="1:13" s="256" customFormat="1" x14ac:dyDescent="0.25">
      <c r="A503" s="274">
        <v>44781</v>
      </c>
      <c r="B503" s="511">
        <v>44777</v>
      </c>
      <c r="C503" s="381" t="s">
        <v>4614</v>
      </c>
      <c r="D503" s="273" t="s">
        <v>400</v>
      </c>
      <c r="E503" s="275" t="s">
        <v>401</v>
      </c>
      <c r="F503" s="272" t="s">
        <v>402</v>
      </c>
      <c r="G503" s="255" t="s">
        <v>4949</v>
      </c>
      <c r="H503" s="333">
        <v>68413200</v>
      </c>
      <c r="I503" s="334">
        <v>11630244</v>
      </c>
      <c r="J503" s="682">
        <v>51155816</v>
      </c>
      <c r="K503" s="682">
        <v>5627139</v>
      </c>
      <c r="L503" s="333">
        <f t="shared" si="140"/>
        <v>56782955</v>
      </c>
      <c r="M503" s="333">
        <f t="shared" si="141"/>
        <v>56782956</v>
      </c>
    </row>
    <row r="504" spans="1:13" s="256" customFormat="1" x14ac:dyDescent="0.25">
      <c r="A504" s="274">
        <v>44782</v>
      </c>
      <c r="B504" s="511">
        <v>44778</v>
      </c>
      <c r="C504" s="381" t="s">
        <v>4621</v>
      </c>
      <c r="D504" s="273" t="s">
        <v>400</v>
      </c>
      <c r="E504" s="275" t="s">
        <v>401</v>
      </c>
      <c r="F504" s="272" t="s">
        <v>402</v>
      </c>
      <c r="G504" s="255" t="s">
        <v>4950</v>
      </c>
      <c r="H504" s="333">
        <v>54553200</v>
      </c>
      <c r="I504" s="334">
        <v>9274044</v>
      </c>
      <c r="J504" s="682">
        <v>40792032</v>
      </c>
      <c r="K504" s="682">
        <v>4487123</v>
      </c>
      <c r="L504" s="333">
        <f t="shared" ref="L504" si="142">SUM(J504:K504)</f>
        <v>45279155</v>
      </c>
      <c r="M504" s="333">
        <f t="shared" ref="M504" si="143">H504-I504</f>
        <v>45279156</v>
      </c>
    </row>
    <row r="505" spans="1:13" s="256" customFormat="1" x14ac:dyDescent="0.25">
      <c r="A505" s="274">
        <v>44783</v>
      </c>
      <c r="B505" s="511">
        <v>44779</v>
      </c>
      <c r="C505" s="381" t="s">
        <v>4691</v>
      </c>
      <c r="D505" s="273" t="s">
        <v>400</v>
      </c>
      <c r="E505" s="275" t="s">
        <v>401</v>
      </c>
      <c r="F505" s="272" t="s">
        <v>402</v>
      </c>
      <c r="G505" s="255" t="s">
        <v>4951</v>
      </c>
      <c r="H505" s="333">
        <v>20487600</v>
      </c>
      <c r="I505" s="334">
        <v>3482892.0000000005</v>
      </c>
      <c r="J505" s="682">
        <v>15319556</v>
      </c>
      <c r="K505" s="682">
        <v>1685151</v>
      </c>
      <c r="L505" s="333">
        <f t="shared" ref="L505:L506" si="144">SUM(J505:K505)</f>
        <v>17004707</v>
      </c>
      <c r="M505" s="333">
        <f t="shared" ref="M505:M506" si="145">H505-I505</f>
        <v>17004708</v>
      </c>
    </row>
    <row r="506" spans="1:13" s="256" customFormat="1" x14ac:dyDescent="0.25">
      <c r="A506" s="274">
        <v>44783</v>
      </c>
      <c r="B506" s="511">
        <v>44779</v>
      </c>
      <c r="C506" s="381" t="s">
        <v>4692</v>
      </c>
      <c r="D506" s="273" t="s">
        <v>400</v>
      </c>
      <c r="E506" s="275" t="s">
        <v>401</v>
      </c>
      <c r="F506" s="272" t="s">
        <v>402</v>
      </c>
      <c r="G506" s="255" t="s">
        <v>4952</v>
      </c>
      <c r="H506" s="333">
        <v>5740800</v>
      </c>
      <c r="I506" s="334">
        <v>975936</v>
      </c>
      <c r="J506" s="682">
        <v>4292670</v>
      </c>
      <c r="K506" s="682">
        <v>472193</v>
      </c>
      <c r="L506" s="333">
        <f t="shared" si="144"/>
        <v>4764863</v>
      </c>
      <c r="M506" s="333">
        <f t="shared" si="145"/>
        <v>4764864</v>
      </c>
    </row>
    <row r="507" spans="1:13" s="256" customFormat="1" x14ac:dyDescent="0.25">
      <c r="A507" s="274">
        <v>44785</v>
      </c>
      <c r="B507" s="511">
        <v>44781</v>
      </c>
      <c r="C507" s="381" t="s">
        <v>4892</v>
      </c>
      <c r="D507" s="273" t="s">
        <v>400</v>
      </c>
      <c r="E507" s="275" t="s">
        <v>401</v>
      </c>
      <c r="F507" s="272" t="s">
        <v>402</v>
      </c>
      <c r="G507" s="255" t="s">
        <v>4953</v>
      </c>
      <c r="H507" s="333">
        <v>76854000</v>
      </c>
      <c r="I507" s="334">
        <v>13494580.5</v>
      </c>
      <c r="J507" s="682">
        <v>57080558</v>
      </c>
      <c r="K507" s="682">
        <v>6278861</v>
      </c>
      <c r="L507" s="333">
        <f t="shared" ref="L507:L511" si="146">SUM(J507:K507)</f>
        <v>63359419</v>
      </c>
      <c r="M507" s="333">
        <f t="shared" ref="M507:M511" si="147">H507-I507</f>
        <v>63359419.5</v>
      </c>
    </row>
    <row r="508" spans="1:13" s="256" customFormat="1" x14ac:dyDescent="0.25">
      <c r="A508" s="274">
        <v>44785</v>
      </c>
      <c r="B508" s="511">
        <v>44782</v>
      </c>
      <c r="C508" s="381" t="s">
        <v>4893</v>
      </c>
      <c r="D508" s="273" t="s">
        <v>400</v>
      </c>
      <c r="E508" s="275" t="s">
        <v>401</v>
      </c>
      <c r="F508" s="272" t="s">
        <v>402</v>
      </c>
      <c r="G508" s="255" t="s">
        <v>4954</v>
      </c>
      <c r="H508" s="333">
        <v>11860800</v>
      </c>
      <c r="I508" s="334">
        <v>2016336</v>
      </c>
      <c r="J508" s="682">
        <v>8868886</v>
      </c>
      <c r="K508" s="782">
        <v>975577</v>
      </c>
      <c r="L508" s="333">
        <f t="shared" si="146"/>
        <v>9844463</v>
      </c>
      <c r="M508" s="333">
        <f t="shared" si="147"/>
        <v>9844464</v>
      </c>
    </row>
    <row r="509" spans="1:13" s="256" customFormat="1" x14ac:dyDescent="0.25">
      <c r="A509" s="274">
        <v>44785</v>
      </c>
      <c r="B509" s="511">
        <v>44782</v>
      </c>
      <c r="C509" s="381" t="s">
        <v>4894</v>
      </c>
      <c r="D509" s="273" t="s">
        <v>400</v>
      </c>
      <c r="E509" s="275" t="s">
        <v>401</v>
      </c>
      <c r="F509" s="272" t="s">
        <v>402</v>
      </c>
      <c r="G509" s="255" t="s">
        <v>4955</v>
      </c>
      <c r="H509" s="333">
        <v>11923200</v>
      </c>
      <c r="I509" s="334">
        <v>2026944.0000000002</v>
      </c>
      <c r="J509" s="682">
        <v>8915545</v>
      </c>
      <c r="K509" s="682">
        <v>980710</v>
      </c>
      <c r="L509" s="333">
        <f t="shared" si="146"/>
        <v>9896255</v>
      </c>
      <c r="M509" s="333">
        <f t="shared" si="147"/>
        <v>9896256</v>
      </c>
    </row>
    <row r="510" spans="1:13" s="256" customFormat="1" x14ac:dyDescent="0.25">
      <c r="A510" s="274">
        <v>44785</v>
      </c>
      <c r="B510" s="511">
        <v>44783</v>
      </c>
      <c r="C510" s="381" t="s">
        <v>4895</v>
      </c>
      <c r="D510" s="273" t="s">
        <v>400</v>
      </c>
      <c r="E510" s="275" t="s">
        <v>401</v>
      </c>
      <c r="F510" s="272" t="s">
        <v>402</v>
      </c>
      <c r="G510" s="255" t="s">
        <v>4956</v>
      </c>
      <c r="H510" s="333">
        <v>37494000</v>
      </c>
      <c r="I510" s="334">
        <v>6373980.0000000009</v>
      </c>
      <c r="J510" s="682">
        <v>28036054</v>
      </c>
      <c r="K510" s="682">
        <v>3083965</v>
      </c>
      <c r="L510" s="333">
        <f t="shared" si="146"/>
        <v>31120019</v>
      </c>
      <c r="M510" s="333">
        <f t="shared" si="147"/>
        <v>31120020</v>
      </c>
    </row>
    <row r="511" spans="1:13" s="256" customFormat="1" x14ac:dyDescent="0.25">
      <c r="A511" s="274">
        <v>44785</v>
      </c>
      <c r="B511" s="511">
        <v>44784</v>
      </c>
      <c r="C511" s="381" t="s">
        <v>4896</v>
      </c>
      <c r="D511" s="273" t="s">
        <v>400</v>
      </c>
      <c r="E511" s="275" t="s">
        <v>401</v>
      </c>
      <c r="F511" s="272" t="s">
        <v>402</v>
      </c>
      <c r="G511" s="255" t="s">
        <v>4957</v>
      </c>
      <c r="H511" s="333">
        <v>54000000</v>
      </c>
      <c r="I511" s="334">
        <v>9180000</v>
      </c>
      <c r="J511" s="682">
        <v>40378378</v>
      </c>
      <c r="K511" s="682">
        <v>4441621</v>
      </c>
      <c r="L511" s="333">
        <f t="shared" si="146"/>
        <v>44819999</v>
      </c>
      <c r="M511" s="333">
        <f t="shared" si="147"/>
        <v>44820000</v>
      </c>
    </row>
    <row r="512" spans="1:13" s="256" customFormat="1" x14ac:dyDescent="0.25">
      <c r="A512" s="274">
        <v>44788</v>
      </c>
      <c r="B512" s="511">
        <v>44785</v>
      </c>
      <c r="C512" s="381" t="s">
        <v>4847</v>
      </c>
      <c r="D512" s="273" t="s">
        <v>400</v>
      </c>
      <c r="E512" s="275" t="s">
        <v>401</v>
      </c>
      <c r="F512" s="272" t="s">
        <v>402</v>
      </c>
      <c r="G512" s="255" t="s">
        <v>4958</v>
      </c>
      <c r="H512" s="333">
        <v>43394400</v>
      </c>
      <c r="I512" s="334">
        <v>7377048.0000000009</v>
      </c>
      <c r="J512" s="682">
        <v>32448064</v>
      </c>
      <c r="K512" s="682">
        <v>3569287</v>
      </c>
      <c r="L512" s="333">
        <f t="shared" ref="L512:L515" si="148">SUM(J512:K512)</f>
        <v>36017351</v>
      </c>
      <c r="M512" s="333">
        <f t="shared" ref="M512:M515" si="149">H512-I512</f>
        <v>36017352</v>
      </c>
    </row>
    <row r="513" spans="1:13" s="256" customFormat="1" x14ac:dyDescent="0.25">
      <c r="A513" s="274">
        <v>44788</v>
      </c>
      <c r="B513" s="511">
        <v>44785</v>
      </c>
      <c r="C513" s="381" t="s">
        <v>4850</v>
      </c>
      <c r="D513" s="273" t="s">
        <v>400</v>
      </c>
      <c r="E513" s="275" t="s">
        <v>401</v>
      </c>
      <c r="F513" s="272" t="s">
        <v>402</v>
      </c>
      <c r="G513" s="255" t="s">
        <v>4959</v>
      </c>
      <c r="H513" s="333">
        <v>60624000</v>
      </c>
      <c r="I513" s="334">
        <v>10306080</v>
      </c>
      <c r="J513" s="682">
        <v>45331459</v>
      </c>
      <c r="K513" s="682">
        <v>4986460</v>
      </c>
      <c r="L513" s="333">
        <f t="shared" ref="L513" si="150">SUM(J513:K513)</f>
        <v>50317919</v>
      </c>
      <c r="M513" s="333">
        <f t="shared" ref="M513" si="151">H513-I513</f>
        <v>50317920</v>
      </c>
    </row>
    <row r="514" spans="1:13" s="256" customFormat="1" x14ac:dyDescent="0.25">
      <c r="A514" s="274">
        <v>44788</v>
      </c>
      <c r="B514" s="511">
        <v>44786</v>
      </c>
      <c r="C514" s="381" t="s">
        <v>4848</v>
      </c>
      <c r="D514" s="273" t="s">
        <v>400</v>
      </c>
      <c r="E514" s="275" t="s">
        <v>401</v>
      </c>
      <c r="F514" s="272" t="s">
        <v>402</v>
      </c>
      <c r="G514" s="255" t="s">
        <v>4960</v>
      </c>
      <c r="H514" s="333">
        <v>47454000</v>
      </c>
      <c r="I514" s="334">
        <v>8067180</v>
      </c>
      <c r="J514" s="682">
        <v>35483621</v>
      </c>
      <c r="K514" s="682">
        <v>3903198</v>
      </c>
      <c r="L514" s="333">
        <f t="shared" si="148"/>
        <v>39386819</v>
      </c>
      <c r="M514" s="333">
        <f t="shared" si="149"/>
        <v>39386820</v>
      </c>
    </row>
    <row r="515" spans="1:13" s="256" customFormat="1" x14ac:dyDescent="0.25">
      <c r="A515" s="274">
        <v>44788</v>
      </c>
      <c r="B515" s="511">
        <v>44786</v>
      </c>
      <c r="C515" s="381" t="s">
        <v>4849</v>
      </c>
      <c r="D515" s="273" t="s">
        <v>400</v>
      </c>
      <c r="E515" s="275" t="s">
        <v>401</v>
      </c>
      <c r="F515" s="272" t="s">
        <v>402</v>
      </c>
      <c r="G515" s="255" t="s">
        <v>4961</v>
      </c>
      <c r="H515" s="333">
        <v>11689600</v>
      </c>
      <c r="I515" s="334">
        <v>1987232</v>
      </c>
      <c r="J515" s="682">
        <v>8740872</v>
      </c>
      <c r="K515" s="682">
        <v>961495</v>
      </c>
      <c r="L515" s="333">
        <f t="shared" si="148"/>
        <v>9702367</v>
      </c>
      <c r="M515" s="333">
        <f t="shared" si="149"/>
        <v>9702368</v>
      </c>
    </row>
    <row r="516" spans="1:13" s="256" customFormat="1" x14ac:dyDescent="0.25">
      <c r="A516" s="274">
        <v>44793</v>
      </c>
      <c r="B516" s="511">
        <v>44788</v>
      </c>
      <c r="C516" s="381" t="s">
        <v>4926</v>
      </c>
      <c r="D516" s="273" t="s">
        <v>400</v>
      </c>
      <c r="E516" s="275" t="s">
        <v>401</v>
      </c>
      <c r="F516" s="272" t="s">
        <v>402</v>
      </c>
      <c r="G516" s="255" t="s">
        <v>4962</v>
      </c>
      <c r="H516" s="333">
        <v>22628400</v>
      </c>
      <c r="I516" s="334">
        <v>3928002</v>
      </c>
      <c r="J516" s="682">
        <v>16847205</v>
      </c>
      <c r="K516" s="682">
        <v>1853192</v>
      </c>
      <c r="L516" s="333">
        <f t="shared" ref="L516:L520" si="152">SUM(J516:K516)</f>
        <v>18700397</v>
      </c>
      <c r="M516" s="333">
        <f t="shared" ref="M516:M520" si="153">H516-I516</f>
        <v>18700398</v>
      </c>
    </row>
    <row r="517" spans="1:13" s="256" customFormat="1" x14ac:dyDescent="0.25">
      <c r="A517" s="274">
        <v>44793</v>
      </c>
      <c r="B517" s="511">
        <v>44791</v>
      </c>
      <c r="C517" s="381" t="s">
        <v>4927</v>
      </c>
      <c r="D517" s="273" t="s">
        <v>400</v>
      </c>
      <c r="E517" s="275" t="s">
        <v>401</v>
      </c>
      <c r="F517" s="272" t="s">
        <v>402</v>
      </c>
      <c r="G517" s="255" t="s">
        <v>4963</v>
      </c>
      <c r="H517" s="333">
        <v>81095200</v>
      </c>
      <c r="I517" s="334">
        <v>13786184</v>
      </c>
      <c r="J517" s="682">
        <v>60638753</v>
      </c>
      <c r="K517" s="682">
        <v>6670262</v>
      </c>
      <c r="L517" s="333">
        <f t="shared" si="152"/>
        <v>67309015</v>
      </c>
      <c r="M517" s="333">
        <f t="shared" si="153"/>
        <v>67309016</v>
      </c>
    </row>
    <row r="518" spans="1:13" s="256" customFormat="1" x14ac:dyDescent="0.25">
      <c r="A518" s="274">
        <v>44793</v>
      </c>
      <c r="B518" s="511">
        <v>44791</v>
      </c>
      <c r="C518" s="381" t="s">
        <v>4928</v>
      </c>
      <c r="D518" s="273" t="s">
        <v>400</v>
      </c>
      <c r="E518" s="275" t="s">
        <v>401</v>
      </c>
      <c r="F518" s="272" t="s">
        <v>402</v>
      </c>
      <c r="G518" s="255" t="s">
        <v>4964</v>
      </c>
      <c r="H518" s="333">
        <v>8178000</v>
      </c>
      <c r="I518" s="334">
        <v>1390260</v>
      </c>
      <c r="J518" s="682">
        <v>6115081</v>
      </c>
      <c r="K518" s="682">
        <v>672658</v>
      </c>
      <c r="L518" s="333">
        <f t="shared" si="152"/>
        <v>6787739</v>
      </c>
      <c r="M518" s="333">
        <f t="shared" si="153"/>
        <v>6787740</v>
      </c>
    </row>
    <row r="519" spans="1:13" s="256" customFormat="1" x14ac:dyDescent="0.25">
      <c r="A519" s="274">
        <v>44793</v>
      </c>
      <c r="B519" s="511">
        <v>44791</v>
      </c>
      <c r="C519" s="381" t="s">
        <v>4929</v>
      </c>
      <c r="D519" s="273" t="s">
        <v>400</v>
      </c>
      <c r="E519" s="275" t="s">
        <v>401</v>
      </c>
      <c r="F519" s="272" t="s">
        <v>402</v>
      </c>
      <c r="G519" s="255" t="s">
        <v>4965</v>
      </c>
      <c r="H519" s="333">
        <v>17884800</v>
      </c>
      <c r="I519" s="334">
        <v>3040416.0000000005</v>
      </c>
      <c r="J519" s="682">
        <v>13373318</v>
      </c>
      <c r="K519" s="682">
        <v>1471065</v>
      </c>
      <c r="L519" s="333">
        <f t="shared" si="152"/>
        <v>14844383</v>
      </c>
      <c r="M519" s="333">
        <f t="shared" si="153"/>
        <v>14844384</v>
      </c>
    </row>
    <row r="520" spans="1:13" s="256" customFormat="1" x14ac:dyDescent="0.25">
      <c r="A520" s="274">
        <v>44795</v>
      </c>
      <c r="B520" s="511">
        <v>44792</v>
      </c>
      <c r="C520" s="381" t="s">
        <v>4930</v>
      </c>
      <c r="D520" s="273" t="s">
        <v>400</v>
      </c>
      <c r="E520" s="275" t="s">
        <v>401</v>
      </c>
      <c r="F520" s="272" t="s">
        <v>402</v>
      </c>
      <c r="G520" s="255" t="s">
        <v>4966</v>
      </c>
      <c r="H520" s="333">
        <v>43032000</v>
      </c>
      <c r="I520" s="334">
        <v>7315440</v>
      </c>
      <c r="J520" s="682">
        <v>32177081</v>
      </c>
      <c r="K520" s="682">
        <v>3539478</v>
      </c>
      <c r="L520" s="333">
        <f t="shared" si="152"/>
        <v>35716559</v>
      </c>
      <c r="M520" s="333">
        <f t="shared" si="153"/>
        <v>35716560</v>
      </c>
    </row>
    <row r="521" spans="1:13" s="256" customFormat="1" x14ac:dyDescent="0.25">
      <c r="A521" s="274">
        <v>44797</v>
      </c>
      <c r="B521" s="511">
        <v>44793</v>
      </c>
      <c r="C521" s="381" t="s">
        <v>4938</v>
      </c>
      <c r="D521" s="273" t="s">
        <v>400</v>
      </c>
      <c r="E521" s="275" t="s">
        <v>401</v>
      </c>
      <c r="F521" s="272" t="s">
        <v>402</v>
      </c>
      <c r="G521" s="255" t="s">
        <v>4967</v>
      </c>
      <c r="H521" s="333">
        <v>39679200</v>
      </c>
      <c r="I521" s="334">
        <v>6745464</v>
      </c>
      <c r="J521" s="682">
        <v>29670032</v>
      </c>
      <c r="K521" s="682">
        <v>3263703</v>
      </c>
      <c r="L521" s="333">
        <f t="shared" ref="L521:L522" si="154">SUM(J521:K521)</f>
        <v>32933735</v>
      </c>
      <c r="M521" s="333">
        <f t="shared" ref="M521:M523" si="155">H521-I521</f>
        <v>32933736</v>
      </c>
    </row>
    <row r="522" spans="1:13" s="256" customFormat="1" x14ac:dyDescent="0.25">
      <c r="A522" s="274">
        <v>44797</v>
      </c>
      <c r="B522" s="511">
        <v>44795</v>
      </c>
      <c r="C522" s="381" t="s">
        <v>4939</v>
      </c>
      <c r="D522" s="273" t="s">
        <v>400</v>
      </c>
      <c r="E522" s="275" t="s">
        <v>401</v>
      </c>
      <c r="F522" s="272" t="s">
        <v>402</v>
      </c>
      <c r="G522" s="255" t="s">
        <v>4968</v>
      </c>
      <c r="H522" s="333">
        <v>135561600</v>
      </c>
      <c r="I522" s="334">
        <v>23045472.000000004</v>
      </c>
      <c r="J522" s="682">
        <v>101365881</v>
      </c>
      <c r="K522" s="682">
        <v>11150246</v>
      </c>
      <c r="L522" s="333">
        <f t="shared" si="154"/>
        <v>112516127</v>
      </c>
      <c r="M522" s="333">
        <f t="shared" si="155"/>
        <v>112516128</v>
      </c>
    </row>
    <row r="523" spans="1:13" s="256" customFormat="1" x14ac:dyDescent="0.25">
      <c r="A523" s="274">
        <v>44797</v>
      </c>
      <c r="B523" s="511">
        <v>44795</v>
      </c>
      <c r="C523" s="381" t="s">
        <v>4940</v>
      </c>
      <c r="D523" s="273" t="s">
        <v>400</v>
      </c>
      <c r="E523" s="275" t="s">
        <v>401</v>
      </c>
      <c r="F523" s="272" t="s">
        <v>402</v>
      </c>
      <c r="G523" s="255" t="s">
        <v>4969</v>
      </c>
      <c r="H523" s="333">
        <v>4500000</v>
      </c>
      <c r="I523" s="334">
        <v>765000</v>
      </c>
      <c r="J523" s="682">
        <f>(H523-I523)/1.11</f>
        <v>3364864.8648648644</v>
      </c>
      <c r="K523" s="682">
        <f t="shared" ref="K523" si="156">J523*11%</f>
        <v>370135.13513513509</v>
      </c>
      <c r="L523" s="333">
        <f t="shared" ref="L523" si="157">SUM(J523:K523)</f>
        <v>3734999.9999999995</v>
      </c>
      <c r="M523" s="333">
        <f t="shared" si="155"/>
        <v>3735000</v>
      </c>
    </row>
    <row r="524" spans="1:13" s="256" customFormat="1" x14ac:dyDescent="0.25">
      <c r="A524" s="274">
        <v>44799</v>
      </c>
      <c r="B524" s="511">
        <v>44796</v>
      </c>
      <c r="C524" s="381" t="s">
        <v>4970</v>
      </c>
      <c r="D524" s="273" t="s">
        <v>400</v>
      </c>
      <c r="E524" s="275" t="s">
        <v>401</v>
      </c>
      <c r="F524" s="272" t="s">
        <v>402</v>
      </c>
      <c r="G524" s="255" t="s">
        <v>5069</v>
      </c>
      <c r="H524" s="333">
        <v>53968200</v>
      </c>
      <c r="I524" s="334">
        <v>9174594</v>
      </c>
      <c r="J524" s="682">
        <v>40354599</v>
      </c>
      <c r="K524" s="682">
        <v>4439005</v>
      </c>
      <c r="L524" s="333">
        <f t="shared" ref="L524:L531" si="158">SUM(J524:K524)</f>
        <v>44793604</v>
      </c>
      <c r="M524" s="333">
        <f t="shared" ref="M524:M531" si="159">H524-I524</f>
        <v>44793606</v>
      </c>
    </row>
    <row r="525" spans="1:13" s="256" customFormat="1" x14ac:dyDescent="0.25">
      <c r="A525" s="274">
        <v>44799</v>
      </c>
      <c r="B525" s="511">
        <v>44797</v>
      </c>
      <c r="C525" s="381" t="s">
        <v>4971</v>
      </c>
      <c r="D525" s="273" t="s">
        <v>400</v>
      </c>
      <c r="E525" s="275" t="s">
        <v>401</v>
      </c>
      <c r="F525" s="272" t="s">
        <v>402</v>
      </c>
      <c r="G525" s="255" t="s">
        <v>5070</v>
      </c>
      <c r="H525" s="333">
        <v>52642800</v>
      </c>
      <c r="I525" s="334">
        <v>8949276</v>
      </c>
      <c r="J525" s="682">
        <v>39363535</v>
      </c>
      <c r="K525" s="682">
        <v>4329988</v>
      </c>
      <c r="L525" s="333">
        <f t="shared" si="158"/>
        <v>43693523</v>
      </c>
      <c r="M525" s="333">
        <f t="shared" si="159"/>
        <v>43693524</v>
      </c>
    </row>
    <row r="526" spans="1:13" s="256" customFormat="1" x14ac:dyDescent="0.25">
      <c r="A526" s="274">
        <v>44800</v>
      </c>
      <c r="B526" s="511">
        <v>44798</v>
      </c>
      <c r="C526" s="381" t="s">
        <v>4986</v>
      </c>
      <c r="D526" s="273" t="s">
        <v>400</v>
      </c>
      <c r="E526" s="275" t="s">
        <v>401</v>
      </c>
      <c r="F526" s="272" t="s">
        <v>402</v>
      </c>
      <c r="G526" s="255" t="s">
        <v>5071</v>
      </c>
      <c r="H526" s="333">
        <v>88549200</v>
      </c>
      <c r="I526" s="334">
        <v>15053364</v>
      </c>
      <c r="J526" s="682">
        <v>66212464</v>
      </c>
      <c r="K526" s="682">
        <v>7283371</v>
      </c>
      <c r="L526" s="333">
        <f t="shared" si="158"/>
        <v>73495835</v>
      </c>
      <c r="M526" s="333">
        <f t="shared" si="159"/>
        <v>73495836</v>
      </c>
    </row>
    <row r="527" spans="1:13" s="256" customFormat="1" x14ac:dyDescent="0.25">
      <c r="A527" s="274">
        <v>44800</v>
      </c>
      <c r="B527" s="511">
        <v>44798</v>
      </c>
      <c r="C527" s="381" t="s">
        <v>4987</v>
      </c>
      <c r="D527" s="273" t="s">
        <v>400</v>
      </c>
      <c r="E527" s="275" t="s">
        <v>401</v>
      </c>
      <c r="F527" s="272" t="s">
        <v>402</v>
      </c>
      <c r="G527" s="255" t="s">
        <v>5072</v>
      </c>
      <c r="H527" s="333">
        <v>16848000</v>
      </c>
      <c r="I527" s="334">
        <v>2864160</v>
      </c>
      <c r="J527" s="682">
        <v>12598054</v>
      </c>
      <c r="K527" s="682">
        <v>1385785</v>
      </c>
      <c r="L527" s="333">
        <f t="shared" si="158"/>
        <v>13983839</v>
      </c>
      <c r="M527" s="333">
        <f t="shared" si="159"/>
        <v>13983840</v>
      </c>
    </row>
    <row r="528" spans="1:13" s="256" customFormat="1" x14ac:dyDescent="0.25">
      <c r="A528" s="274">
        <v>44802</v>
      </c>
      <c r="B528" s="511">
        <v>44799</v>
      </c>
      <c r="C528" s="381" t="s">
        <v>4988</v>
      </c>
      <c r="D528" s="273" t="s">
        <v>400</v>
      </c>
      <c r="E528" s="275" t="s">
        <v>401</v>
      </c>
      <c r="F528" s="272" t="s">
        <v>402</v>
      </c>
      <c r="G528" s="255" t="s">
        <v>5073</v>
      </c>
      <c r="H528" s="333">
        <v>32317200</v>
      </c>
      <c r="I528" s="334">
        <v>5493924</v>
      </c>
      <c r="J528" s="682">
        <v>24165113</v>
      </c>
      <c r="K528" s="682">
        <v>2658162</v>
      </c>
      <c r="L528" s="333">
        <f t="shared" si="158"/>
        <v>26823275</v>
      </c>
      <c r="M528" s="333">
        <f t="shared" si="159"/>
        <v>26823276</v>
      </c>
    </row>
    <row r="529" spans="1:13" s="256" customFormat="1" x14ac:dyDescent="0.25">
      <c r="A529" s="274">
        <v>44802</v>
      </c>
      <c r="B529" s="511">
        <v>44799</v>
      </c>
      <c r="C529" s="381" t="s">
        <v>4989</v>
      </c>
      <c r="D529" s="273" t="s">
        <v>400</v>
      </c>
      <c r="E529" s="275" t="s">
        <v>401</v>
      </c>
      <c r="F529" s="272" t="s">
        <v>402</v>
      </c>
      <c r="G529" s="255" t="s">
        <v>5074</v>
      </c>
      <c r="H529" s="333">
        <v>6931200</v>
      </c>
      <c r="I529" s="334">
        <v>1178304</v>
      </c>
      <c r="J529" s="682">
        <v>5182789</v>
      </c>
      <c r="K529" s="682">
        <v>570106</v>
      </c>
      <c r="L529" s="333">
        <f t="shared" si="158"/>
        <v>5752895</v>
      </c>
      <c r="M529" s="333">
        <f t="shared" si="159"/>
        <v>5752896</v>
      </c>
    </row>
    <row r="530" spans="1:13" s="256" customFormat="1" x14ac:dyDescent="0.25">
      <c r="A530" s="274">
        <v>44802</v>
      </c>
      <c r="B530" s="511">
        <v>44799</v>
      </c>
      <c r="C530" s="381" t="s">
        <v>4990</v>
      </c>
      <c r="D530" s="273" t="s">
        <v>400</v>
      </c>
      <c r="E530" s="275" t="s">
        <v>401</v>
      </c>
      <c r="F530" s="272" t="s">
        <v>402</v>
      </c>
      <c r="G530" s="255" t="s">
        <v>5075</v>
      </c>
      <c r="H530" s="333">
        <v>7065600</v>
      </c>
      <c r="I530" s="334">
        <v>1201152</v>
      </c>
      <c r="J530" s="682">
        <v>5283286</v>
      </c>
      <c r="K530" s="682">
        <v>581161</v>
      </c>
      <c r="L530" s="333">
        <f t="shared" si="158"/>
        <v>5864447</v>
      </c>
      <c r="M530" s="333">
        <f t="shared" si="159"/>
        <v>5864448</v>
      </c>
    </row>
    <row r="531" spans="1:13" s="256" customFormat="1" x14ac:dyDescent="0.25">
      <c r="A531" s="274">
        <v>44802</v>
      </c>
      <c r="B531" s="511">
        <v>44800</v>
      </c>
      <c r="C531" s="381" t="s">
        <v>4991</v>
      </c>
      <c r="D531" s="273" t="s">
        <v>400</v>
      </c>
      <c r="E531" s="275" t="s">
        <v>401</v>
      </c>
      <c r="F531" s="272" t="s">
        <v>402</v>
      </c>
      <c r="G531" s="255" t="s">
        <v>5076</v>
      </c>
      <c r="H531" s="333">
        <v>18726000</v>
      </c>
      <c r="I531" s="334">
        <v>3183420</v>
      </c>
      <c r="J531" s="682">
        <v>14002324</v>
      </c>
      <c r="K531" s="682">
        <v>1540255</v>
      </c>
      <c r="L531" s="333">
        <f t="shared" si="158"/>
        <v>15542579</v>
      </c>
      <c r="M531" s="333">
        <f t="shared" si="159"/>
        <v>15542580</v>
      </c>
    </row>
    <row r="532" spans="1:13" s="256" customFormat="1" x14ac:dyDescent="0.25">
      <c r="A532" s="274">
        <v>44806</v>
      </c>
      <c r="B532" s="511">
        <v>44804</v>
      </c>
      <c r="C532" s="381" t="s">
        <v>5605</v>
      </c>
      <c r="D532" s="273" t="s">
        <v>322</v>
      </c>
      <c r="E532" s="275" t="s">
        <v>397</v>
      </c>
      <c r="F532" s="272" t="s">
        <v>2645</v>
      </c>
      <c r="G532" s="255" t="s">
        <v>5604</v>
      </c>
      <c r="H532" s="333">
        <v>28000000</v>
      </c>
      <c r="I532" s="334">
        <v>2800000</v>
      </c>
      <c r="J532" s="682">
        <v>22702720</v>
      </c>
      <c r="K532" s="682">
        <v>2497299</v>
      </c>
      <c r="L532" s="333">
        <f t="shared" ref="L532" si="160">SUM(J532:K532)</f>
        <v>25200019</v>
      </c>
      <c r="M532" s="333">
        <f t="shared" si="101"/>
        <v>25200000</v>
      </c>
    </row>
    <row r="533" spans="1:13" s="256" customFormat="1" x14ac:dyDescent="0.25">
      <c r="A533" s="274">
        <v>44805</v>
      </c>
      <c r="B533" s="511">
        <v>44800</v>
      </c>
      <c r="C533" s="381" t="s">
        <v>5004</v>
      </c>
      <c r="D533" s="273" t="s">
        <v>305</v>
      </c>
      <c r="E533" s="275" t="s">
        <v>398</v>
      </c>
      <c r="F533" s="272" t="s">
        <v>399</v>
      </c>
      <c r="G533" s="255" t="s">
        <v>5077</v>
      </c>
      <c r="H533" s="333">
        <v>5340000</v>
      </c>
      <c r="I533" s="334">
        <v>0</v>
      </c>
      <c r="J533" s="682">
        <v>4810800</v>
      </c>
      <c r="K533" s="682">
        <v>529188</v>
      </c>
      <c r="L533" s="333">
        <f t="shared" si="100"/>
        <v>5339988</v>
      </c>
      <c r="M533" s="333">
        <f t="shared" si="101"/>
        <v>5340000</v>
      </c>
    </row>
    <row r="534" spans="1:13" s="256" customFormat="1" x14ac:dyDescent="0.25">
      <c r="A534" s="274"/>
      <c r="B534" s="511"/>
      <c r="C534" s="381"/>
      <c r="D534" s="273"/>
      <c r="E534" s="272"/>
      <c r="F534" s="275"/>
      <c r="G534" s="255"/>
      <c r="H534" s="333"/>
      <c r="I534" s="334"/>
      <c r="J534" s="682">
        <f t="shared" ref="J534" si="161">(H534-I534)/1.11</f>
        <v>0</v>
      </c>
      <c r="K534" s="682">
        <f t="shared" ref="K534" si="162">J534*11%</f>
        <v>0</v>
      </c>
      <c r="L534" s="333">
        <f t="shared" ref="L534" si="163">SUM(J534:K534)</f>
        <v>0</v>
      </c>
      <c r="M534" s="333">
        <f t="shared" ref="M534" si="164">H534-I534</f>
        <v>0</v>
      </c>
    </row>
    <row r="535" spans="1:13" ht="18" x14ac:dyDescent="0.25">
      <c r="A535" s="513" t="s">
        <v>38</v>
      </c>
      <c r="B535" s="512"/>
      <c r="C535" s="515"/>
      <c r="D535" s="514"/>
      <c r="E535" s="519"/>
      <c r="F535" s="519"/>
      <c r="G535" s="516"/>
      <c r="H535" s="413">
        <f>SUM(H457:H534)</f>
        <v>2393371538.4000001</v>
      </c>
      <c r="I535" s="412"/>
      <c r="J535" s="683">
        <f>SUM(J457:J534)</f>
        <v>1917454921.5945945</v>
      </c>
      <c r="K535" s="683">
        <f>SUM(K457:K534)</f>
        <v>210920004.13513514</v>
      </c>
      <c r="L535" s="414">
        <f>SUM(L457:L534)</f>
        <v>2128374925.7297297</v>
      </c>
      <c r="M535" s="414">
        <f>SUM(M457:M534)</f>
        <v>2133830753.49</v>
      </c>
    </row>
    <row r="536" spans="1:13" ht="18" x14ac:dyDescent="0.25">
      <c r="A536" s="510" t="s">
        <v>106</v>
      </c>
      <c r="B536" s="510"/>
      <c r="C536" s="421"/>
      <c r="D536" s="420"/>
      <c r="E536" s="518"/>
      <c r="F536" s="518"/>
      <c r="G536" s="420"/>
      <c r="H536" s="422"/>
      <c r="I536" s="422"/>
      <c r="J536" s="681"/>
      <c r="K536" s="681"/>
      <c r="L536" s="423"/>
      <c r="M536" s="423"/>
    </row>
    <row r="537" spans="1:13" s="256" customFormat="1" x14ac:dyDescent="0.25">
      <c r="A537" s="274">
        <v>44832</v>
      </c>
      <c r="B537" s="511">
        <v>44831</v>
      </c>
      <c r="C537" s="381" t="s">
        <v>5724</v>
      </c>
      <c r="D537" s="273" t="s">
        <v>403</v>
      </c>
      <c r="E537" s="275" t="s">
        <v>404</v>
      </c>
      <c r="F537" s="272" t="s">
        <v>405</v>
      </c>
      <c r="G537" s="255"/>
      <c r="H537" s="333">
        <v>5925000</v>
      </c>
      <c r="I537" s="334">
        <v>296250</v>
      </c>
      <c r="J537" s="682">
        <f>(H537-I537)/1.11</f>
        <v>5070945.9459459456</v>
      </c>
      <c r="K537" s="682">
        <f>J537*11%</f>
        <v>557804.05405405397</v>
      </c>
      <c r="L537" s="333">
        <f>SUM(J537:K537)</f>
        <v>5628750</v>
      </c>
      <c r="M537" s="333">
        <f>H537-I537</f>
        <v>5628750</v>
      </c>
    </row>
    <row r="538" spans="1:13" s="256" customFormat="1" x14ac:dyDescent="0.25">
      <c r="A538" s="274"/>
      <c r="B538" s="511"/>
      <c r="C538" s="381"/>
      <c r="D538" s="273"/>
      <c r="E538" s="275"/>
      <c r="F538" s="272"/>
      <c r="G538" s="255"/>
      <c r="H538" s="333"/>
      <c r="I538" s="334"/>
      <c r="J538" s="682"/>
      <c r="K538" s="682"/>
      <c r="L538" s="333"/>
      <c r="M538" s="333"/>
    </row>
    <row r="539" spans="1:13" s="256" customFormat="1" x14ac:dyDescent="0.25">
      <c r="A539" s="274">
        <v>44823</v>
      </c>
      <c r="B539" s="511">
        <v>44820</v>
      </c>
      <c r="C539" s="381" t="s">
        <v>5581</v>
      </c>
      <c r="D539" s="273" t="s">
        <v>4003</v>
      </c>
      <c r="E539" s="275" t="s">
        <v>5608</v>
      </c>
      <c r="F539" s="272" t="s">
        <v>3898</v>
      </c>
      <c r="G539" s="255"/>
      <c r="H539" s="333">
        <v>4285710</v>
      </c>
      <c r="I539" s="334">
        <v>0</v>
      </c>
      <c r="J539" s="682">
        <f>(H539-I539)/1.11</f>
        <v>3860999.9999999995</v>
      </c>
      <c r="K539" s="682">
        <f>J539*11%</f>
        <v>424709.99999999994</v>
      </c>
      <c r="L539" s="333">
        <f>SUM(J539:K539)</f>
        <v>4285709.9999999991</v>
      </c>
      <c r="M539" s="333">
        <f>H539-I539</f>
        <v>4285710</v>
      </c>
    </row>
    <row r="540" spans="1:13" s="256" customFormat="1" x14ac:dyDescent="0.25">
      <c r="A540" s="274"/>
      <c r="B540" s="511"/>
      <c r="C540" s="381"/>
      <c r="D540" s="273"/>
      <c r="E540" s="669"/>
      <c r="F540" s="668"/>
      <c r="G540" s="255"/>
      <c r="H540" s="333"/>
      <c r="I540" s="334"/>
      <c r="J540" s="682"/>
      <c r="K540" s="682"/>
      <c r="L540" s="333"/>
      <c r="M540" s="333"/>
    </row>
    <row r="541" spans="1:13" s="256" customFormat="1" x14ac:dyDescent="0.25">
      <c r="A541" s="274">
        <v>44812</v>
      </c>
      <c r="B541" s="511">
        <v>44806</v>
      </c>
      <c r="C541" s="381" t="s">
        <v>5260</v>
      </c>
      <c r="D541" s="273" t="s">
        <v>304</v>
      </c>
      <c r="E541" s="669" t="s">
        <v>392</v>
      </c>
      <c r="F541" s="272" t="s">
        <v>2644</v>
      </c>
      <c r="G541" s="255" t="s">
        <v>5734</v>
      </c>
      <c r="H541" s="333">
        <v>32269125</v>
      </c>
      <c r="I541" s="334">
        <v>0</v>
      </c>
      <c r="J541" s="682">
        <v>29071283</v>
      </c>
      <c r="K541" s="682">
        <v>3197841</v>
      </c>
      <c r="L541" s="333">
        <f t="shared" ref="L541:L546" si="165">SUM(J541:K541)</f>
        <v>32269124</v>
      </c>
      <c r="M541" s="333">
        <f t="shared" ref="M541:M546" si="166">H541-I541</f>
        <v>32269125</v>
      </c>
    </row>
    <row r="542" spans="1:13" s="256" customFormat="1" x14ac:dyDescent="0.25">
      <c r="A542" s="274">
        <v>44812</v>
      </c>
      <c r="B542" s="511">
        <v>44809</v>
      </c>
      <c r="C542" s="381" t="s">
        <v>5261</v>
      </c>
      <c r="D542" s="273" t="s">
        <v>304</v>
      </c>
      <c r="E542" s="669" t="s">
        <v>392</v>
      </c>
      <c r="F542" s="272" t="s">
        <v>2644</v>
      </c>
      <c r="G542" s="255" t="s">
        <v>5735</v>
      </c>
      <c r="H542" s="333">
        <v>2633400</v>
      </c>
      <c r="I542" s="334">
        <v>0</v>
      </c>
      <c r="J542" s="682">
        <v>2372432</v>
      </c>
      <c r="K542" s="682">
        <v>260967</v>
      </c>
      <c r="L542" s="333">
        <f t="shared" si="165"/>
        <v>2633399</v>
      </c>
      <c r="M542" s="333">
        <f t="shared" si="166"/>
        <v>2633400</v>
      </c>
    </row>
    <row r="543" spans="1:13" s="256" customFormat="1" x14ac:dyDescent="0.25">
      <c r="A543" s="274">
        <v>44816</v>
      </c>
      <c r="B543" s="511">
        <v>44810</v>
      </c>
      <c r="C543" s="381" t="s">
        <v>5262</v>
      </c>
      <c r="D543" s="273" t="s">
        <v>304</v>
      </c>
      <c r="E543" s="669" t="s">
        <v>392</v>
      </c>
      <c r="F543" s="272" t="s">
        <v>2644</v>
      </c>
      <c r="G543" s="255" t="s">
        <v>5736</v>
      </c>
      <c r="H543" s="333">
        <v>2808960</v>
      </c>
      <c r="I543" s="334">
        <v>0</v>
      </c>
      <c r="J543" s="682">
        <v>2530594</v>
      </c>
      <c r="K543" s="682">
        <v>278365</v>
      </c>
      <c r="L543" s="333">
        <f t="shared" si="165"/>
        <v>2808959</v>
      </c>
      <c r="M543" s="333">
        <f t="shared" si="166"/>
        <v>2808960</v>
      </c>
    </row>
    <row r="544" spans="1:13" s="256" customFormat="1" x14ac:dyDescent="0.25">
      <c r="A544" s="274">
        <v>44816</v>
      </c>
      <c r="B544" s="511">
        <v>44810</v>
      </c>
      <c r="C544" s="381" t="s">
        <v>5263</v>
      </c>
      <c r="D544" s="273" t="s">
        <v>304</v>
      </c>
      <c r="E544" s="669" t="s">
        <v>392</v>
      </c>
      <c r="F544" s="272" t="s">
        <v>2644</v>
      </c>
      <c r="G544" s="255" t="s">
        <v>5737</v>
      </c>
      <c r="H544" s="333">
        <v>10660781.25</v>
      </c>
      <c r="I544" s="334">
        <v>0</v>
      </c>
      <c r="J544" s="682">
        <v>9604307</v>
      </c>
      <c r="K544" s="682">
        <v>1056473</v>
      </c>
      <c r="L544" s="333">
        <f t="shared" si="165"/>
        <v>10660780</v>
      </c>
      <c r="M544" s="333">
        <f t="shared" si="166"/>
        <v>10660781.25</v>
      </c>
    </row>
    <row r="545" spans="1:13" s="256" customFormat="1" x14ac:dyDescent="0.25">
      <c r="A545" s="274">
        <v>44816</v>
      </c>
      <c r="B545" s="511">
        <v>44810</v>
      </c>
      <c r="C545" s="381" t="s">
        <v>5264</v>
      </c>
      <c r="D545" s="273" t="s">
        <v>304</v>
      </c>
      <c r="E545" s="669" t="s">
        <v>392</v>
      </c>
      <c r="F545" s="272" t="s">
        <v>2644</v>
      </c>
      <c r="G545" s="255" t="s">
        <v>5738</v>
      </c>
      <c r="H545" s="333">
        <v>19666710</v>
      </c>
      <c r="I545" s="334">
        <v>0</v>
      </c>
      <c r="J545" s="682">
        <v>17717756</v>
      </c>
      <c r="K545" s="682">
        <v>1948953</v>
      </c>
      <c r="L545" s="333">
        <f t="shared" si="165"/>
        <v>19666709</v>
      </c>
      <c r="M545" s="333">
        <f t="shared" si="166"/>
        <v>19666710</v>
      </c>
    </row>
    <row r="546" spans="1:13" s="256" customFormat="1" x14ac:dyDescent="0.25">
      <c r="A546" s="274">
        <v>44816</v>
      </c>
      <c r="B546" s="511">
        <v>44811</v>
      </c>
      <c r="C546" s="381" t="s">
        <v>5265</v>
      </c>
      <c r="D546" s="273" t="s">
        <v>304</v>
      </c>
      <c r="E546" s="669" t="s">
        <v>392</v>
      </c>
      <c r="F546" s="272" t="s">
        <v>2644</v>
      </c>
      <c r="G546" s="255" t="s">
        <v>5739</v>
      </c>
      <c r="H546" s="333">
        <v>16970633.75</v>
      </c>
      <c r="I546" s="334">
        <v>0</v>
      </c>
      <c r="J546" s="682">
        <v>15288859</v>
      </c>
      <c r="K546" s="682">
        <v>1681774</v>
      </c>
      <c r="L546" s="333">
        <f t="shared" si="165"/>
        <v>16970633</v>
      </c>
      <c r="M546" s="333">
        <f t="shared" si="166"/>
        <v>16970633.75</v>
      </c>
    </row>
    <row r="547" spans="1:13" s="256" customFormat="1" x14ac:dyDescent="0.25">
      <c r="A547" s="274">
        <v>44817</v>
      </c>
      <c r="B547" s="511">
        <v>44812</v>
      </c>
      <c r="C547" s="381" t="s">
        <v>5278</v>
      </c>
      <c r="D547" s="273" t="s">
        <v>304</v>
      </c>
      <c r="E547" s="669" t="s">
        <v>392</v>
      </c>
      <c r="F547" s="272" t="s">
        <v>2644</v>
      </c>
      <c r="G547" s="255" t="s">
        <v>5740</v>
      </c>
      <c r="H547" s="333">
        <v>14519443.75</v>
      </c>
      <c r="I547" s="334">
        <v>0</v>
      </c>
      <c r="J547" s="682">
        <v>13080579</v>
      </c>
      <c r="K547" s="682">
        <v>1438863</v>
      </c>
      <c r="L547" s="333">
        <f t="shared" ref="L547:L549" si="167">SUM(J547:K547)</f>
        <v>14519442</v>
      </c>
      <c r="M547" s="333">
        <f t="shared" ref="M547:M549" si="168">H547-I547</f>
        <v>14519443.75</v>
      </c>
    </row>
    <row r="548" spans="1:13" s="256" customFormat="1" x14ac:dyDescent="0.25">
      <c r="A548" s="274">
        <v>44817</v>
      </c>
      <c r="B548" s="511">
        <v>44812</v>
      </c>
      <c r="C548" s="381" t="s">
        <v>5279</v>
      </c>
      <c r="D548" s="273" t="s">
        <v>304</v>
      </c>
      <c r="E548" s="669" t="s">
        <v>392</v>
      </c>
      <c r="F548" s="272" t="s">
        <v>2644</v>
      </c>
      <c r="G548" s="255" t="s">
        <v>5741</v>
      </c>
      <c r="H548" s="333">
        <v>6103332</v>
      </c>
      <c r="I548" s="334">
        <v>94392</v>
      </c>
      <c r="J548" s="682">
        <v>5413459</v>
      </c>
      <c r="K548" s="682">
        <v>595480</v>
      </c>
      <c r="L548" s="333">
        <f t="shared" si="167"/>
        <v>6008939</v>
      </c>
      <c r="M548" s="333">
        <f t="shared" si="168"/>
        <v>6008940</v>
      </c>
    </row>
    <row r="549" spans="1:13" s="256" customFormat="1" x14ac:dyDescent="0.25">
      <c r="A549" s="274">
        <v>44817</v>
      </c>
      <c r="B549" s="511">
        <v>44813</v>
      </c>
      <c r="C549" s="381" t="s">
        <v>5280</v>
      </c>
      <c r="D549" s="273" t="s">
        <v>304</v>
      </c>
      <c r="E549" s="669" t="s">
        <v>392</v>
      </c>
      <c r="F549" s="272" t="s">
        <v>2644</v>
      </c>
      <c r="G549" s="255" t="s">
        <v>5742</v>
      </c>
      <c r="H549" s="333">
        <v>12890174.75</v>
      </c>
      <c r="I549" s="334">
        <v>47196</v>
      </c>
      <c r="J549" s="682">
        <v>11570251</v>
      </c>
      <c r="K549" s="682">
        <v>1272727</v>
      </c>
      <c r="L549" s="333">
        <f t="shared" si="167"/>
        <v>12842978</v>
      </c>
      <c r="M549" s="333">
        <f t="shared" si="168"/>
        <v>12842978.75</v>
      </c>
    </row>
    <row r="550" spans="1:13" s="256" customFormat="1" x14ac:dyDescent="0.25">
      <c r="A550" s="274">
        <v>44820</v>
      </c>
      <c r="B550" s="511">
        <v>44817</v>
      </c>
      <c r="C550" s="381" t="s">
        <v>5579</v>
      </c>
      <c r="D550" s="273" t="s">
        <v>304</v>
      </c>
      <c r="E550" s="669" t="s">
        <v>392</v>
      </c>
      <c r="F550" s="272" t="s">
        <v>2644</v>
      </c>
      <c r="G550" s="255" t="s">
        <v>5743</v>
      </c>
      <c r="H550" s="333">
        <v>41362335</v>
      </c>
      <c r="I550" s="334">
        <v>0</v>
      </c>
      <c r="J550" s="682">
        <v>37263364</v>
      </c>
      <c r="K550" s="682">
        <v>4098970</v>
      </c>
      <c r="L550" s="333">
        <f t="shared" ref="L550" si="169">SUM(J550:K550)</f>
        <v>41362334</v>
      </c>
      <c r="M550" s="333">
        <f t="shared" ref="M550" si="170">H550-I550</f>
        <v>41362335</v>
      </c>
    </row>
    <row r="551" spans="1:13" s="256" customFormat="1" x14ac:dyDescent="0.25">
      <c r="A551" s="274">
        <v>44825</v>
      </c>
      <c r="B551" s="511">
        <v>44821</v>
      </c>
      <c r="C551" s="381" t="s">
        <v>5653</v>
      </c>
      <c r="D551" s="273" t="s">
        <v>304</v>
      </c>
      <c r="E551" s="669" t="s">
        <v>392</v>
      </c>
      <c r="F551" s="272" t="s">
        <v>2644</v>
      </c>
      <c r="G551" s="255"/>
      <c r="H551" s="333">
        <v>52435748.75</v>
      </c>
      <c r="I551" s="334">
        <v>0</v>
      </c>
      <c r="J551" s="682">
        <f t="shared" ref="J551:J557" si="171">(H551-I551)/1.11</f>
        <v>47239413.288288288</v>
      </c>
      <c r="K551" s="682">
        <f t="shared" ref="K551:K557" si="172">J551*11%</f>
        <v>5196335.4617117113</v>
      </c>
      <c r="L551" s="333">
        <f t="shared" ref="L551:L557" si="173">SUM(J551:K551)</f>
        <v>52435748.75</v>
      </c>
      <c r="M551" s="333">
        <f t="shared" ref="M551:M557" si="174">H551-I551</f>
        <v>52435748.75</v>
      </c>
    </row>
    <row r="552" spans="1:13" s="256" customFormat="1" x14ac:dyDescent="0.25">
      <c r="A552" s="274">
        <v>44827</v>
      </c>
      <c r="B552" s="511">
        <v>44821</v>
      </c>
      <c r="C552" s="381" t="s">
        <v>5654</v>
      </c>
      <c r="D552" s="273" t="s">
        <v>304</v>
      </c>
      <c r="E552" s="669" t="s">
        <v>392</v>
      </c>
      <c r="F552" s="272" t="s">
        <v>2644</v>
      </c>
      <c r="G552" s="255"/>
      <c r="H552" s="333">
        <v>24663919</v>
      </c>
      <c r="I552" s="334">
        <v>0</v>
      </c>
      <c r="J552" s="682">
        <f t="shared" si="171"/>
        <v>22219746.846846845</v>
      </c>
      <c r="K552" s="682">
        <f t="shared" si="172"/>
        <v>2444172.1531531531</v>
      </c>
      <c r="L552" s="333">
        <f t="shared" si="173"/>
        <v>24663919</v>
      </c>
      <c r="M552" s="333">
        <f t="shared" si="174"/>
        <v>24663919</v>
      </c>
    </row>
    <row r="553" spans="1:13" s="256" customFormat="1" x14ac:dyDescent="0.25">
      <c r="A553" s="274">
        <v>44827</v>
      </c>
      <c r="B553" s="511">
        <v>44821</v>
      </c>
      <c r="C553" s="381" t="s">
        <v>5655</v>
      </c>
      <c r="D553" s="273" t="s">
        <v>304</v>
      </c>
      <c r="E553" s="669" t="s">
        <v>392</v>
      </c>
      <c r="F553" s="272" t="s">
        <v>2644</v>
      </c>
      <c r="G553" s="255"/>
      <c r="H553" s="333">
        <v>29062561.5</v>
      </c>
      <c r="I553" s="334">
        <v>660744</v>
      </c>
      <c r="J553" s="682">
        <f t="shared" si="171"/>
        <v>25587222.97297297</v>
      </c>
      <c r="K553" s="682">
        <f t="shared" si="172"/>
        <v>2814594.5270270268</v>
      </c>
      <c r="L553" s="333">
        <f t="shared" si="173"/>
        <v>28401817.499999996</v>
      </c>
      <c r="M553" s="333">
        <f t="shared" si="174"/>
        <v>28401817.5</v>
      </c>
    </row>
    <row r="554" spans="1:13" s="256" customFormat="1" x14ac:dyDescent="0.25">
      <c r="A554" s="274">
        <v>44827</v>
      </c>
      <c r="B554" s="511">
        <v>44821</v>
      </c>
      <c r="C554" s="381" t="s">
        <v>5656</v>
      </c>
      <c r="D554" s="273" t="s">
        <v>304</v>
      </c>
      <c r="E554" s="669" t="s">
        <v>392</v>
      </c>
      <c r="F554" s="272" t="s">
        <v>2644</v>
      </c>
      <c r="G554" s="255"/>
      <c r="H554" s="333">
        <v>7110180</v>
      </c>
      <c r="I554" s="334">
        <v>0</v>
      </c>
      <c r="J554" s="682">
        <f t="shared" si="171"/>
        <v>6405567.5675675673</v>
      </c>
      <c r="K554" s="682">
        <f t="shared" si="172"/>
        <v>704612.43243243243</v>
      </c>
      <c r="L554" s="333">
        <f t="shared" si="173"/>
        <v>7110180</v>
      </c>
      <c r="M554" s="333">
        <f t="shared" si="174"/>
        <v>7110180</v>
      </c>
    </row>
    <row r="555" spans="1:13" s="256" customFormat="1" x14ac:dyDescent="0.25">
      <c r="A555" s="274">
        <v>44827</v>
      </c>
      <c r="B555" s="511">
        <v>44821</v>
      </c>
      <c r="C555" s="381" t="s">
        <v>5657</v>
      </c>
      <c r="D555" s="273" t="s">
        <v>304</v>
      </c>
      <c r="E555" s="669" t="s">
        <v>392</v>
      </c>
      <c r="F555" s="272" t="s">
        <v>2644</v>
      </c>
      <c r="G555" s="255"/>
      <c r="H555" s="333">
        <v>57255502.5</v>
      </c>
      <c r="I555" s="334">
        <v>1927170</v>
      </c>
      <c r="J555" s="682">
        <f t="shared" si="171"/>
        <v>49845344.59459459</v>
      </c>
      <c r="K555" s="682">
        <f t="shared" si="172"/>
        <v>5482987.905405405</v>
      </c>
      <c r="L555" s="333">
        <f t="shared" si="173"/>
        <v>55328332.499999993</v>
      </c>
      <c r="M555" s="333">
        <f t="shared" si="174"/>
        <v>55328332.5</v>
      </c>
    </row>
    <row r="556" spans="1:13" s="256" customFormat="1" x14ac:dyDescent="0.25">
      <c r="A556" s="274">
        <v>44827</v>
      </c>
      <c r="B556" s="511">
        <v>44823</v>
      </c>
      <c r="C556" s="381" t="s">
        <v>5658</v>
      </c>
      <c r="D556" s="273" t="s">
        <v>304</v>
      </c>
      <c r="E556" s="669" t="s">
        <v>392</v>
      </c>
      <c r="F556" s="272" t="s">
        <v>2644</v>
      </c>
      <c r="G556" s="255"/>
      <c r="H556" s="333">
        <v>61211587.5</v>
      </c>
      <c r="I556" s="334">
        <v>2064825</v>
      </c>
      <c r="J556" s="682">
        <f t="shared" si="171"/>
        <v>53285371.621621616</v>
      </c>
      <c r="K556" s="682">
        <f t="shared" si="172"/>
        <v>5861390.8783783782</v>
      </c>
      <c r="L556" s="333">
        <f t="shared" si="173"/>
        <v>59146762.499999993</v>
      </c>
      <c r="M556" s="333">
        <f t="shared" si="174"/>
        <v>59146762.5</v>
      </c>
    </row>
    <row r="557" spans="1:13" s="256" customFormat="1" x14ac:dyDescent="0.25">
      <c r="A557" s="274">
        <v>44827</v>
      </c>
      <c r="B557" s="511">
        <v>44823</v>
      </c>
      <c r="C557" s="381" t="s">
        <v>5659</v>
      </c>
      <c r="D557" s="273" t="s">
        <v>304</v>
      </c>
      <c r="E557" s="669" t="s">
        <v>392</v>
      </c>
      <c r="F557" s="272" t="s">
        <v>2644</v>
      </c>
      <c r="G557" s="255"/>
      <c r="H557" s="333">
        <v>6894720</v>
      </c>
      <c r="I557" s="334">
        <v>0</v>
      </c>
      <c r="J557" s="682">
        <f t="shared" si="171"/>
        <v>6211459.4594594585</v>
      </c>
      <c r="K557" s="682">
        <f t="shared" si="172"/>
        <v>683260.54054054047</v>
      </c>
      <c r="L557" s="333">
        <f t="shared" si="173"/>
        <v>6894719.9999999991</v>
      </c>
      <c r="M557" s="333">
        <f t="shared" si="174"/>
        <v>6894720</v>
      </c>
    </row>
    <row r="558" spans="1:13" s="256" customFormat="1" x14ac:dyDescent="0.25">
      <c r="A558" s="274">
        <v>44830</v>
      </c>
      <c r="B558" s="511">
        <v>44824</v>
      </c>
      <c r="C558" s="381" t="s">
        <v>5681</v>
      </c>
      <c r="D558" s="273" t="s">
        <v>304</v>
      </c>
      <c r="E558" s="669" t="s">
        <v>392</v>
      </c>
      <c r="F558" s="272" t="s">
        <v>2644</v>
      </c>
      <c r="G558" s="255"/>
      <c r="H558" s="333">
        <v>9911160</v>
      </c>
      <c r="I558" s="334">
        <v>0</v>
      </c>
      <c r="J558" s="682">
        <f t="shared" ref="J558:J565" si="175">(H558-I558)/1.11</f>
        <v>8928972.9729729723</v>
      </c>
      <c r="K558" s="682">
        <f t="shared" ref="K558:K565" si="176">J558*11%</f>
        <v>982187.02702702698</v>
      </c>
      <c r="L558" s="333">
        <f t="shared" ref="L558:L565" si="177">SUM(J558:K558)</f>
        <v>9911160</v>
      </c>
      <c r="M558" s="333">
        <f t="shared" ref="M558:M565" si="178">H558-I558</f>
        <v>9911160</v>
      </c>
    </row>
    <row r="559" spans="1:13" s="256" customFormat="1" x14ac:dyDescent="0.25">
      <c r="A559" s="274">
        <v>44830</v>
      </c>
      <c r="B559" s="511">
        <v>44824</v>
      </c>
      <c r="C559" s="381" t="s">
        <v>5682</v>
      </c>
      <c r="D559" s="273" t="s">
        <v>304</v>
      </c>
      <c r="E559" s="669" t="s">
        <v>392</v>
      </c>
      <c r="F559" s="272" t="s">
        <v>2644</v>
      </c>
      <c r="G559" s="255"/>
      <c r="H559" s="333">
        <v>40160513.75</v>
      </c>
      <c r="I559" s="334">
        <v>0</v>
      </c>
      <c r="J559" s="682">
        <f t="shared" si="175"/>
        <v>36180643.018018015</v>
      </c>
      <c r="K559" s="682">
        <f t="shared" si="176"/>
        <v>3979870.7319819815</v>
      </c>
      <c r="L559" s="333">
        <f t="shared" si="177"/>
        <v>40160513.75</v>
      </c>
      <c r="M559" s="333">
        <f t="shared" si="178"/>
        <v>40160513.75</v>
      </c>
    </row>
    <row r="560" spans="1:13" s="256" customFormat="1" x14ac:dyDescent="0.25">
      <c r="A560" s="274">
        <v>44830</v>
      </c>
      <c r="B560" s="511">
        <v>44824</v>
      </c>
      <c r="C560" s="381" t="s">
        <v>5683</v>
      </c>
      <c r="D560" s="273" t="s">
        <v>304</v>
      </c>
      <c r="E560" s="669" t="s">
        <v>392</v>
      </c>
      <c r="F560" s="272" t="s">
        <v>2644</v>
      </c>
      <c r="G560" s="255"/>
      <c r="H560" s="333">
        <v>12137580</v>
      </c>
      <c r="I560" s="334">
        <v>0</v>
      </c>
      <c r="J560" s="682">
        <f t="shared" si="175"/>
        <v>10934756.756756756</v>
      </c>
      <c r="K560" s="682">
        <f t="shared" si="176"/>
        <v>1202823.2432432433</v>
      </c>
      <c r="L560" s="333">
        <f t="shared" si="177"/>
        <v>12137580</v>
      </c>
      <c r="M560" s="333">
        <f t="shared" si="178"/>
        <v>12137580</v>
      </c>
    </row>
    <row r="561" spans="1:13" s="256" customFormat="1" x14ac:dyDescent="0.25">
      <c r="A561" s="274">
        <v>44830</v>
      </c>
      <c r="B561" s="511">
        <v>44824</v>
      </c>
      <c r="C561" s="381" t="s">
        <v>5684</v>
      </c>
      <c r="D561" s="273" t="s">
        <v>304</v>
      </c>
      <c r="E561" s="669" t="s">
        <v>392</v>
      </c>
      <c r="F561" s="272" t="s">
        <v>2644</v>
      </c>
      <c r="G561" s="255"/>
      <c r="H561" s="333">
        <v>26852700</v>
      </c>
      <c r="I561" s="334">
        <v>0</v>
      </c>
      <c r="J561" s="682">
        <f t="shared" si="175"/>
        <v>24191621.62162162</v>
      </c>
      <c r="K561" s="682">
        <f t="shared" si="176"/>
        <v>2661078.3783783782</v>
      </c>
      <c r="L561" s="333">
        <f t="shared" si="177"/>
        <v>26852700</v>
      </c>
      <c r="M561" s="333">
        <f t="shared" si="178"/>
        <v>26852700</v>
      </c>
    </row>
    <row r="562" spans="1:13" s="256" customFormat="1" x14ac:dyDescent="0.25">
      <c r="A562" s="274">
        <v>44830</v>
      </c>
      <c r="B562" s="511">
        <v>44825</v>
      </c>
      <c r="C562" s="381" t="s">
        <v>5685</v>
      </c>
      <c r="D562" s="273" t="s">
        <v>304</v>
      </c>
      <c r="E562" s="669" t="s">
        <v>392</v>
      </c>
      <c r="F562" s="272" t="s">
        <v>2644</v>
      </c>
      <c r="G562" s="255"/>
      <c r="H562" s="333">
        <v>2320185</v>
      </c>
      <c r="I562" s="334">
        <v>0</v>
      </c>
      <c r="J562" s="682">
        <f t="shared" si="175"/>
        <v>2090256.7567567567</v>
      </c>
      <c r="K562" s="682">
        <f t="shared" si="176"/>
        <v>229928.24324324323</v>
      </c>
      <c r="L562" s="333">
        <f t="shared" si="177"/>
        <v>2320185</v>
      </c>
      <c r="M562" s="333">
        <f t="shared" si="178"/>
        <v>2320185</v>
      </c>
    </row>
    <row r="563" spans="1:13" s="256" customFormat="1" x14ac:dyDescent="0.25">
      <c r="A563" s="274">
        <v>44830</v>
      </c>
      <c r="B563" s="511">
        <v>44825</v>
      </c>
      <c r="C563" s="381" t="s">
        <v>5686</v>
      </c>
      <c r="D563" s="273" t="s">
        <v>304</v>
      </c>
      <c r="E563" s="669" t="s">
        <v>392</v>
      </c>
      <c r="F563" s="272" t="s">
        <v>2644</v>
      </c>
      <c r="G563" s="255"/>
      <c r="H563" s="333">
        <v>799995</v>
      </c>
      <c r="I563" s="334">
        <v>0</v>
      </c>
      <c r="J563" s="682">
        <f t="shared" si="175"/>
        <v>720716.2162162161</v>
      </c>
      <c r="K563" s="682">
        <f t="shared" si="176"/>
        <v>79278.783783783772</v>
      </c>
      <c r="L563" s="333">
        <f t="shared" si="177"/>
        <v>799994.99999999988</v>
      </c>
      <c r="M563" s="333">
        <f t="shared" si="178"/>
        <v>799995</v>
      </c>
    </row>
    <row r="564" spans="1:13" s="256" customFormat="1" x14ac:dyDescent="0.25">
      <c r="A564" s="274">
        <v>44831</v>
      </c>
      <c r="B564" s="511">
        <v>44826</v>
      </c>
      <c r="C564" s="381" t="s">
        <v>5687</v>
      </c>
      <c r="D564" s="273" t="s">
        <v>304</v>
      </c>
      <c r="E564" s="669" t="s">
        <v>392</v>
      </c>
      <c r="F564" s="272" t="s">
        <v>2644</v>
      </c>
      <c r="G564" s="255"/>
      <c r="H564" s="333">
        <v>3511200</v>
      </c>
      <c r="I564" s="334">
        <v>0</v>
      </c>
      <c r="J564" s="682">
        <f t="shared" si="175"/>
        <v>3163243.2432432431</v>
      </c>
      <c r="K564" s="682">
        <f t="shared" si="176"/>
        <v>347956.75675675675</v>
      </c>
      <c r="L564" s="333">
        <f t="shared" si="177"/>
        <v>3511200</v>
      </c>
      <c r="M564" s="333">
        <f t="shared" si="178"/>
        <v>3511200</v>
      </c>
    </row>
    <row r="565" spans="1:13" s="256" customFormat="1" x14ac:dyDescent="0.25">
      <c r="A565" s="274">
        <v>44831</v>
      </c>
      <c r="B565" s="511">
        <v>44826</v>
      </c>
      <c r="C565" s="381" t="s">
        <v>5688</v>
      </c>
      <c r="D565" s="273" t="s">
        <v>304</v>
      </c>
      <c r="E565" s="669" t="s">
        <v>392</v>
      </c>
      <c r="F565" s="272" t="s">
        <v>2644</v>
      </c>
      <c r="G565" s="255"/>
      <c r="H565" s="333">
        <v>9519142.5</v>
      </c>
      <c r="I565" s="334">
        <v>0</v>
      </c>
      <c r="J565" s="682">
        <f t="shared" si="175"/>
        <v>8575804.0540540535</v>
      </c>
      <c r="K565" s="682">
        <f t="shared" si="176"/>
        <v>943338.44594594592</v>
      </c>
      <c r="L565" s="333">
        <f t="shared" si="177"/>
        <v>9519142.5</v>
      </c>
      <c r="M565" s="333">
        <f t="shared" si="178"/>
        <v>9519142.5</v>
      </c>
    </row>
    <row r="566" spans="1:13" s="256" customFormat="1" x14ac:dyDescent="0.25">
      <c r="A566" s="274">
        <v>44835</v>
      </c>
      <c r="B566" s="511">
        <v>44831</v>
      </c>
      <c r="C566" s="381" t="s">
        <v>5744</v>
      </c>
      <c r="D566" s="273" t="s">
        <v>304</v>
      </c>
      <c r="E566" s="669" t="s">
        <v>392</v>
      </c>
      <c r="F566" s="272" t="s">
        <v>2644</v>
      </c>
      <c r="G566" s="255"/>
      <c r="H566" s="333">
        <v>7421400</v>
      </c>
      <c r="I566" s="334">
        <v>0</v>
      </c>
      <c r="J566" s="682">
        <f t="shared" ref="J566" si="179">(H566-I566)/1.11</f>
        <v>6685945.9459459456</v>
      </c>
      <c r="K566" s="682">
        <f t="shared" ref="K566" si="180">J566*11%</f>
        <v>735454.05405405397</v>
      </c>
      <c r="L566" s="333">
        <f t="shared" ref="L566" si="181">SUM(J566:K566)</f>
        <v>7421400</v>
      </c>
      <c r="M566" s="333">
        <f t="shared" ref="M566" si="182">H566-I566</f>
        <v>7421400</v>
      </c>
    </row>
    <row r="567" spans="1:13" s="256" customFormat="1" x14ac:dyDescent="0.25">
      <c r="A567" s="274">
        <v>44837</v>
      </c>
      <c r="B567" s="511">
        <v>44832</v>
      </c>
      <c r="C567" s="381" t="s">
        <v>5746</v>
      </c>
      <c r="D567" s="273" t="s">
        <v>304</v>
      </c>
      <c r="E567" s="669" t="s">
        <v>392</v>
      </c>
      <c r="F567" s="272" t="s">
        <v>2644</v>
      </c>
      <c r="G567" s="255"/>
      <c r="H567" s="333">
        <v>23690292.5</v>
      </c>
      <c r="I567" s="334">
        <v>0</v>
      </c>
      <c r="J567" s="682">
        <f t="shared" ref="J567:J569" si="183">(H567-I567)/1.11</f>
        <v>21342605.855855852</v>
      </c>
      <c r="K567" s="682">
        <f t="shared" ref="K567:K569" si="184">J567*11%</f>
        <v>2347686.6441441439</v>
      </c>
      <c r="L567" s="333">
        <f t="shared" ref="L567:L569" si="185">SUM(J567:K567)</f>
        <v>23690292.499999996</v>
      </c>
      <c r="M567" s="333">
        <f t="shared" ref="M567:M569" si="186">H567-I567</f>
        <v>23690292.5</v>
      </c>
    </row>
    <row r="568" spans="1:13" s="256" customFormat="1" x14ac:dyDescent="0.25">
      <c r="A568" s="274">
        <v>44837</v>
      </c>
      <c r="B568" s="511">
        <v>44832</v>
      </c>
      <c r="C568" s="381" t="s">
        <v>5747</v>
      </c>
      <c r="D568" s="273" t="s">
        <v>304</v>
      </c>
      <c r="E568" s="669" t="s">
        <v>392</v>
      </c>
      <c r="F568" s="272" t="s">
        <v>2644</v>
      </c>
      <c r="G568" s="255"/>
      <c r="H568" s="333">
        <v>10042830</v>
      </c>
      <c r="I568" s="334">
        <v>0</v>
      </c>
      <c r="J568" s="682">
        <f t="shared" si="183"/>
        <v>9047594.5945945941</v>
      </c>
      <c r="K568" s="682">
        <f t="shared" si="184"/>
        <v>995235.40540540533</v>
      </c>
      <c r="L568" s="333">
        <f t="shared" si="185"/>
        <v>10042830</v>
      </c>
      <c r="M568" s="333">
        <f t="shared" si="186"/>
        <v>10042830</v>
      </c>
    </row>
    <row r="569" spans="1:13" s="256" customFormat="1" x14ac:dyDescent="0.25">
      <c r="A569" s="274">
        <v>44837</v>
      </c>
      <c r="B569" s="511">
        <v>44832</v>
      </c>
      <c r="C569" s="381" t="s">
        <v>5748</v>
      </c>
      <c r="D569" s="273" t="s">
        <v>304</v>
      </c>
      <c r="E569" s="669" t="s">
        <v>392</v>
      </c>
      <c r="F569" s="272" t="s">
        <v>2644</v>
      </c>
      <c r="G569" s="255"/>
      <c r="H569" s="333">
        <v>20043765</v>
      </c>
      <c r="I569" s="334">
        <v>0</v>
      </c>
      <c r="J569" s="682">
        <f t="shared" si="183"/>
        <v>18057445.945945945</v>
      </c>
      <c r="K569" s="682">
        <f t="shared" si="184"/>
        <v>1986319.054054054</v>
      </c>
      <c r="L569" s="333">
        <f t="shared" si="185"/>
        <v>20043765</v>
      </c>
      <c r="M569" s="333">
        <f t="shared" si="186"/>
        <v>20043765</v>
      </c>
    </row>
    <row r="570" spans="1:13" s="256" customFormat="1" x14ac:dyDescent="0.25">
      <c r="A570" s="274">
        <v>44838</v>
      </c>
      <c r="B570" s="511">
        <v>44834</v>
      </c>
      <c r="C570" s="381" t="s">
        <v>5784</v>
      </c>
      <c r="D570" s="273" t="s">
        <v>304</v>
      </c>
      <c r="E570" s="669" t="s">
        <v>392</v>
      </c>
      <c r="F570" s="272" t="s">
        <v>2644</v>
      </c>
      <c r="G570" s="255"/>
      <c r="H570" s="333">
        <v>7541100</v>
      </c>
      <c r="I570" s="334">
        <v>0</v>
      </c>
      <c r="J570" s="682">
        <f t="shared" ref="J570" si="187">(H570-I570)/1.11</f>
        <v>6793783.7837837832</v>
      </c>
      <c r="K570" s="682">
        <f t="shared" ref="K570" si="188">J570*11%</f>
        <v>747316.21621621621</v>
      </c>
      <c r="L570" s="333">
        <f t="shared" ref="L570" si="189">SUM(J570:K570)</f>
        <v>7541099.9999999991</v>
      </c>
      <c r="M570" s="333">
        <f t="shared" ref="M570" si="190">H570-I570</f>
        <v>7541100</v>
      </c>
    </row>
    <row r="571" spans="1:13" s="256" customFormat="1" x14ac:dyDescent="0.25">
      <c r="A571" s="274"/>
      <c r="B571" s="511"/>
      <c r="C571" s="381"/>
      <c r="D571" s="670"/>
      <c r="E571" s="669"/>
      <c r="F571" s="668"/>
      <c r="G571" s="255"/>
      <c r="H571" s="333"/>
      <c r="I571" s="334"/>
      <c r="J571" s="682"/>
      <c r="K571" s="682"/>
      <c r="L571" s="333"/>
      <c r="M571" s="333"/>
    </row>
    <row r="572" spans="1:13" s="256" customFormat="1" x14ac:dyDescent="0.25">
      <c r="A572" s="274">
        <v>44820</v>
      </c>
      <c r="B572" s="511">
        <v>44816</v>
      </c>
      <c r="C572" s="381" t="s">
        <v>5578</v>
      </c>
      <c r="D572" s="273" t="s">
        <v>317</v>
      </c>
      <c r="E572" s="275" t="s">
        <v>395</v>
      </c>
      <c r="F572" s="272" t="s">
        <v>396</v>
      </c>
      <c r="G572" s="255" t="s">
        <v>5977</v>
      </c>
      <c r="H572" s="333">
        <v>15088500</v>
      </c>
      <c r="I572" s="334">
        <v>0</v>
      </c>
      <c r="J572" s="682">
        <v>13593243</v>
      </c>
      <c r="K572" s="682">
        <v>1495256</v>
      </c>
      <c r="L572" s="333">
        <f t="shared" ref="L572:L613" si="191">SUM(J572:K572)</f>
        <v>15088499</v>
      </c>
      <c r="M572" s="333">
        <f>H572-I572</f>
        <v>15088500</v>
      </c>
    </row>
    <row r="573" spans="1:13" s="256" customFormat="1" x14ac:dyDescent="0.25">
      <c r="A573" s="274">
        <v>44830</v>
      </c>
      <c r="B573" s="511">
        <v>44825</v>
      </c>
      <c r="C573" s="381" t="s">
        <v>5689</v>
      </c>
      <c r="D573" s="273" t="s">
        <v>317</v>
      </c>
      <c r="E573" s="275" t="s">
        <v>395</v>
      </c>
      <c r="F573" s="272" t="s">
        <v>396</v>
      </c>
      <c r="G573" s="255" t="s">
        <v>5978</v>
      </c>
      <c r="H573" s="333">
        <v>4688250</v>
      </c>
      <c r="I573" s="334">
        <v>0</v>
      </c>
      <c r="J573" s="682">
        <v>4223648</v>
      </c>
      <c r="K573" s="682">
        <v>464601</v>
      </c>
      <c r="L573" s="333">
        <f t="shared" ref="L573" si="192">SUM(J573:K573)</f>
        <v>4688249</v>
      </c>
      <c r="M573" s="333">
        <f>H573-I573</f>
        <v>4688250</v>
      </c>
    </row>
    <row r="574" spans="1:13" s="256" customFormat="1" x14ac:dyDescent="0.25">
      <c r="A574" s="274">
        <v>44837</v>
      </c>
      <c r="B574" s="511">
        <v>44832</v>
      </c>
      <c r="C574" s="381" t="s">
        <v>5749</v>
      </c>
      <c r="D574" s="273" t="s">
        <v>317</v>
      </c>
      <c r="E574" s="275" t="s">
        <v>395</v>
      </c>
      <c r="F574" s="272" t="s">
        <v>396</v>
      </c>
      <c r="G574" s="255" t="s">
        <v>5979</v>
      </c>
      <c r="H574" s="333">
        <v>12668250</v>
      </c>
      <c r="I574" s="334">
        <v>206567</v>
      </c>
      <c r="J574" s="682">
        <v>11226741</v>
      </c>
      <c r="K574" s="682">
        <v>1234941</v>
      </c>
      <c r="L574" s="333">
        <f t="shared" ref="L574" si="193">SUM(J574:K574)</f>
        <v>12461682</v>
      </c>
      <c r="M574" s="333">
        <f>H574-I574</f>
        <v>12461683</v>
      </c>
    </row>
    <row r="575" spans="1:13" s="256" customFormat="1" x14ac:dyDescent="0.25">
      <c r="A575" s="274"/>
      <c r="B575" s="511"/>
      <c r="C575" s="381"/>
      <c r="D575" s="273"/>
      <c r="E575" s="275"/>
      <c r="F575" s="272"/>
      <c r="G575" s="255"/>
      <c r="H575" s="333"/>
      <c r="I575" s="334"/>
      <c r="J575" s="682"/>
      <c r="K575" s="682"/>
      <c r="L575" s="333"/>
      <c r="M575" s="333"/>
    </row>
    <row r="576" spans="1:13" s="256" customFormat="1" x14ac:dyDescent="0.25">
      <c r="A576" s="274">
        <v>44805</v>
      </c>
      <c r="B576" s="511">
        <v>44805</v>
      </c>
      <c r="C576" s="381" t="s">
        <v>5266</v>
      </c>
      <c r="D576" s="273" t="s">
        <v>400</v>
      </c>
      <c r="E576" s="275" t="s">
        <v>401</v>
      </c>
      <c r="F576" s="272" t="s">
        <v>402</v>
      </c>
      <c r="G576" s="255" t="s">
        <v>5693</v>
      </c>
      <c r="H576" s="333">
        <v>169992000</v>
      </c>
      <c r="I576" s="334">
        <v>28898640</v>
      </c>
      <c r="J576" s="682">
        <v>127111135</v>
      </c>
      <c r="K576" s="682">
        <v>13982224</v>
      </c>
      <c r="L576" s="333">
        <f t="shared" ref="L576:L586" si="194">SUM(J576:K576)</f>
        <v>141093359</v>
      </c>
      <c r="M576" s="333">
        <f t="shared" ref="M576:M586" si="195">H576-I576</f>
        <v>141093360</v>
      </c>
    </row>
    <row r="577" spans="1:13" s="256" customFormat="1" x14ac:dyDescent="0.25">
      <c r="A577" s="274">
        <v>44805</v>
      </c>
      <c r="B577" s="511">
        <v>44805</v>
      </c>
      <c r="C577" s="381" t="s">
        <v>5267</v>
      </c>
      <c r="D577" s="273" t="s">
        <v>400</v>
      </c>
      <c r="E577" s="275" t="s">
        <v>401</v>
      </c>
      <c r="F577" s="272" t="s">
        <v>402</v>
      </c>
      <c r="G577" s="255" t="s">
        <v>5694</v>
      </c>
      <c r="H577" s="333">
        <v>10473600</v>
      </c>
      <c r="I577" s="334">
        <v>1780512</v>
      </c>
      <c r="J577" s="682">
        <v>7831610</v>
      </c>
      <c r="K577" s="682">
        <v>861477</v>
      </c>
      <c r="L577" s="333">
        <f t="shared" si="194"/>
        <v>8693087</v>
      </c>
      <c r="M577" s="333">
        <f t="shared" si="195"/>
        <v>8693088</v>
      </c>
    </row>
    <row r="578" spans="1:13" s="256" customFormat="1" x14ac:dyDescent="0.25">
      <c r="A578" s="274">
        <v>44806</v>
      </c>
      <c r="B578" s="511">
        <v>44805</v>
      </c>
      <c r="C578" s="381" t="s">
        <v>5268</v>
      </c>
      <c r="D578" s="273" t="s">
        <v>400</v>
      </c>
      <c r="E578" s="275" t="s">
        <v>401</v>
      </c>
      <c r="F578" s="272" t="s">
        <v>402</v>
      </c>
      <c r="G578" s="255" t="s">
        <v>5695</v>
      </c>
      <c r="H578" s="333">
        <v>32306400</v>
      </c>
      <c r="I578" s="334">
        <v>5492088</v>
      </c>
      <c r="J578" s="682">
        <v>24157037</v>
      </c>
      <c r="K578" s="682">
        <v>2657274</v>
      </c>
      <c r="L578" s="333">
        <f t="shared" si="194"/>
        <v>26814311</v>
      </c>
      <c r="M578" s="333">
        <f t="shared" si="195"/>
        <v>26814312</v>
      </c>
    </row>
    <row r="579" spans="1:13" s="256" customFormat="1" x14ac:dyDescent="0.25">
      <c r="A579" s="274">
        <v>44806</v>
      </c>
      <c r="B579" s="511">
        <v>44805</v>
      </c>
      <c r="C579" s="381" t="s">
        <v>5269</v>
      </c>
      <c r="D579" s="273" t="s">
        <v>400</v>
      </c>
      <c r="E579" s="275" t="s">
        <v>401</v>
      </c>
      <c r="F579" s="272" t="s">
        <v>402</v>
      </c>
      <c r="G579" s="255" t="s">
        <v>5696</v>
      </c>
      <c r="H579" s="333">
        <v>99112200</v>
      </c>
      <c r="I579" s="334">
        <v>16849074.000000004</v>
      </c>
      <c r="J579" s="682">
        <v>74110924</v>
      </c>
      <c r="K579" s="682">
        <v>8152201</v>
      </c>
      <c r="L579" s="333">
        <f t="shared" si="194"/>
        <v>82263125</v>
      </c>
      <c r="M579" s="333">
        <f t="shared" si="195"/>
        <v>82263126</v>
      </c>
    </row>
    <row r="580" spans="1:13" s="256" customFormat="1" x14ac:dyDescent="0.25">
      <c r="A580" s="274">
        <v>44809</v>
      </c>
      <c r="B580" s="511">
        <v>44806</v>
      </c>
      <c r="C580" s="381" t="s">
        <v>5270</v>
      </c>
      <c r="D580" s="273" t="s">
        <v>400</v>
      </c>
      <c r="E580" s="275" t="s">
        <v>401</v>
      </c>
      <c r="F580" s="272" t="s">
        <v>402</v>
      </c>
      <c r="G580" s="255" t="s">
        <v>5697</v>
      </c>
      <c r="H580" s="333">
        <v>10512000</v>
      </c>
      <c r="I580" s="334">
        <v>1787040.0000000002</v>
      </c>
      <c r="J580" s="682">
        <v>7860324</v>
      </c>
      <c r="K580" s="682">
        <v>864635</v>
      </c>
      <c r="L580" s="333">
        <f t="shared" si="194"/>
        <v>8724959</v>
      </c>
      <c r="M580" s="333">
        <f t="shared" si="195"/>
        <v>8724960</v>
      </c>
    </row>
    <row r="581" spans="1:13" s="256" customFormat="1" x14ac:dyDescent="0.25">
      <c r="A581" s="274">
        <v>44813</v>
      </c>
      <c r="B581" s="511">
        <v>44809</v>
      </c>
      <c r="C581" s="381" t="s">
        <v>5271</v>
      </c>
      <c r="D581" s="273" t="s">
        <v>400</v>
      </c>
      <c r="E581" s="275" t="s">
        <v>401</v>
      </c>
      <c r="F581" s="272" t="s">
        <v>402</v>
      </c>
      <c r="G581" s="255" t="s">
        <v>5698</v>
      </c>
      <c r="H581" s="333">
        <v>25277200</v>
      </c>
      <c r="I581" s="334">
        <v>4297124</v>
      </c>
      <c r="J581" s="682">
        <v>18900969</v>
      </c>
      <c r="K581" s="682">
        <v>2079106</v>
      </c>
      <c r="L581" s="333">
        <f t="shared" si="194"/>
        <v>20980075</v>
      </c>
      <c r="M581" s="333">
        <f t="shared" si="195"/>
        <v>20980076</v>
      </c>
    </row>
    <row r="582" spans="1:13" s="256" customFormat="1" x14ac:dyDescent="0.25">
      <c r="A582" s="274">
        <v>44812</v>
      </c>
      <c r="B582" s="511">
        <v>44810</v>
      </c>
      <c r="C582" s="381" t="s">
        <v>5272</v>
      </c>
      <c r="D582" s="273" t="s">
        <v>400</v>
      </c>
      <c r="E582" s="275" t="s">
        <v>401</v>
      </c>
      <c r="F582" s="272" t="s">
        <v>402</v>
      </c>
      <c r="G582" s="255" t="s">
        <v>5699</v>
      </c>
      <c r="H582" s="333">
        <v>162412800</v>
      </c>
      <c r="I582" s="334">
        <v>27610176</v>
      </c>
      <c r="J582" s="682">
        <v>121443805</v>
      </c>
      <c r="K582" s="682">
        <v>13358818</v>
      </c>
      <c r="L582" s="333">
        <f t="shared" si="194"/>
        <v>134802623</v>
      </c>
      <c r="M582" s="333">
        <f t="shared" si="195"/>
        <v>134802624</v>
      </c>
    </row>
    <row r="583" spans="1:13" s="256" customFormat="1" x14ac:dyDescent="0.25">
      <c r="A583" s="274">
        <v>44813</v>
      </c>
      <c r="B583" s="511">
        <v>44811</v>
      </c>
      <c r="C583" s="381" t="s">
        <v>5273</v>
      </c>
      <c r="D583" s="273" t="s">
        <v>400</v>
      </c>
      <c r="E583" s="275" t="s">
        <v>401</v>
      </c>
      <c r="F583" s="272" t="s">
        <v>402</v>
      </c>
      <c r="G583" s="255" t="s">
        <v>5700</v>
      </c>
      <c r="H583" s="333">
        <v>24195600</v>
      </c>
      <c r="I583" s="334">
        <v>4113252</v>
      </c>
      <c r="J583" s="682">
        <v>18092205</v>
      </c>
      <c r="K583" s="682">
        <v>1990142</v>
      </c>
      <c r="L583" s="333">
        <f t="shared" si="194"/>
        <v>20082347</v>
      </c>
      <c r="M583" s="333">
        <f t="shared" si="195"/>
        <v>20082348</v>
      </c>
    </row>
    <row r="584" spans="1:13" s="256" customFormat="1" x14ac:dyDescent="0.25">
      <c r="A584" s="274">
        <v>44816</v>
      </c>
      <c r="B584" s="511">
        <v>44812</v>
      </c>
      <c r="C584" s="381" t="s">
        <v>5274</v>
      </c>
      <c r="D584" s="273" t="s">
        <v>400</v>
      </c>
      <c r="E584" s="275" t="s">
        <v>401</v>
      </c>
      <c r="F584" s="272" t="s">
        <v>402</v>
      </c>
      <c r="G584" s="255" t="s">
        <v>5701</v>
      </c>
      <c r="H584" s="333">
        <v>30797200</v>
      </c>
      <c r="I584" s="334">
        <v>5235524</v>
      </c>
      <c r="J584" s="682">
        <v>23028536</v>
      </c>
      <c r="K584" s="682">
        <v>2533139</v>
      </c>
      <c r="L584" s="333">
        <f t="shared" si="194"/>
        <v>25561675</v>
      </c>
      <c r="M584" s="333">
        <f t="shared" si="195"/>
        <v>25561676</v>
      </c>
    </row>
    <row r="585" spans="1:13" s="256" customFormat="1" x14ac:dyDescent="0.25">
      <c r="A585" s="274">
        <v>44816</v>
      </c>
      <c r="B585" s="511">
        <v>44813</v>
      </c>
      <c r="C585" s="381" t="s">
        <v>5275</v>
      </c>
      <c r="D585" s="273" t="s">
        <v>400</v>
      </c>
      <c r="E585" s="275" t="s">
        <v>401</v>
      </c>
      <c r="F585" s="272" t="s">
        <v>402</v>
      </c>
      <c r="G585" s="255" t="s">
        <v>5702</v>
      </c>
      <c r="H585" s="333">
        <v>62512000</v>
      </c>
      <c r="I585" s="334">
        <v>10627040</v>
      </c>
      <c r="J585" s="682">
        <v>46743207</v>
      </c>
      <c r="K585" s="682">
        <v>5141752</v>
      </c>
      <c r="L585" s="333">
        <f t="shared" si="194"/>
        <v>51884959</v>
      </c>
      <c r="M585" s="333">
        <f t="shared" si="195"/>
        <v>51884960</v>
      </c>
    </row>
    <row r="586" spans="1:13" s="256" customFormat="1" x14ac:dyDescent="0.25">
      <c r="A586" s="274">
        <v>44816</v>
      </c>
      <c r="B586" s="511">
        <v>44813</v>
      </c>
      <c r="C586" s="381" t="s">
        <v>5276</v>
      </c>
      <c r="D586" s="273" t="s">
        <v>400</v>
      </c>
      <c r="E586" s="275" t="s">
        <v>401</v>
      </c>
      <c r="F586" s="272" t="s">
        <v>402</v>
      </c>
      <c r="G586" s="255" t="s">
        <v>5703</v>
      </c>
      <c r="H586" s="333">
        <v>27871600</v>
      </c>
      <c r="I586" s="334">
        <v>4738172</v>
      </c>
      <c r="J586" s="682">
        <v>20840926</v>
      </c>
      <c r="K586" s="682">
        <v>2292501</v>
      </c>
      <c r="L586" s="333">
        <f t="shared" si="194"/>
        <v>23133427</v>
      </c>
      <c r="M586" s="333">
        <f t="shared" si="195"/>
        <v>23133428</v>
      </c>
    </row>
    <row r="587" spans="1:13" s="256" customFormat="1" x14ac:dyDescent="0.25">
      <c r="A587" s="274">
        <v>44819</v>
      </c>
      <c r="B587" s="511">
        <v>44814</v>
      </c>
      <c r="C587" s="381" t="s">
        <v>5572</v>
      </c>
      <c r="D587" s="273" t="s">
        <v>400</v>
      </c>
      <c r="E587" s="275" t="s">
        <v>401</v>
      </c>
      <c r="F587" s="272" t="s">
        <v>402</v>
      </c>
      <c r="G587" s="255" t="s">
        <v>5704</v>
      </c>
      <c r="H587" s="333">
        <v>7544000</v>
      </c>
      <c r="I587" s="334">
        <v>1282480</v>
      </c>
      <c r="J587" s="682">
        <v>5641009</v>
      </c>
      <c r="K587" s="682">
        <v>620510</v>
      </c>
      <c r="L587" s="333">
        <f t="shared" ref="L587:L593" si="196">SUM(J587:K587)</f>
        <v>6261519</v>
      </c>
      <c r="M587" s="333">
        <f t="shared" ref="M587:M593" si="197">H587-I587</f>
        <v>6261520</v>
      </c>
    </row>
    <row r="588" spans="1:13" s="256" customFormat="1" x14ac:dyDescent="0.25">
      <c r="A588" s="274">
        <v>44819</v>
      </c>
      <c r="B588" s="511">
        <v>44816</v>
      </c>
      <c r="C588" s="381" t="s">
        <v>5705</v>
      </c>
      <c r="D588" s="273" t="s">
        <v>400</v>
      </c>
      <c r="E588" s="275" t="s">
        <v>401</v>
      </c>
      <c r="F588" s="272" t="s">
        <v>402</v>
      </c>
      <c r="G588" s="255" t="s">
        <v>5706</v>
      </c>
      <c r="H588" s="333">
        <v>24921600</v>
      </c>
      <c r="I588" s="334">
        <v>4236672</v>
      </c>
      <c r="J588" s="682">
        <v>18635070</v>
      </c>
      <c r="K588" s="682">
        <v>2049857</v>
      </c>
      <c r="L588" s="333">
        <f t="shared" si="196"/>
        <v>20684927</v>
      </c>
      <c r="M588" s="333">
        <f t="shared" si="197"/>
        <v>20684928</v>
      </c>
    </row>
    <row r="589" spans="1:13" s="256" customFormat="1" x14ac:dyDescent="0.25">
      <c r="A589" s="274">
        <v>44820</v>
      </c>
      <c r="B589" s="511">
        <v>44818</v>
      </c>
      <c r="C589" s="381" t="s">
        <v>5573</v>
      </c>
      <c r="D589" s="273" t="s">
        <v>400</v>
      </c>
      <c r="E589" s="275" t="s">
        <v>401</v>
      </c>
      <c r="F589" s="272" t="s">
        <v>402</v>
      </c>
      <c r="G589" s="255" t="s">
        <v>5707</v>
      </c>
      <c r="H589" s="333">
        <v>13910400</v>
      </c>
      <c r="I589" s="334">
        <v>2364768</v>
      </c>
      <c r="J589" s="682">
        <v>10401470</v>
      </c>
      <c r="K589" s="682">
        <v>1144161</v>
      </c>
      <c r="L589" s="333">
        <f t="shared" si="196"/>
        <v>11545631</v>
      </c>
      <c r="M589" s="333">
        <f t="shared" si="197"/>
        <v>11545632</v>
      </c>
    </row>
    <row r="590" spans="1:13" s="256" customFormat="1" x14ac:dyDescent="0.25">
      <c r="A590" s="274">
        <v>44820</v>
      </c>
      <c r="B590" s="511">
        <v>44818</v>
      </c>
      <c r="C590" s="381" t="s">
        <v>5574</v>
      </c>
      <c r="D590" s="273" t="s">
        <v>400</v>
      </c>
      <c r="E590" s="275" t="s">
        <v>401</v>
      </c>
      <c r="F590" s="272" t="s">
        <v>402</v>
      </c>
      <c r="G590" s="255" t="s">
        <v>5708</v>
      </c>
      <c r="H590" s="333">
        <v>24593900</v>
      </c>
      <c r="I590" s="334">
        <v>4180963</v>
      </c>
      <c r="J590" s="682">
        <v>18390033</v>
      </c>
      <c r="K590" s="682">
        <v>2022903</v>
      </c>
      <c r="L590" s="333">
        <f t="shared" si="196"/>
        <v>20412936</v>
      </c>
      <c r="M590" s="333">
        <f t="shared" si="197"/>
        <v>20412937</v>
      </c>
    </row>
    <row r="591" spans="1:13" s="256" customFormat="1" x14ac:dyDescent="0.25">
      <c r="A591" s="274">
        <v>44821</v>
      </c>
      <c r="B591" s="511">
        <v>44819</v>
      </c>
      <c r="C591" s="381" t="s">
        <v>5575</v>
      </c>
      <c r="D591" s="273" t="s">
        <v>400</v>
      </c>
      <c r="E591" s="275" t="s">
        <v>401</v>
      </c>
      <c r="F591" s="272" t="s">
        <v>402</v>
      </c>
      <c r="G591" s="255" t="s">
        <v>5709</v>
      </c>
      <c r="H591" s="333">
        <v>32086400</v>
      </c>
      <c r="I591" s="334">
        <v>5454688</v>
      </c>
      <c r="J591" s="682">
        <v>23992533</v>
      </c>
      <c r="K591" s="682">
        <v>2639178</v>
      </c>
      <c r="L591" s="333">
        <f t="shared" si="196"/>
        <v>26631711</v>
      </c>
      <c r="M591" s="333">
        <f t="shared" si="197"/>
        <v>26631712</v>
      </c>
    </row>
    <row r="592" spans="1:13" s="256" customFormat="1" x14ac:dyDescent="0.25">
      <c r="A592" s="274">
        <v>44821</v>
      </c>
      <c r="B592" s="511">
        <v>44819</v>
      </c>
      <c r="C592" s="381" t="s">
        <v>5576</v>
      </c>
      <c r="D592" s="273" t="s">
        <v>400</v>
      </c>
      <c r="E592" s="275" t="s">
        <v>401</v>
      </c>
      <c r="F592" s="272" t="s">
        <v>402</v>
      </c>
      <c r="G592" s="255" t="s">
        <v>5710</v>
      </c>
      <c r="H592" s="333">
        <v>26992800</v>
      </c>
      <c r="I592" s="334">
        <v>4588776</v>
      </c>
      <c r="J592" s="682">
        <v>20183805</v>
      </c>
      <c r="K592" s="682">
        <v>2220218</v>
      </c>
      <c r="L592" s="333">
        <f t="shared" si="196"/>
        <v>22404023</v>
      </c>
      <c r="M592" s="333">
        <f t="shared" si="197"/>
        <v>22404024</v>
      </c>
    </row>
    <row r="593" spans="1:13" s="256" customFormat="1" x14ac:dyDescent="0.25">
      <c r="A593" s="274">
        <v>44821</v>
      </c>
      <c r="B593" s="511">
        <v>44820</v>
      </c>
      <c r="C593" s="381" t="s">
        <v>5577</v>
      </c>
      <c r="D593" s="273" t="s">
        <v>400</v>
      </c>
      <c r="E593" s="275" t="s">
        <v>401</v>
      </c>
      <c r="F593" s="272" t="s">
        <v>402</v>
      </c>
      <c r="G593" s="255" t="s">
        <v>5711</v>
      </c>
      <c r="H593" s="333">
        <v>27210000</v>
      </c>
      <c r="I593" s="334">
        <v>4941805.5</v>
      </c>
      <c r="J593" s="682">
        <v>20061436</v>
      </c>
      <c r="K593" s="682">
        <v>2206758</v>
      </c>
      <c r="L593" s="333">
        <f t="shared" si="196"/>
        <v>22268194</v>
      </c>
      <c r="M593" s="333">
        <f t="shared" si="197"/>
        <v>22268194.5</v>
      </c>
    </row>
    <row r="594" spans="1:13" s="256" customFormat="1" x14ac:dyDescent="0.25">
      <c r="A594" s="274">
        <v>44825</v>
      </c>
      <c r="B594" s="511">
        <v>44821</v>
      </c>
      <c r="C594" s="381" t="s">
        <v>5660</v>
      </c>
      <c r="D594" s="273" t="s">
        <v>400</v>
      </c>
      <c r="E594" s="275" t="s">
        <v>401</v>
      </c>
      <c r="F594" s="272" t="s">
        <v>402</v>
      </c>
      <c r="G594" s="255" t="s">
        <v>5712</v>
      </c>
      <c r="H594" s="333">
        <v>20293600</v>
      </c>
      <c r="I594" s="334">
        <v>3449912</v>
      </c>
      <c r="J594" s="682">
        <v>15174493</v>
      </c>
      <c r="K594" s="682">
        <v>1669194</v>
      </c>
      <c r="L594" s="333">
        <f t="shared" ref="L594:L596" si="198">SUM(J594:K594)</f>
        <v>16843687</v>
      </c>
      <c r="M594" s="333">
        <f t="shared" ref="M594:M596" si="199">H594-I594</f>
        <v>16843688</v>
      </c>
    </row>
    <row r="595" spans="1:13" s="256" customFormat="1" x14ac:dyDescent="0.25">
      <c r="A595" s="274">
        <v>44825</v>
      </c>
      <c r="B595" s="511">
        <v>44821</v>
      </c>
      <c r="C595" s="381" t="s">
        <v>5661</v>
      </c>
      <c r="D595" s="273" t="s">
        <v>400</v>
      </c>
      <c r="E595" s="275" t="s">
        <v>401</v>
      </c>
      <c r="F595" s="272" t="s">
        <v>402</v>
      </c>
      <c r="G595" s="255" t="s">
        <v>5713</v>
      </c>
      <c r="H595" s="333">
        <v>28681200</v>
      </c>
      <c r="I595" s="334">
        <v>4875804</v>
      </c>
      <c r="J595" s="682">
        <v>21446302</v>
      </c>
      <c r="K595" s="682">
        <v>2359093</v>
      </c>
      <c r="L595" s="333">
        <f t="shared" si="198"/>
        <v>23805395</v>
      </c>
      <c r="M595" s="333">
        <f t="shared" si="199"/>
        <v>23805396</v>
      </c>
    </row>
    <row r="596" spans="1:13" s="256" customFormat="1" x14ac:dyDescent="0.25">
      <c r="A596" s="274">
        <v>44827</v>
      </c>
      <c r="B596" s="511">
        <v>44823</v>
      </c>
      <c r="C596" s="381" t="s">
        <v>5662</v>
      </c>
      <c r="D596" s="273" t="s">
        <v>400</v>
      </c>
      <c r="E596" s="275" t="s">
        <v>401</v>
      </c>
      <c r="F596" s="272" t="s">
        <v>402</v>
      </c>
      <c r="G596" s="255" t="s">
        <v>5714</v>
      </c>
      <c r="H596" s="333">
        <v>28166400</v>
      </c>
      <c r="I596" s="334">
        <v>4788288</v>
      </c>
      <c r="J596" s="682">
        <v>21061362</v>
      </c>
      <c r="K596" s="682">
        <v>2316749</v>
      </c>
      <c r="L596" s="333">
        <f t="shared" si="198"/>
        <v>23378111</v>
      </c>
      <c r="M596" s="333">
        <f t="shared" si="199"/>
        <v>23378112</v>
      </c>
    </row>
    <row r="597" spans="1:13" s="256" customFormat="1" x14ac:dyDescent="0.25">
      <c r="A597" s="274">
        <v>44830</v>
      </c>
      <c r="B597" s="511">
        <v>44825</v>
      </c>
      <c r="C597" s="381" t="s">
        <v>5675</v>
      </c>
      <c r="D597" s="273" t="s">
        <v>400</v>
      </c>
      <c r="E597" s="275" t="s">
        <v>401</v>
      </c>
      <c r="F597" s="272" t="s">
        <v>402</v>
      </c>
      <c r="G597" s="255" t="s">
        <v>5715</v>
      </c>
      <c r="H597" s="333">
        <v>35791600</v>
      </c>
      <c r="I597" s="334">
        <v>6127898</v>
      </c>
      <c r="J597" s="682">
        <v>26724055</v>
      </c>
      <c r="K597" s="682">
        <v>2939646</v>
      </c>
      <c r="L597" s="333">
        <f t="shared" ref="L597:L602" si="200">SUM(J597:K597)</f>
        <v>29663701</v>
      </c>
      <c r="M597" s="333">
        <f t="shared" ref="M597:M602" si="201">H597-I597</f>
        <v>29663702</v>
      </c>
    </row>
    <row r="598" spans="1:13" s="256" customFormat="1" x14ac:dyDescent="0.25">
      <c r="A598" s="274">
        <v>44830</v>
      </c>
      <c r="B598" s="511">
        <v>44825</v>
      </c>
      <c r="C598" s="381" t="s">
        <v>5676</v>
      </c>
      <c r="D598" s="273" t="s">
        <v>400</v>
      </c>
      <c r="E598" s="275" t="s">
        <v>401</v>
      </c>
      <c r="F598" s="272" t="s">
        <v>402</v>
      </c>
      <c r="G598" s="255" t="s">
        <v>5716</v>
      </c>
      <c r="H598" s="333">
        <v>5107200</v>
      </c>
      <c r="I598" s="334">
        <v>868224</v>
      </c>
      <c r="J598" s="682">
        <v>3818897</v>
      </c>
      <c r="K598" s="682">
        <v>420078</v>
      </c>
      <c r="L598" s="333">
        <f t="shared" si="200"/>
        <v>4238975</v>
      </c>
      <c r="M598" s="333">
        <f t="shared" si="201"/>
        <v>4238976</v>
      </c>
    </row>
    <row r="599" spans="1:13" s="256" customFormat="1" x14ac:dyDescent="0.25">
      <c r="A599" s="274">
        <v>44830</v>
      </c>
      <c r="B599" s="511">
        <v>44826</v>
      </c>
      <c r="C599" s="381" t="s">
        <v>5677</v>
      </c>
      <c r="D599" s="273" t="s">
        <v>400</v>
      </c>
      <c r="E599" s="275" t="s">
        <v>401</v>
      </c>
      <c r="F599" s="272" t="s">
        <v>402</v>
      </c>
      <c r="G599" s="255" t="s">
        <v>5717</v>
      </c>
      <c r="H599" s="333">
        <v>85518000</v>
      </c>
      <c r="I599" s="334">
        <v>14538060</v>
      </c>
      <c r="J599" s="682">
        <v>63945891</v>
      </c>
      <c r="K599" s="682">
        <v>7034048</v>
      </c>
      <c r="L599" s="333">
        <f t="shared" si="200"/>
        <v>70979939</v>
      </c>
      <c r="M599" s="333">
        <f t="shared" si="201"/>
        <v>70979940</v>
      </c>
    </row>
    <row r="600" spans="1:13" s="256" customFormat="1" x14ac:dyDescent="0.25">
      <c r="A600" s="274">
        <v>44830</v>
      </c>
      <c r="B600" s="511">
        <v>44826</v>
      </c>
      <c r="C600" s="381" t="s">
        <v>5678</v>
      </c>
      <c r="D600" s="273" t="s">
        <v>400</v>
      </c>
      <c r="E600" s="275" t="s">
        <v>401</v>
      </c>
      <c r="F600" s="272" t="s">
        <v>402</v>
      </c>
      <c r="G600" s="255" t="s">
        <v>5718</v>
      </c>
      <c r="H600" s="333">
        <v>44702400</v>
      </c>
      <c r="I600" s="334">
        <v>7599408</v>
      </c>
      <c r="J600" s="682">
        <v>33426118</v>
      </c>
      <c r="K600" s="682">
        <v>3676873</v>
      </c>
      <c r="L600" s="333">
        <f t="shared" si="200"/>
        <v>37102991</v>
      </c>
      <c r="M600" s="333">
        <f t="shared" si="201"/>
        <v>37102992</v>
      </c>
    </row>
    <row r="601" spans="1:13" s="256" customFormat="1" x14ac:dyDescent="0.25">
      <c r="A601" s="274">
        <v>44830</v>
      </c>
      <c r="B601" s="511">
        <v>44826</v>
      </c>
      <c r="C601" s="381" t="s">
        <v>5679</v>
      </c>
      <c r="D601" s="273" t="s">
        <v>400</v>
      </c>
      <c r="E601" s="275" t="s">
        <v>401</v>
      </c>
      <c r="F601" s="272" t="s">
        <v>402</v>
      </c>
      <c r="G601" s="255" t="s">
        <v>5719</v>
      </c>
      <c r="H601" s="333">
        <v>20536800</v>
      </c>
      <c r="I601" s="334">
        <v>3491256</v>
      </c>
      <c r="J601" s="682">
        <v>15356345</v>
      </c>
      <c r="K601" s="682">
        <v>1689198</v>
      </c>
      <c r="L601" s="333">
        <f t="shared" si="200"/>
        <v>17045543</v>
      </c>
      <c r="M601" s="333">
        <f t="shared" si="201"/>
        <v>17045544</v>
      </c>
    </row>
    <row r="602" spans="1:13" s="256" customFormat="1" x14ac:dyDescent="0.25">
      <c r="A602" s="274">
        <v>44831</v>
      </c>
      <c r="B602" s="511">
        <v>44827</v>
      </c>
      <c r="C602" s="381" t="s">
        <v>5680</v>
      </c>
      <c r="D602" s="273" t="s">
        <v>400</v>
      </c>
      <c r="E602" s="275" t="s">
        <v>401</v>
      </c>
      <c r="F602" s="272" t="s">
        <v>402</v>
      </c>
      <c r="G602" s="255" t="s">
        <v>5720</v>
      </c>
      <c r="H602" s="333">
        <v>60876000</v>
      </c>
      <c r="I602" s="334">
        <v>10348920</v>
      </c>
      <c r="J602" s="682">
        <v>45519891</v>
      </c>
      <c r="K602" s="682">
        <v>5007188</v>
      </c>
      <c r="L602" s="333">
        <f t="shared" si="200"/>
        <v>50527079</v>
      </c>
      <c r="M602" s="333">
        <f t="shared" si="201"/>
        <v>50527080</v>
      </c>
    </row>
    <row r="603" spans="1:13" s="256" customFormat="1" x14ac:dyDescent="0.25">
      <c r="A603" s="274">
        <v>44833</v>
      </c>
      <c r="B603" s="511">
        <v>44828</v>
      </c>
      <c r="C603" s="381">
        <v>22092001</v>
      </c>
      <c r="D603" s="273" t="s">
        <v>400</v>
      </c>
      <c r="E603" s="275" t="s">
        <v>401</v>
      </c>
      <c r="F603" s="272" t="s">
        <v>402</v>
      </c>
      <c r="G603" s="255" t="s">
        <v>5721</v>
      </c>
      <c r="H603" s="333">
        <v>29194000</v>
      </c>
      <c r="I603" s="334">
        <v>4962980</v>
      </c>
      <c r="J603" s="682">
        <v>21829747</v>
      </c>
      <c r="K603" s="682">
        <v>2401272</v>
      </c>
      <c r="L603" s="333">
        <f>SUM(J603:K603)</f>
        <v>24231019</v>
      </c>
      <c r="M603" s="333">
        <f>H603-I603</f>
        <v>24231020</v>
      </c>
    </row>
    <row r="604" spans="1:13" s="256" customFormat="1" x14ac:dyDescent="0.25">
      <c r="A604" s="274">
        <v>44834</v>
      </c>
      <c r="B604" s="511">
        <v>44830</v>
      </c>
      <c r="C604" s="381">
        <v>22092145</v>
      </c>
      <c r="D604" s="273" t="s">
        <v>400</v>
      </c>
      <c r="E604" s="275" t="s">
        <v>401</v>
      </c>
      <c r="F604" s="272" t="s">
        <v>402</v>
      </c>
      <c r="G604" s="255" t="s">
        <v>5731</v>
      </c>
      <c r="H604" s="333">
        <v>65616000</v>
      </c>
      <c r="I604" s="334">
        <v>11154720</v>
      </c>
      <c r="J604" s="682">
        <v>49064216</v>
      </c>
      <c r="K604" s="682">
        <v>5397063</v>
      </c>
      <c r="L604" s="333">
        <f>SUM(J604:K604)</f>
        <v>54461279</v>
      </c>
      <c r="M604" s="333">
        <f>H604-I604</f>
        <v>54461280</v>
      </c>
    </row>
    <row r="605" spans="1:13" s="256" customFormat="1" x14ac:dyDescent="0.25">
      <c r="A605" s="274">
        <v>44833</v>
      </c>
      <c r="B605" s="511">
        <v>44831</v>
      </c>
      <c r="C605" s="381" t="s">
        <v>5727</v>
      </c>
      <c r="D605" s="273" t="s">
        <v>400</v>
      </c>
      <c r="E605" s="275" t="s">
        <v>401</v>
      </c>
      <c r="F605" s="272" t="s">
        <v>402</v>
      </c>
      <c r="G605" s="255" t="s">
        <v>5732</v>
      </c>
      <c r="H605" s="333">
        <v>19343600</v>
      </c>
      <c r="I605" s="334">
        <v>3288412</v>
      </c>
      <c r="J605" s="682">
        <v>14464133</v>
      </c>
      <c r="K605" s="682">
        <v>1591054</v>
      </c>
      <c r="L605" s="333">
        <f>SUM(J605:K605)</f>
        <v>16055187</v>
      </c>
      <c r="M605" s="333">
        <f>H605-I605</f>
        <v>16055188</v>
      </c>
    </row>
    <row r="606" spans="1:13" s="256" customFormat="1" x14ac:dyDescent="0.25">
      <c r="A606" s="274">
        <v>44835</v>
      </c>
      <c r="B606" s="511">
        <v>44832</v>
      </c>
      <c r="C606" s="381">
        <v>22092360</v>
      </c>
      <c r="D606" s="273" t="s">
        <v>400</v>
      </c>
      <c r="E606" s="275" t="s">
        <v>401</v>
      </c>
      <c r="F606" s="272" t="s">
        <v>402</v>
      </c>
      <c r="G606" s="255" t="s">
        <v>5733</v>
      </c>
      <c r="H606" s="333">
        <v>17955000</v>
      </c>
      <c r="I606" s="334">
        <v>3052350</v>
      </c>
      <c r="J606" s="682">
        <v>13425810</v>
      </c>
      <c r="K606" s="682">
        <v>1476839</v>
      </c>
      <c r="L606" s="333">
        <f>SUM(J606:K606)</f>
        <v>14902649</v>
      </c>
      <c r="M606" s="333">
        <f>H606-I606</f>
        <v>14902650</v>
      </c>
    </row>
    <row r="607" spans="1:13" s="256" customFormat="1" x14ac:dyDescent="0.25">
      <c r="A607" s="274"/>
      <c r="B607" s="511"/>
      <c r="C607" s="381"/>
      <c r="D607" s="273"/>
      <c r="E607" s="275"/>
      <c r="F607" s="272"/>
      <c r="G607" s="255"/>
      <c r="H607" s="333"/>
      <c r="I607" s="334"/>
      <c r="J607" s="682"/>
      <c r="K607" s="682"/>
      <c r="L607" s="333"/>
      <c r="M607" s="333"/>
    </row>
    <row r="608" spans="1:13" s="256" customFormat="1" x14ac:dyDescent="0.25">
      <c r="A608" s="274">
        <v>44816</v>
      </c>
      <c r="B608" s="511">
        <v>44812</v>
      </c>
      <c r="C608" s="381" t="s">
        <v>5609</v>
      </c>
      <c r="D608" s="273" t="s">
        <v>322</v>
      </c>
      <c r="E608" s="275" t="s">
        <v>397</v>
      </c>
      <c r="F608" s="272" t="s">
        <v>2645</v>
      </c>
      <c r="G608" s="255" t="s">
        <v>5730</v>
      </c>
      <c r="H608" s="333">
        <v>12000000</v>
      </c>
      <c r="I608" s="334">
        <v>0</v>
      </c>
      <c r="J608" s="682">
        <v>10810815</v>
      </c>
      <c r="K608" s="682">
        <v>1189189</v>
      </c>
      <c r="L608" s="333">
        <f t="shared" ref="L608" si="202">SUM(J608:K608)</f>
        <v>12000004</v>
      </c>
      <c r="M608" s="333">
        <f>H608-I608</f>
        <v>12000000</v>
      </c>
    </row>
    <row r="609" spans="1:13" s="256" customFormat="1" x14ac:dyDescent="0.25">
      <c r="A609" s="274">
        <v>44835</v>
      </c>
      <c r="B609" s="511">
        <v>44832</v>
      </c>
      <c r="C609" s="381" t="s">
        <v>5745</v>
      </c>
      <c r="D609" s="273" t="s">
        <v>322</v>
      </c>
      <c r="E609" s="275" t="s">
        <v>397</v>
      </c>
      <c r="F609" s="272" t="s">
        <v>2645</v>
      </c>
      <c r="G609" s="255" t="s">
        <v>5980</v>
      </c>
      <c r="H609" s="333">
        <v>28000000</v>
      </c>
      <c r="I609" s="334">
        <v>2800000</v>
      </c>
      <c r="J609" s="682">
        <v>22702720</v>
      </c>
      <c r="K609" s="682">
        <v>2497299</v>
      </c>
      <c r="L609" s="333">
        <f t="shared" ref="L609" si="203">SUM(J609:K609)</f>
        <v>25200019</v>
      </c>
      <c r="M609" s="333">
        <f>H609-I609</f>
        <v>25200000</v>
      </c>
    </row>
    <row r="610" spans="1:13" s="256" customFormat="1" x14ac:dyDescent="0.25">
      <c r="A610" s="274"/>
      <c r="B610" s="511"/>
      <c r="C610" s="381"/>
      <c r="D610" s="273"/>
      <c r="E610" s="275"/>
      <c r="F610" s="272"/>
      <c r="G610" s="255"/>
      <c r="H610" s="333"/>
      <c r="I610" s="334"/>
      <c r="J610" s="682"/>
      <c r="K610" s="682"/>
      <c r="L610" s="333"/>
      <c r="M610" s="333"/>
    </row>
    <row r="611" spans="1:13" s="256" customFormat="1" x14ac:dyDescent="0.25">
      <c r="A611" s="274">
        <v>44821</v>
      </c>
      <c r="B611" s="511">
        <v>44816</v>
      </c>
      <c r="C611" s="381" t="s">
        <v>5580</v>
      </c>
      <c r="D611" s="273" t="s">
        <v>305</v>
      </c>
      <c r="E611" s="275" t="s">
        <v>398</v>
      </c>
      <c r="F611" s="272" t="s">
        <v>399</v>
      </c>
      <c r="G611" s="255" t="s">
        <v>5751</v>
      </c>
      <c r="H611" s="333">
        <v>18144000</v>
      </c>
      <c r="I611" s="334">
        <v>0</v>
      </c>
      <c r="J611" s="682">
        <v>16345728</v>
      </c>
      <c r="K611" s="682">
        <v>1798030</v>
      </c>
      <c r="L611" s="333">
        <f t="shared" si="191"/>
        <v>18143758</v>
      </c>
      <c r="M611" s="333">
        <f t="shared" ref="M611:M614" si="204">H611-I611</f>
        <v>18144000</v>
      </c>
    </row>
    <row r="612" spans="1:13" s="256" customFormat="1" x14ac:dyDescent="0.25">
      <c r="A612" s="274">
        <v>44832</v>
      </c>
      <c r="B612" s="511">
        <v>44830</v>
      </c>
      <c r="C612" s="381" t="s">
        <v>5722</v>
      </c>
      <c r="D612" s="273" t="s">
        <v>305</v>
      </c>
      <c r="E612" s="275" t="s">
        <v>398</v>
      </c>
      <c r="F612" s="272" t="s">
        <v>399</v>
      </c>
      <c r="G612" s="255"/>
      <c r="H612" s="333">
        <v>38880000</v>
      </c>
      <c r="I612" s="334">
        <v>0</v>
      </c>
      <c r="J612" s="682">
        <f t="shared" ref="J612:J614" si="205">(H612-I612)/1.11</f>
        <v>35027027.027027026</v>
      </c>
      <c r="K612" s="682">
        <f t="shared" ref="K612:K614" si="206">J612*11%</f>
        <v>3852972.9729729728</v>
      </c>
      <c r="L612" s="333">
        <f t="shared" si="191"/>
        <v>38880000</v>
      </c>
      <c r="M612" s="333">
        <f t="shared" si="204"/>
        <v>38880000</v>
      </c>
    </row>
    <row r="613" spans="1:13" s="256" customFormat="1" x14ac:dyDescent="0.25">
      <c r="A613" s="274">
        <v>44832</v>
      </c>
      <c r="B613" s="511">
        <v>44830</v>
      </c>
      <c r="C613" s="381" t="s">
        <v>5723</v>
      </c>
      <c r="D613" s="273" t="s">
        <v>305</v>
      </c>
      <c r="E613" s="275" t="s">
        <v>398</v>
      </c>
      <c r="F613" s="272" t="s">
        <v>399</v>
      </c>
      <c r="G613" s="255" t="s">
        <v>5752</v>
      </c>
      <c r="H613" s="333">
        <v>16200000</v>
      </c>
      <c r="I613" s="334">
        <v>0</v>
      </c>
      <c r="J613" s="682">
        <v>14594400</v>
      </c>
      <c r="K613" s="682">
        <v>1605384</v>
      </c>
      <c r="L613" s="333">
        <f t="shared" si="191"/>
        <v>16199784</v>
      </c>
      <c r="M613" s="333">
        <f t="shared" si="204"/>
        <v>16200000</v>
      </c>
    </row>
    <row r="614" spans="1:13" s="256" customFormat="1" x14ac:dyDescent="0.25">
      <c r="A614" s="274"/>
      <c r="B614" s="511"/>
      <c r="C614" s="381"/>
      <c r="D614" s="273"/>
      <c r="E614" s="272"/>
      <c r="F614" s="275"/>
      <c r="G614" s="255"/>
      <c r="H614" s="333"/>
      <c r="I614" s="334"/>
      <c r="J614" s="682">
        <f t="shared" si="205"/>
        <v>0</v>
      </c>
      <c r="K614" s="682">
        <f t="shared" si="206"/>
        <v>0</v>
      </c>
      <c r="L614" s="333">
        <f t="shared" ref="L614" si="207">SUM(J614:K614)</f>
        <v>0</v>
      </c>
      <c r="M614" s="333">
        <f t="shared" si="204"/>
        <v>0</v>
      </c>
    </row>
    <row r="615" spans="1:13" ht="18" x14ac:dyDescent="0.25">
      <c r="A615" s="513" t="s">
        <v>38</v>
      </c>
      <c r="B615" s="512"/>
      <c r="C615" s="515"/>
      <c r="D615" s="514"/>
      <c r="E615" s="519"/>
      <c r="F615" s="519"/>
      <c r="G615" s="516"/>
      <c r="H615" s="413">
        <f>SUM(H537:H614)</f>
        <v>2002854188.5</v>
      </c>
      <c r="I615" s="412"/>
      <c r="J615" s="683">
        <f>SUM(J537:J614)</f>
        <v>1601559963.0900903</v>
      </c>
      <c r="K615" s="683">
        <f>SUM(K537:K614)</f>
        <v>176171575.90990987</v>
      </c>
      <c r="L615" s="414">
        <f>SUM(L537:L614)</f>
        <v>1777731539</v>
      </c>
      <c r="M615" s="414">
        <f>SUM(M537:M614)</f>
        <v>1777732018</v>
      </c>
    </row>
    <row r="616" spans="1:13" ht="18" x14ac:dyDescent="0.25">
      <c r="A616" s="510" t="s">
        <v>107</v>
      </c>
      <c r="B616" s="510"/>
      <c r="C616" s="421"/>
      <c r="D616" s="420"/>
      <c r="E616" s="518"/>
      <c r="F616" s="518"/>
      <c r="G616" s="420"/>
      <c r="H616" s="422"/>
      <c r="I616" s="422"/>
      <c r="J616" s="681"/>
      <c r="K616" s="681"/>
      <c r="L616" s="423"/>
      <c r="M616" s="423"/>
    </row>
    <row r="617" spans="1:13" s="256" customFormat="1" x14ac:dyDescent="0.25">
      <c r="A617" s="274">
        <v>44840</v>
      </c>
      <c r="B617" s="511">
        <v>44839</v>
      </c>
      <c r="C617" s="381" t="s">
        <v>5957</v>
      </c>
      <c r="D617" s="273" t="s">
        <v>403</v>
      </c>
      <c r="E617" s="275" t="s">
        <v>404</v>
      </c>
      <c r="F617" s="272"/>
      <c r="G617" s="255"/>
      <c r="H617" s="333">
        <v>18620000</v>
      </c>
      <c r="I617" s="334">
        <v>931000</v>
      </c>
      <c r="J617" s="682">
        <f t="shared" ref="J617" si="208">(H617-I617)/1.11</f>
        <v>15936036.036036035</v>
      </c>
      <c r="K617" s="682">
        <f t="shared" ref="K617" si="209">J617*11%</f>
        <v>1752963.9639639638</v>
      </c>
      <c r="L617" s="333">
        <f t="shared" ref="L617" si="210">SUM(J617:K617)</f>
        <v>17689000</v>
      </c>
      <c r="M617" s="333">
        <f t="shared" ref="M617" si="211">H617-I617</f>
        <v>17689000</v>
      </c>
    </row>
    <row r="618" spans="1:13" s="256" customFormat="1" x14ac:dyDescent="0.25">
      <c r="A618" s="274"/>
      <c r="B618" s="511"/>
      <c r="C618" s="381"/>
      <c r="D618" s="273"/>
      <c r="E618" s="275"/>
      <c r="F618" s="272"/>
      <c r="G618" s="255"/>
      <c r="H618" s="333"/>
      <c r="I618" s="334"/>
      <c r="J618" s="682"/>
      <c r="K618" s="682"/>
      <c r="L618" s="333"/>
      <c r="M618" s="333"/>
    </row>
    <row r="619" spans="1:13" s="256" customFormat="1" x14ac:dyDescent="0.25">
      <c r="A619" s="274"/>
      <c r="B619" s="511"/>
      <c r="C619" s="381"/>
      <c r="D619" s="273" t="s">
        <v>4003</v>
      </c>
      <c r="E619" s="275" t="s">
        <v>3897</v>
      </c>
      <c r="F619" s="272" t="s">
        <v>3898</v>
      </c>
      <c r="G619" s="255"/>
      <c r="H619" s="333"/>
      <c r="I619" s="334"/>
      <c r="J619" s="682">
        <f>(H619-I619)/1.11</f>
        <v>0</v>
      </c>
      <c r="K619" s="682">
        <f t="shared" ref="K619:K693" si="212">J619*11%</f>
        <v>0</v>
      </c>
      <c r="L619" s="333">
        <f t="shared" ref="L619:L679" si="213">SUM(J619:K619)</f>
        <v>0</v>
      </c>
      <c r="M619" s="333">
        <f t="shared" ref="M619:M674" si="214">H619-I619</f>
        <v>0</v>
      </c>
    </row>
    <row r="620" spans="1:13" s="256" customFormat="1" x14ac:dyDescent="0.25">
      <c r="A620" s="274"/>
      <c r="B620" s="511"/>
      <c r="C620" s="381"/>
      <c r="D620" s="273"/>
      <c r="E620" s="669"/>
      <c r="F620" s="668"/>
      <c r="G620" s="255"/>
      <c r="H620" s="333"/>
      <c r="I620" s="334"/>
      <c r="J620" s="682"/>
      <c r="K620" s="682"/>
      <c r="L620" s="333"/>
      <c r="M620" s="333"/>
    </row>
    <row r="621" spans="1:13" s="256" customFormat="1" x14ac:dyDescent="0.25">
      <c r="A621" s="274">
        <v>44844</v>
      </c>
      <c r="B621" s="511">
        <v>44835</v>
      </c>
      <c r="C621" s="381" t="s">
        <v>5958</v>
      </c>
      <c r="D621" s="273" t="s">
        <v>304</v>
      </c>
      <c r="E621" s="669" t="s">
        <v>392</v>
      </c>
      <c r="F621" s="668"/>
      <c r="G621" s="255"/>
      <c r="H621" s="333">
        <v>7760550</v>
      </c>
      <c r="I621" s="334">
        <v>0</v>
      </c>
      <c r="J621" s="682">
        <f t="shared" ref="J621" si="215">(H621-I621)/1.11</f>
        <v>6991486.4864864862</v>
      </c>
      <c r="K621" s="682">
        <f t="shared" ref="K621" si="216">J621*11%</f>
        <v>769063.51351351349</v>
      </c>
      <c r="L621" s="333">
        <f t="shared" ref="L621" si="217">SUM(J621:K621)</f>
        <v>7760550</v>
      </c>
      <c r="M621" s="333">
        <f t="shared" ref="M621" si="218">H621-I621</f>
        <v>7760550</v>
      </c>
    </row>
    <row r="622" spans="1:13" s="256" customFormat="1" x14ac:dyDescent="0.25">
      <c r="A622" s="274">
        <v>44844</v>
      </c>
      <c r="B622" s="511">
        <v>44837</v>
      </c>
      <c r="C622" s="381" t="s">
        <v>5959</v>
      </c>
      <c r="D622" s="273" t="s">
        <v>304</v>
      </c>
      <c r="E622" s="669" t="s">
        <v>392</v>
      </c>
      <c r="F622" s="668"/>
      <c r="G622" s="255"/>
      <c r="H622" s="333">
        <v>7247835</v>
      </c>
      <c r="I622" s="334">
        <v>0</v>
      </c>
      <c r="J622" s="682">
        <f t="shared" ref="J622:J623" si="219">(H622-I622)/1.11</f>
        <v>6529581.0810810803</v>
      </c>
      <c r="K622" s="682">
        <f t="shared" ref="K622:K623" si="220">J622*11%</f>
        <v>718253.91891891882</v>
      </c>
      <c r="L622" s="333">
        <f t="shared" ref="L622:L623" si="221">SUM(J622:K622)</f>
        <v>7247834.9999999991</v>
      </c>
      <c r="M622" s="333">
        <f t="shared" ref="M622:M623" si="222">H622-I622</f>
        <v>7247835</v>
      </c>
    </row>
    <row r="623" spans="1:13" s="256" customFormat="1" x14ac:dyDescent="0.25">
      <c r="A623" s="274">
        <v>44844</v>
      </c>
      <c r="B623" s="511">
        <v>44840</v>
      </c>
      <c r="C623" s="381" t="s">
        <v>5960</v>
      </c>
      <c r="D623" s="273" t="s">
        <v>304</v>
      </c>
      <c r="E623" s="669" t="s">
        <v>392</v>
      </c>
      <c r="F623" s="668"/>
      <c r="G623" s="255"/>
      <c r="H623" s="333">
        <v>5252778</v>
      </c>
      <c r="I623" s="334">
        <v>141588</v>
      </c>
      <c r="J623" s="682">
        <f t="shared" si="219"/>
        <v>4604675.6756756753</v>
      </c>
      <c r="K623" s="682">
        <f t="shared" si="220"/>
        <v>506514.32432432426</v>
      </c>
      <c r="L623" s="333">
        <f t="shared" si="221"/>
        <v>5111190</v>
      </c>
      <c r="M623" s="333">
        <f t="shared" si="222"/>
        <v>5111190</v>
      </c>
    </row>
    <row r="624" spans="1:13" s="256" customFormat="1" x14ac:dyDescent="0.25">
      <c r="A624" s="274">
        <v>44846</v>
      </c>
      <c r="B624" s="511">
        <v>44840</v>
      </c>
      <c r="C624" s="381" t="s">
        <v>5976</v>
      </c>
      <c r="D624" s="670"/>
      <c r="E624" s="669" t="s">
        <v>392</v>
      </c>
      <c r="F624" s="668"/>
      <c r="G624" s="255"/>
      <c r="H624" s="333">
        <v>10418286.625</v>
      </c>
      <c r="I624" s="334">
        <v>47196</v>
      </c>
      <c r="J624" s="682">
        <f t="shared" ref="J624" si="223">(H624-I624)/1.11</f>
        <v>9343324.8873873875</v>
      </c>
      <c r="K624" s="682">
        <f t="shared" ref="K624" si="224">J624*11%</f>
        <v>1027765.7376126127</v>
      </c>
      <c r="L624" s="333">
        <f t="shared" ref="L624" si="225">SUM(J624:K624)</f>
        <v>10371090.625</v>
      </c>
      <c r="M624" s="333">
        <f t="shared" ref="M624" si="226">H624-I624</f>
        <v>10371090.625</v>
      </c>
    </row>
    <row r="625" spans="1:13" s="256" customFormat="1" x14ac:dyDescent="0.25">
      <c r="A625" s="274">
        <v>44848</v>
      </c>
      <c r="B625" s="511">
        <v>44844</v>
      </c>
      <c r="C625" s="381" t="s">
        <v>6038</v>
      </c>
      <c r="D625" s="670"/>
      <c r="E625" s="669" t="s">
        <v>392</v>
      </c>
      <c r="F625" s="668"/>
      <c r="G625" s="255"/>
      <c r="H625" s="333">
        <v>29459832.5</v>
      </c>
      <c r="I625" s="334">
        <v>8687033</v>
      </c>
      <c r="J625" s="682">
        <f t="shared" ref="J625:J626" si="227">(H625-I625)/1.11</f>
        <v>18714233.783783782</v>
      </c>
      <c r="K625" s="682">
        <f t="shared" ref="K625:K626" si="228">J625*11%</f>
        <v>2058565.7162162161</v>
      </c>
      <c r="L625" s="333">
        <f t="shared" ref="L625:L626" si="229">SUM(J625:K625)</f>
        <v>20772799.5</v>
      </c>
      <c r="M625" s="333">
        <f t="shared" ref="M625:M626" si="230">H625-I625</f>
        <v>20772799.5</v>
      </c>
    </row>
    <row r="626" spans="1:13" s="256" customFormat="1" x14ac:dyDescent="0.25">
      <c r="A626" s="274">
        <v>44848</v>
      </c>
      <c r="B626" s="511">
        <v>44844</v>
      </c>
      <c r="C626" s="381" t="s">
        <v>6039</v>
      </c>
      <c r="D626" s="670"/>
      <c r="E626" s="669" t="s">
        <v>392</v>
      </c>
      <c r="F626" s="668"/>
      <c r="G626" s="255"/>
      <c r="H626" s="333">
        <v>14075390</v>
      </c>
      <c r="I626" s="334">
        <v>0</v>
      </c>
      <c r="J626" s="682">
        <f t="shared" si="227"/>
        <v>12680531.53153153</v>
      </c>
      <c r="K626" s="682">
        <f t="shared" si="228"/>
        <v>1394858.4684684682</v>
      </c>
      <c r="L626" s="333">
        <f t="shared" si="229"/>
        <v>14075389.999999998</v>
      </c>
      <c r="M626" s="333">
        <f t="shared" si="230"/>
        <v>14075390</v>
      </c>
    </row>
    <row r="627" spans="1:13" s="256" customFormat="1" x14ac:dyDescent="0.25">
      <c r="A627" s="274"/>
      <c r="B627" s="511"/>
      <c r="C627" s="381"/>
      <c r="D627" s="670"/>
      <c r="E627" s="669"/>
      <c r="F627" s="668"/>
      <c r="G627" s="255"/>
      <c r="H627" s="333"/>
      <c r="I627" s="334"/>
      <c r="J627" s="682"/>
      <c r="K627" s="682"/>
      <c r="L627" s="333"/>
      <c r="M627" s="333"/>
    </row>
    <row r="628" spans="1:13" s="256" customFormat="1" x14ac:dyDescent="0.25">
      <c r="A628" s="274"/>
      <c r="B628" s="511"/>
      <c r="C628" s="381"/>
      <c r="D628" s="670" t="s">
        <v>321</v>
      </c>
      <c r="E628" s="669" t="s">
        <v>393</v>
      </c>
      <c r="F628" s="668" t="s">
        <v>394</v>
      </c>
      <c r="G628" s="255"/>
      <c r="H628" s="333"/>
      <c r="I628" s="334"/>
      <c r="J628" s="682">
        <f>(H628-I628)/1.1</f>
        <v>0</v>
      </c>
      <c r="K628" s="682">
        <f t="shared" ref="K628" si="231">J628*10%</f>
        <v>0</v>
      </c>
      <c r="L628" s="333">
        <f t="shared" ref="L628" si="232">SUM(J628:K628)</f>
        <v>0</v>
      </c>
      <c r="M628" s="333">
        <f t="shared" si="214"/>
        <v>0</v>
      </c>
    </row>
    <row r="629" spans="1:13" s="256" customFormat="1" x14ac:dyDescent="0.25">
      <c r="A629" s="274"/>
      <c r="B629" s="511"/>
      <c r="C629" s="381"/>
      <c r="D629" s="273" t="s">
        <v>716</v>
      </c>
      <c r="E629" s="275" t="s">
        <v>717</v>
      </c>
      <c r="F629" s="272" t="s">
        <v>2642</v>
      </c>
      <c r="G629" s="255"/>
      <c r="H629" s="333"/>
      <c r="I629" s="334"/>
      <c r="J629" s="682">
        <f t="shared" ref="J629:J693" si="233">(H629-I629)/1.11</f>
        <v>0</v>
      </c>
      <c r="K629" s="682">
        <f t="shared" si="212"/>
        <v>0</v>
      </c>
      <c r="L629" s="333">
        <f t="shared" si="213"/>
        <v>0</v>
      </c>
      <c r="M629" s="333">
        <f t="shared" si="214"/>
        <v>0</v>
      </c>
    </row>
    <row r="630" spans="1:13" s="256" customFormat="1" x14ac:dyDescent="0.25">
      <c r="A630" s="274"/>
      <c r="B630" s="511"/>
      <c r="C630" s="381"/>
      <c r="D630" s="273" t="s">
        <v>317</v>
      </c>
      <c r="E630" s="275" t="s">
        <v>395</v>
      </c>
      <c r="F630" s="272" t="s">
        <v>396</v>
      </c>
      <c r="G630" s="255"/>
      <c r="H630" s="333"/>
      <c r="I630" s="334"/>
      <c r="J630" s="682">
        <f t="shared" si="233"/>
        <v>0</v>
      </c>
      <c r="K630" s="682">
        <f t="shared" si="212"/>
        <v>0</v>
      </c>
      <c r="L630" s="333">
        <f t="shared" si="213"/>
        <v>0</v>
      </c>
      <c r="M630" s="333">
        <f t="shared" si="214"/>
        <v>0</v>
      </c>
    </row>
    <row r="631" spans="1:13" s="256" customFormat="1" x14ac:dyDescent="0.25">
      <c r="A631" s="274"/>
      <c r="B631" s="511"/>
      <c r="C631" s="381"/>
      <c r="D631" s="273"/>
      <c r="E631" s="275"/>
      <c r="F631" s="272"/>
      <c r="G631" s="255"/>
      <c r="H631" s="333"/>
      <c r="I631" s="334"/>
      <c r="J631" s="682"/>
      <c r="K631" s="682"/>
      <c r="L631" s="333"/>
      <c r="M631" s="333"/>
    </row>
    <row r="632" spans="1:13" s="256" customFormat="1" x14ac:dyDescent="0.25">
      <c r="A632" s="274">
        <v>44837</v>
      </c>
      <c r="B632" s="511">
        <v>44835</v>
      </c>
      <c r="C632" s="381" t="s">
        <v>5944</v>
      </c>
      <c r="D632" s="273" t="s">
        <v>400</v>
      </c>
      <c r="E632" s="275" t="s">
        <v>401</v>
      </c>
      <c r="F632" s="272"/>
      <c r="G632" s="255"/>
      <c r="H632" s="333">
        <v>18291600</v>
      </c>
      <c r="I632" s="334">
        <v>3109572</v>
      </c>
      <c r="J632" s="682">
        <f t="shared" ref="J632" si="234">(H632-I632)/1.11</f>
        <v>13677502.702702701</v>
      </c>
      <c r="K632" s="682">
        <f t="shared" ref="K632" si="235">J632*11%</f>
        <v>1504525.297297297</v>
      </c>
      <c r="L632" s="333">
        <f t="shared" ref="L632" si="236">SUM(J632:K632)</f>
        <v>15182027.999999998</v>
      </c>
      <c r="M632" s="333">
        <f t="shared" ref="M632" si="237">H632-I632</f>
        <v>15182028</v>
      </c>
    </row>
    <row r="633" spans="1:13" s="256" customFormat="1" x14ac:dyDescent="0.25">
      <c r="A633" s="274">
        <v>44837</v>
      </c>
      <c r="B633" s="511">
        <v>44835</v>
      </c>
      <c r="C633" s="381" t="s">
        <v>5945</v>
      </c>
      <c r="D633" s="273" t="s">
        <v>400</v>
      </c>
      <c r="E633" s="275" t="s">
        <v>401</v>
      </c>
      <c r="F633" s="272"/>
      <c r="G633" s="255"/>
      <c r="H633" s="333">
        <v>16560000</v>
      </c>
      <c r="I633" s="334">
        <v>2815200</v>
      </c>
      <c r="J633" s="682">
        <f t="shared" ref="J633:J643" si="238">(H633-I633)/1.11</f>
        <v>12382702.702702701</v>
      </c>
      <c r="K633" s="682">
        <f t="shared" ref="K633:K643" si="239">J633*11%</f>
        <v>1362097.297297297</v>
      </c>
      <c r="L633" s="333">
        <f t="shared" ref="L633:L643" si="240">SUM(J633:K633)</f>
        <v>13744799.999999998</v>
      </c>
      <c r="M633" s="333">
        <f t="shared" ref="M633:M643" si="241">H633-I633</f>
        <v>13744800</v>
      </c>
    </row>
    <row r="634" spans="1:13" s="256" customFormat="1" x14ac:dyDescent="0.25">
      <c r="A634" s="274">
        <v>44837</v>
      </c>
      <c r="B634" s="511">
        <v>44835</v>
      </c>
      <c r="C634" s="381" t="s">
        <v>5946</v>
      </c>
      <c r="D634" s="273" t="s">
        <v>400</v>
      </c>
      <c r="E634" s="275" t="s">
        <v>401</v>
      </c>
      <c r="F634" s="272"/>
      <c r="G634" s="255"/>
      <c r="H634" s="333">
        <v>28080000</v>
      </c>
      <c r="I634" s="334">
        <v>4773600</v>
      </c>
      <c r="J634" s="682">
        <f t="shared" si="238"/>
        <v>20996756.756756756</v>
      </c>
      <c r="K634" s="682">
        <f t="shared" si="239"/>
        <v>2309643.2432432431</v>
      </c>
      <c r="L634" s="333">
        <f t="shared" si="240"/>
        <v>23306400</v>
      </c>
      <c r="M634" s="333">
        <f t="shared" si="241"/>
        <v>23306400</v>
      </c>
    </row>
    <row r="635" spans="1:13" s="256" customFormat="1" x14ac:dyDescent="0.25">
      <c r="A635" s="274">
        <v>44837</v>
      </c>
      <c r="B635" s="511">
        <v>44835</v>
      </c>
      <c r="C635" s="381" t="s">
        <v>5947</v>
      </c>
      <c r="D635" s="273" t="s">
        <v>400</v>
      </c>
      <c r="E635" s="275" t="s">
        <v>401</v>
      </c>
      <c r="F635" s="272"/>
      <c r="G635" s="255"/>
      <c r="H635" s="333">
        <v>42537200</v>
      </c>
      <c r="I635" s="334">
        <v>7231324</v>
      </c>
      <c r="J635" s="682">
        <f t="shared" si="238"/>
        <v>31807095.495495494</v>
      </c>
      <c r="K635" s="682">
        <f t="shared" si="239"/>
        <v>3498780.5045045046</v>
      </c>
      <c r="L635" s="333">
        <f t="shared" si="240"/>
        <v>35305876</v>
      </c>
      <c r="M635" s="333">
        <f t="shared" si="241"/>
        <v>35305876</v>
      </c>
    </row>
    <row r="636" spans="1:13" s="256" customFormat="1" x14ac:dyDescent="0.25">
      <c r="A636" s="274">
        <v>44838</v>
      </c>
      <c r="B636" s="511">
        <v>44835</v>
      </c>
      <c r="C636" s="381" t="s">
        <v>5948</v>
      </c>
      <c r="D636" s="273" t="s">
        <v>400</v>
      </c>
      <c r="E636" s="275" t="s">
        <v>401</v>
      </c>
      <c r="F636" s="272"/>
      <c r="G636" s="255"/>
      <c r="H636" s="333">
        <v>29678400</v>
      </c>
      <c r="I636" s="334">
        <v>5045328</v>
      </c>
      <c r="J636" s="682">
        <f t="shared" si="238"/>
        <v>22191956.756756756</v>
      </c>
      <c r="K636" s="682">
        <f t="shared" si="239"/>
        <v>2441115.2432432431</v>
      </c>
      <c r="L636" s="333">
        <f t="shared" si="240"/>
        <v>24633072</v>
      </c>
      <c r="M636" s="333">
        <f t="shared" si="241"/>
        <v>24633072</v>
      </c>
    </row>
    <row r="637" spans="1:13" s="256" customFormat="1" x14ac:dyDescent="0.25">
      <c r="A637" s="274">
        <v>44844</v>
      </c>
      <c r="B637" s="511">
        <v>44837</v>
      </c>
      <c r="C637" s="381" t="s">
        <v>5949</v>
      </c>
      <c r="D637" s="273" t="s">
        <v>400</v>
      </c>
      <c r="E637" s="275" t="s">
        <v>401</v>
      </c>
      <c r="F637" s="272"/>
      <c r="G637" s="255"/>
      <c r="H637" s="333">
        <v>19548000</v>
      </c>
      <c r="I637" s="334">
        <v>3323160</v>
      </c>
      <c r="J637" s="682">
        <f t="shared" si="238"/>
        <v>14616972.972972972</v>
      </c>
      <c r="K637" s="682">
        <f t="shared" si="239"/>
        <v>1607867.027027027</v>
      </c>
      <c r="L637" s="333">
        <f t="shared" si="240"/>
        <v>16224840</v>
      </c>
      <c r="M637" s="333">
        <f t="shared" si="241"/>
        <v>16224840</v>
      </c>
    </row>
    <row r="638" spans="1:13" s="256" customFormat="1" x14ac:dyDescent="0.25">
      <c r="A638" s="274">
        <v>44844</v>
      </c>
      <c r="B638" s="511">
        <v>44838</v>
      </c>
      <c r="C638" s="381" t="s">
        <v>5950</v>
      </c>
      <c r="D638" s="273" t="s">
        <v>400</v>
      </c>
      <c r="E638" s="275" t="s">
        <v>401</v>
      </c>
      <c r="F638" s="272"/>
      <c r="G638" s="255"/>
      <c r="H638" s="333">
        <v>47296400</v>
      </c>
      <c r="I638" s="334">
        <v>8040388.0000000009</v>
      </c>
      <c r="J638" s="682">
        <f t="shared" si="238"/>
        <v>35365776.576576576</v>
      </c>
      <c r="K638" s="682">
        <f t="shared" si="239"/>
        <v>3890235.4234234234</v>
      </c>
      <c r="L638" s="333">
        <f t="shared" si="240"/>
        <v>39256012</v>
      </c>
      <c r="M638" s="333">
        <f t="shared" si="241"/>
        <v>39256012</v>
      </c>
    </row>
    <row r="639" spans="1:13" s="256" customFormat="1" x14ac:dyDescent="0.25">
      <c r="A639" s="274">
        <v>44844</v>
      </c>
      <c r="B639" s="511">
        <v>44839</v>
      </c>
      <c r="C639" s="381" t="s">
        <v>5951</v>
      </c>
      <c r="D639" s="273" t="s">
        <v>400</v>
      </c>
      <c r="E639" s="275" t="s">
        <v>401</v>
      </c>
      <c r="F639" s="272"/>
      <c r="G639" s="255"/>
      <c r="H639" s="333">
        <v>26817000</v>
      </c>
      <c r="I639" s="334">
        <v>4558890</v>
      </c>
      <c r="J639" s="682">
        <f t="shared" si="238"/>
        <v>20052351.351351351</v>
      </c>
      <c r="K639" s="682">
        <f t="shared" si="239"/>
        <v>2205758.6486486485</v>
      </c>
      <c r="L639" s="333">
        <f t="shared" si="240"/>
        <v>22258110</v>
      </c>
      <c r="M639" s="333">
        <f t="shared" si="241"/>
        <v>22258110</v>
      </c>
    </row>
    <row r="640" spans="1:13" s="256" customFormat="1" x14ac:dyDescent="0.25">
      <c r="A640" s="274">
        <v>44844</v>
      </c>
      <c r="B640" s="511">
        <v>44840</v>
      </c>
      <c r="C640" s="381" t="s">
        <v>5952</v>
      </c>
      <c r="D640" s="273" t="s">
        <v>400</v>
      </c>
      <c r="E640" s="275" t="s">
        <v>401</v>
      </c>
      <c r="F640" s="272"/>
      <c r="G640" s="255"/>
      <c r="H640" s="333">
        <v>21828000</v>
      </c>
      <c r="I640" s="334">
        <v>3710760.0000000005</v>
      </c>
      <c r="J640" s="682">
        <f t="shared" si="238"/>
        <v>16321837.837837836</v>
      </c>
      <c r="K640" s="682">
        <f t="shared" si="239"/>
        <v>1795402.1621621619</v>
      </c>
      <c r="L640" s="333">
        <f t="shared" si="240"/>
        <v>18117239.999999996</v>
      </c>
      <c r="M640" s="333">
        <f t="shared" si="241"/>
        <v>18117240</v>
      </c>
    </row>
    <row r="641" spans="1:13" s="256" customFormat="1" x14ac:dyDescent="0.25">
      <c r="A641" s="274">
        <v>44844</v>
      </c>
      <c r="B641" s="511">
        <v>44840</v>
      </c>
      <c r="C641" s="381" t="s">
        <v>5953</v>
      </c>
      <c r="D641" s="273" t="s">
        <v>400</v>
      </c>
      <c r="E641" s="275" t="s">
        <v>401</v>
      </c>
      <c r="F641" s="272"/>
      <c r="G641" s="255"/>
      <c r="H641" s="333">
        <v>9720000</v>
      </c>
      <c r="I641" s="334">
        <v>1652400</v>
      </c>
      <c r="J641" s="682">
        <f t="shared" si="238"/>
        <v>7268108.1081081079</v>
      </c>
      <c r="K641" s="682">
        <f t="shared" si="239"/>
        <v>799491.89189189184</v>
      </c>
      <c r="L641" s="333">
        <f t="shared" si="240"/>
        <v>8067600</v>
      </c>
      <c r="M641" s="333">
        <f t="shared" si="241"/>
        <v>8067600</v>
      </c>
    </row>
    <row r="642" spans="1:13" s="256" customFormat="1" x14ac:dyDescent="0.25">
      <c r="A642" s="274">
        <v>44844</v>
      </c>
      <c r="B642" s="511">
        <v>44840</v>
      </c>
      <c r="C642" s="381" t="s">
        <v>5954</v>
      </c>
      <c r="D642" s="273" t="s">
        <v>400</v>
      </c>
      <c r="E642" s="275" t="s">
        <v>401</v>
      </c>
      <c r="F642" s="272"/>
      <c r="G642" s="255"/>
      <c r="H642" s="333">
        <v>29680800</v>
      </c>
      <c r="I642" s="334">
        <v>5045736</v>
      </c>
      <c r="J642" s="682">
        <f t="shared" si="238"/>
        <v>22193751.351351351</v>
      </c>
      <c r="K642" s="682">
        <f t="shared" si="239"/>
        <v>2441312.6486486485</v>
      </c>
      <c r="L642" s="333">
        <f t="shared" si="240"/>
        <v>24635064</v>
      </c>
      <c r="M642" s="333">
        <f t="shared" si="241"/>
        <v>24635064</v>
      </c>
    </row>
    <row r="643" spans="1:13" s="256" customFormat="1" x14ac:dyDescent="0.25">
      <c r="A643" s="274">
        <v>44844</v>
      </c>
      <c r="B643" s="511">
        <v>44840</v>
      </c>
      <c r="C643" s="381" t="s">
        <v>5955</v>
      </c>
      <c r="D643" s="273" t="s">
        <v>400</v>
      </c>
      <c r="E643" s="275" t="s">
        <v>401</v>
      </c>
      <c r="F643" s="272"/>
      <c r="G643" s="255"/>
      <c r="H643" s="333">
        <v>9496800</v>
      </c>
      <c r="I643" s="334">
        <v>1614456</v>
      </c>
      <c r="J643" s="682">
        <f t="shared" si="238"/>
        <v>7101210.81081081</v>
      </c>
      <c r="K643" s="682">
        <f t="shared" si="239"/>
        <v>781133.18918918911</v>
      </c>
      <c r="L643" s="333">
        <f t="shared" si="240"/>
        <v>7882343.9999999991</v>
      </c>
      <c r="M643" s="333">
        <f t="shared" si="241"/>
        <v>7882344</v>
      </c>
    </row>
    <row r="644" spans="1:13" s="256" customFormat="1" x14ac:dyDescent="0.25">
      <c r="A644" s="274">
        <v>44846</v>
      </c>
      <c r="B644" s="511">
        <v>44841</v>
      </c>
      <c r="C644" s="381" t="s">
        <v>5974</v>
      </c>
      <c r="D644" s="273"/>
      <c r="E644" s="275" t="s">
        <v>401</v>
      </c>
      <c r="F644" s="272"/>
      <c r="G644" s="255"/>
      <c r="H644" s="333">
        <v>19195200</v>
      </c>
      <c r="I644" s="334">
        <v>3263184</v>
      </c>
      <c r="J644" s="682">
        <f t="shared" ref="J644:J645" si="242">(H644-I644)/1.11</f>
        <v>14353167.567567566</v>
      </c>
      <c r="K644" s="682">
        <f t="shared" ref="K644:K645" si="243">J644*11%</f>
        <v>1578848.4324324324</v>
      </c>
      <c r="L644" s="333">
        <f t="shared" ref="L644:L645" si="244">SUM(J644:K644)</f>
        <v>15932015.999999998</v>
      </c>
      <c r="M644" s="333">
        <f t="shared" ref="M644:M645" si="245">H644-I644</f>
        <v>15932016</v>
      </c>
    </row>
    <row r="645" spans="1:13" s="256" customFormat="1" x14ac:dyDescent="0.25">
      <c r="A645" s="274">
        <v>44846</v>
      </c>
      <c r="B645" s="511">
        <v>44844</v>
      </c>
      <c r="C645" s="381" t="s">
        <v>5975</v>
      </c>
      <c r="D645" s="273"/>
      <c r="E645" s="275" t="s">
        <v>401</v>
      </c>
      <c r="F645" s="272"/>
      <c r="G645" s="255"/>
      <c r="H645" s="333">
        <v>30276000</v>
      </c>
      <c r="I645" s="334">
        <v>5146920</v>
      </c>
      <c r="J645" s="682">
        <f t="shared" si="242"/>
        <v>22638810.810810808</v>
      </c>
      <c r="K645" s="682">
        <f t="shared" si="243"/>
        <v>2490269.1891891891</v>
      </c>
      <c r="L645" s="333">
        <f t="shared" si="244"/>
        <v>25129079.999999996</v>
      </c>
      <c r="M645" s="333">
        <f t="shared" si="245"/>
        <v>25129080</v>
      </c>
    </row>
    <row r="646" spans="1:13" s="256" customFormat="1" x14ac:dyDescent="0.25">
      <c r="A646" s="274">
        <v>44848</v>
      </c>
      <c r="B646" s="511">
        <v>44845</v>
      </c>
      <c r="C646" s="381" t="s">
        <v>6040</v>
      </c>
      <c r="D646" s="273"/>
      <c r="E646" s="275" t="s">
        <v>401</v>
      </c>
      <c r="F646" s="272"/>
      <c r="G646" s="255"/>
      <c r="H646" s="333">
        <v>22215200</v>
      </c>
      <c r="I646" s="334">
        <v>3776584</v>
      </c>
      <c r="J646" s="682">
        <f t="shared" ref="J646:J647" si="246">(H646-I646)/1.11</f>
        <v>16611365.765765764</v>
      </c>
      <c r="K646" s="682">
        <f t="shared" ref="K646:K647" si="247">J646*11%</f>
        <v>1827250.2342342341</v>
      </c>
      <c r="L646" s="333">
        <f t="shared" ref="L646:L647" si="248">SUM(J646:K646)</f>
        <v>18438615.999999996</v>
      </c>
      <c r="M646" s="333">
        <f t="shared" ref="M646:M647" si="249">H646-I646</f>
        <v>18438616</v>
      </c>
    </row>
    <row r="647" spans="1:13" s="256" customFormat="1" x14ac:dyDescent="0.25">
      <c r="A647" s="274">
        <v>44848</v>
      </c>
      <c r="B647" s="511">
        <v>44845</v>
      </c>
      <c r="C647" s="381" t="s">
        <v>6041</v>
      </c>
      <c r="D647" s="273"/>
      <c r="E647" s="275" t="s">
        <v>401</v>
      </c>
      <c r="F647" s="272"/>
      <c r="G647" s="255"/>
      <c r="H647" s="333">
        <v>26382000</v>
      </c>
      <c r="I647" s="334">
        <v>4484940</v>
      </c>
      <c r="J647" s="682">
        <f t="shared" si="246"/>
        <v>19727081.081081081</v>
      </c>
      <c r="K647" s="682">
        <f t="shared" si="247"/>
        <v>2169978.9189189188</v>
      </c>
      <c r="L647" s="333">
        <f t="shared" si="248"/>
        <v>21897060</v>
      </c>
      <c r="M647" s="333">
        <f t="shared" si="249"/>
        <v>21897060</v>
      </c>
    </row>
    <row r="648" spans="1:13" s="256" customFormat="1" x14ac:dyDescent="0.25">
      <c r="A648" s="274" t="s">
        <v>5956</v>
      </c>
      <c r="B648" s="511" t="s">
        <v>5956</v>
      </c>
      <c r="C648" s="381" t="s">
        <v>5956</v>
      </c>
      <c r="D648" s="273"/>
      <c r="E648" s="275" t="s">
        <v>5956</v>
      </c>
      <c r="F648" s="272"/>
      <c r="G648" s="255"/>
      <c r="H648" s="333" t="s">
        <v>5956</v>
      </c>
      <c r="I648" s="334" t="s">
        <v>5956</v>
      </c>
      <c r="J648" s="682"/>
      <c r="K648" s="682"/>
      <c r="L648" s="333"/>
      <c r="M648" s="333"/>
    </row>
    <row r="649" spans="1:13" s="256" customFormat="1" x14ac:dyDescent="0.25">
      <c r="A649" s="274">
        <v>44844</v>
      </c>
      <c r="B649" s="511">
        <v>44840</v>
      </c>
      <c r="C649" s="381" t="s">
        <v>6042</v>
      </c>
      <c r="D649" s="272" t="s">
        <v>811</v>
      </c>
      <c r="E649" s="272" t="s">
        <v>812</v>
      </c>
      <c r="F649" s="275"/>
      <c r="G649" s="255"/>
      <c r="H649" s="333">
        <v>24479999.995500002</v>
      </c>
      <c r="I649" s="334">
        <v>6745.95</v>
      </c>
      <c r="J649" s="682">
        <f>(H649)/1.11</f>
        <v>22054054.050000001</v>
      </c>
      <c r="K649" s="682">
        <f t="shared" si="212"/>
        <v>2425945.9454999999</v>
      </c>
      <c r="L649" s="333">
        <f t="shared" si="213"/>
        <v>24479999.995500002</v>
      </c>
      <c r="M649" s="333">
        <f>H649</f>
        <v>24479999.995500002</v>
      </c>
    </row>
    <row r="650" spans="1:13" s="256" customFormat="1" x14ac:dyDescent="0.25">
      <c r="A650" s="274"/>
      <c r="B650" s="511"/>
      <c r="C650" s="381"/>
      <c r="D650" s="272"/>
      <c r="E650" s="272"/>
      <c r="F650" s="275"/>
      <c r="G650" s="255"/>
      <c r="H650" s="333"/>
      <c r="I650" s="334"/>
      <c r="J650" s="682"/>
      <c r="K650" s="682"/>
      <c r="L650" s="333"/>
      <c r="M650" s="333"/>
    </row>
    <row r="651" spans="1:13" s="256" customFormat="1" x14ac:dyDescent="0.25">
      <c r="A651" s="274"/>
      <c r="B651" s="511"/>
      <c r="C651" s="381"/>
      <c r="D651" s="273" t="s">
        <v>322</v>
      </c>
      <c r="E651" s="275" t="s">
        <v>397</v>
      </c>
      <c r="F651" s="272" t="s">
        <v>2645</v>
      </c>
      <c r="G651" s="255"/>
      <c r="H651" s="333"/>
      <c r="I651" s="334"/>
      <c r="J651" s="682">
        <f t="shared" si="233"/>
        <v>0</v>
      </c>
      <c r="K651" s="682">
        <f t="shared" si="212"/>
        <v>0</v>
      </c>
      <c r="L651" s="333">
        <f t="shared" si="213"/>
        <v>0</v>
      </c>
      <c r="M651" s="333">
        <f t="shared" si="214"/>
        <v>0</v>
      </c>
    </row>
    <row r="652" spans="1:13" s="256" customFormat="1" x14ac:dyDescent="0.25">
      <c r="A652" s="274"/>
      <c r="B652" s="511"/>
      <c r="C652" s="381"/>
      <c r="D652" s="273" t="s">
        <v>305</v>
      </c>
      <c r="E652" s="275" t="s">
        <v>398</v>
      </c>
      <c r="F652" s="272" t="s">
        <v>399</v>
      </c>
      <c r="G652" s="255"/>
      <c r="H652" s="333"/>
      <c r="I652" s="334"/>
      <c r="J652" s="682">
        <f t="shared" si="233"/>
        <v>0</v>
      </c>
      <c r="K652" s="682">
        <f t="shared" si="212"/>
        <v>0</v>
      </c>
      <c r="L652" s="333">
        <f t="shared" si="213"/>
        <v>0</v>
      </c>
      <c r="M652" s="333">
        <f t="shared" si="214"/>
        <v>0</v>
      </c>
    </row>
    <row r="653" spans="1:13" s="256" customFormat="1" x14ac:dyDescent="0.25">
      <c r="A653" s="274"/>
      <c r="B653" s="511"/>
      <c r="C653" s="381"/>
      <c r="D653" s="273"/>
      <c r="E653" s="275"/>
      <c r="F653" s="272"/>
      <c r="G653" s="255"/>
      <c r="H653" s="333"/>
      <c r="I653" s="334"/>
      <c r="J653" s="682">
        <f t="shared" si="233"/>
        <v>0</v>
      </c>
      <c r="K653" s="682">
        <f t="shared" si="212"/>
        <v>0</v>
      </c>
      <c r="L653" s="333">
        <f t="shared" si="213"/>
        <v>0</v>
      </c>
      <c r="M653" s="333">
        <f t="shared" si="214"/>
        <v>0</v>
      </c>
    </row>
    <row r="654" spans="1:13" s="256" customFormat="1" x14ac:dyDescent="0.25">
      <c r="A654" s="274"/>
      <c r="B654" s="511"/>
      <c r="C654" s="381"/>
      <c r="D654" s="273"/>
      <c r="E654" s="275"/>
      <c r="F654" s="272"/>
      <c r="G654" s="255"/>
      <c r="H654" s="333"/>
      <c r="I654" s="334"/>
      <c r="J654" s="682">
        <f t="shared" si="233"/>
        <v>0</v>
      </c>
      <c r="K654" s="682">
        <f t="shared" si="212"/>
        <v>0</v>
      </c>
      <c r="L654" s="333">
        <f t="shared" si="213"/>
        <v>0</v>
      </c>
      <c r="M654" s="333">
        <f t="shared" si="214"/>
        <v>0</v>
      </c>
    </row>
    <row r="655" spans="1:13" s="256" customFormat="1" x14ac:dyDescent="0.25">
      <c r="A655" s="274"/>
      <c r="B655" s="511"/>
      <c r="C655" s="381"/>
      <c r="D655" s="273"/>
      <c r="E655" s="275"/>
      <c r="F655" s="272"/>
      <c r="G655" s="255"/>
      <c r="H655" s="333"/>
      <c r="I655" s="334"/>
      <c r="J655" s="682">
        <f t="shared" si="233"/>
        <v>0</v>
      </c>
      <c r="K655" s="682">
        <f t="shared" si="212"/>
        <v>0</v>
      </c>
      <c r="L655" s="333">
        <f t="shared" si="213"/>
        <v>0</v>
      </c>
      <c r="M655" s="333">
        <f t="shared" si="214"/>
        <v>0</v>
      </c>
    </row>
    <row r="656" spans="1:13" s="256" customFormat="1" x14ac:dyDescent="0.25">
      <c r="A656" s="274"/>
      <c r="B656" s="511"/>
      <c r="C656" s="381"/>
      <c r="D656" s="273"/>
      <c r="E656" s="272"/>
      <c r="F656" s="272"/>
      <c r="G656" s="255"/>
      <c r="H656" s="333"/>
      <c r="I656" s="334"/>
      <c r="J656" s="682">
        <f t="shared" si="233"/>
        <v>0</v>
      </c>
      <c r="K656" s="682">
        <f t="shared" si="212"/>
        <v>0</v>
      </c>
      <c r="L656" s="333">
        <f t="shared" si="213"/>
        <v>0</v>
      </c>
      <c r="M656" s="333">
        <f t="shared" si="214"/>
        <v>0</v>
      </c>
    </row>
    <row r="657" spans="1:13" s="256" customFormat="1" x14ac:dyDescent="0.25">
      <c r="A657" s="274"/>
      <c r="B657" s="511"/>
      <c r="C657" s="381"/>
      <c r="D657" s="273"/>
      <c r="E657" s="272"/>
      <c r="F657" s="272"/>
      <c r="G657" s="255"/>
      <c r="H657" s="333"/>
      <c r="I657" s="334"/>
      <c r="J657" s="682">
        <f t="shared" si="233"/>
        <v>0</v>
      </c>
      <c r="K657" s="682">
        <f t="shared" si="212"/>
        <v>0</v>
      </c>
      <c r="L657" s="333">
        <f t="shared" si="213"/>
        <v>0</v>
      </c>
      <c r="M657" s="333">
        <f t="shared" si="214"/>
        <v>0</v>
      </c>
    </row>
    <row r="658" spans="1:13" s="256" customFormat="1" x14ac:dyDescent="0.25">
      <c r="A658" s="274"/>
      <c r="B658" s="511"/>
      <c r="C658" s="381"/>
      <c r="D658" s="273"/>
      <c r="E658" s="275"/>
      <c r="F658" s="272"/>
      <c r="G658" s="255"/>
      <c r="H658" s="333"/>
      <c r="I658" s="334"/>
      <c r="J658" s="682">
        <f t="shared" si="233"/>
        <v>0</v>
      </c>
      <c r="K658" s="682">
        <f t="shared" si="212"/>
        <v>0</v>
      </c>
      <c r="L658" s="333">
        <f t="shared" si="213"/>
        <v>0</v>
      </c>
      <c r="M658" s="333">
        <f t="shared" si="214"/>
        <v>0</v>
      </c>
    </row>
    <row r="659" spans="1:13" s="256" customFormat="1" x14ac:dyDescent="0.25">
      <c r="A659" s="274"/>
      <c r="B659" s="511"/>
      <c r="C659" s="381"/>
      <c r="D659" s="273"/>
      <c r="E659" s="275"/>
      <c r="F659" s="272"/>
      <c r="G659" s="255"/>
      <c r="H659" s="333"/>
      <c r="I659" s="334"/>
      <c r="J659" s="682">
        <f t="shared" si="233"/>
        <v>0</v>
      </c>
      <c r="K659" s="682">
        <f t="shared" si="212"/>
        <v>0</v>
      </c>
      <c r="L659" s="333">
        <f t="shared" si="213"/>
        <v>0</v>
      </c>
      <c r="M659" s="333">
        <f t="shared" si="214"/>
        <v>0</v>
      </c>
    </row>
    <row r="660" spans="1:13" s="256" customFormat="1" x14ac:dyDescent="0.25">
      <c r="A660" s="274"/>
      <c r="B660" s="511"/>
      <c r="C660" s="381"/>
      <c r="D660" s="273"/>
      <c r="E660" s="275"/>
      <c r="F660" s="272"/>
      <c r="G660" s="255"/>
      <c r="H660" s="333"/>
      <c r="I660" s="334"/>
      <c r="J660" s="682">
        <f t="shared" si="233"/>
        <v>0</v>
      </c>
      <c r="K660" s="682">
        <f t="shared" si="212"/>
        <v>0</v>
      </c>
      <c r="L660" s="333">
        <f t="shared" si="213"/>
        <v>0</v>
      </c>
      <c r="M660" s="333">
        <f t="shared" si="214"/>
        <v>0</v>
      </c>
    </row>
    <row r="661" spans="1:13" s="256" customFormat="1" x14ac:dyDescent="0.25">
      <c r="A661" s="274"/>
      <c r="B661" s="511"/>
      <c r="C661" s="381"/>
      <c r="D661" s="273"/>
      <c r="E661" s="275"/>
      <c r="F661" s="272"/>
      <c r="G661" s="255"/>
      <c r="H661" s="333"/>
      <c r="I661" s="334"/>
      <c r="J661" s="682">
        <f t="shared" si="233"/>
        <v>0</v>
      </c>
      <c r="K661" s="682">
        <f t="shared" si="212"/>
        <v>0</v>
      </c>
      <c r="L661" s="333">
        <f t="shared" si="213"/>
        <v>0</v>
      </c>
      <c r="M661" s="333">
        <f t="shared" si="214"/>
        <v>0</v>
      </c>
    </row>
    <row r="662" spans="1:13" s="256" customFormat="1" x14ac:dyDescent="0.25">
      <c r="A662" s="274"/>
      <c r="B662" s="511"/>
      <c r="C662" s="381"/>
      <c r="D662" s="273"/>
      <c r="E662" s="275"/>
      <c r="F662" s="272"/>
      <c r="G662" s="255"/>
      <c r="H662" s="333"/>
      <c r="I662" s="334"/>
      <c r="J662" s="682">
        <f t="shared" si="233"/>
        <v>0</v>
      </c>
      <c r="K662" s="682">
        <f t="shared" si="212"/>
        <v>0</v>
      </c>
      <c r="L662" s="333">
        <f t="shared" si="213"/>
        <v>0</v>
      </c>
      <c r="M662" s="333">
        <f t="shared" si="214"/>
        <v>0</v>
      </c>
    </row>
    <row r="663" spans="1:13" s="256" customFormat="1" x14ac:dyDescent="0.25">
      <c r="A663" s="274"/>
      <c r="B663" s="511"/>
      <c r="C663" s="381"/>
      <c r="D663" s="273"/>
      <c r="E663" s="275"/>
      <c r="F663" s="272"/>
      <c r="G663" s="255"/>
      <c r="H663" s="333"/>
      <c r="I663" s="334"/>
      <c r="J663" s="682">
        <f t="shared" si="233"/>
        <v>0</v>
      </c>
      <c r="K663" s="682">
        <f t="shared" si="212"/>
        <v>0</v>
      </c>
      <c r="L663" s="333">
        <f t="shared" si="213"/>
        <v>0</v>
      </c>
      <c r="M663" s="333">
        <f t="shared" si="214"/>
        <v>0</v>
      </c>
    </row>
    <row r="664" spans="1:13" s="256" customFormat="1" x14ac:dyDescent="0.25">
      <c r="A664" s="274"/>
      <c r="B664" s="511"/>
      <c r="C664" s="381"/>
      <c r="D664" s="273"/>
      <c r="E664" s="275"/>
      <c r="F664" s="272"/>
      <c r="G664" s="255"/>
      <c r="H664" s="333"/>
      <c r="I664" s="334"/>
      <c r="J664" s="682">
        <f t="shared" si="233"/>
        <v>0</v>
      </c>
      <c r="K664" s="682">
        <f t="shared" si="212"/>
        <v>0</v>
      </c>
      <c r="L664" s="333">
        <f t="shared" si="213"/>
        <v>0</v>
      </c>
      <c r="M664" s="333">
        <f t="shared" si="214"/>
        <v>0</v>
      </c>
    </row>
    <row r="665" spans="1:13" s="256" customFormat="1" x14ac:dyDescent="0.25">
      <c r="A665" s="274"/>
      <c r="B665" s="511"/>
      <c r="C665" s="381"/>
      <c r="D665" s="273"/>
      <c r="E665" s="275"/>
      <c r="F665" s="272"/>
      <c r="G665" s="255"/>
      <c r="H665" s="333"/>
      <c r="I665" s="334"/>
      <c r="J665" s="682">
        <f t="shared" si="233"/>
        <v>0</v>
      </c>
      <c r="K665" s="682">
        <f t="shared" si="212"/>
        <v>0</v>
      </c>
      <c r="L665" s="333">
        <f t="shared" si="213"/>
        <v>0</v>
      </c>
      <c r="M665" s="333">
        <f t="shared" si="214"/>
        <v>0</v>
      </c>
    </row>
    <row r="666" spans="1:13" s="256" customFormat="1" x14ac:dyDescent="0.25">
      <c r="A666" s="274"/>
      <c r="B666" s="511"/>
      <c r="C666" s="381"/>
      <c r="D666" s="273"/>
      <c r="E666" s="275"/>
      <c r="F666" s="272"/>
      <c r="G666" s="255"/>
      <c r="H666" s="333"/>
      <c r="I666" s="334"/>
      <c r="J666" s="682">
        <f t="shared" si="233"/>
        <v>0</v>
      </c>
      <c r="K666" s="682">
        <f t="shared" si="212"/>
        <v>0</v>
      </c>
      <c r="L666" s="333">
        <f t="shared" si="213"/>
        <v>0</v>
      </c>
      <c r="M666" s="333">
        <f t="shared" si="214"/>
        <v>0</v>
      </c>
    </row>
    <row r="667" spans="1:13" s="256" customFormat="1" x14ac:dyDescent="0.25">
      <c r="A667" s="274"/>
      <c r="B667" s="511"/>
      <c r="C667" s="381"/>
      <c r="D667" s="273"/>
      <c r="E667" s="275"/>
      <c r="F667" s="272"/>
      <c r="G667" s="255"/>
      <c r="H667" s="333"/>
      <c r="I667" s="334"/>
      <c r="J667" s="682">
        <f t="shared" si="233"/>
        <v>0</v>
      </c>
      <c r="K667" s="682">
        <f t="shared" si="212"/>
        <v>0</v>
      </c>
      <c r="L667" s="333">
        <f t="shared" si="213"/>
        <v>0</v>
      </c>
      <c r="M667" s="333">
        <f t="shared" si="214"/>
        <v>0</v>
      </c>
    </row>
    <row r="668" spans="1:13" s="256" customFormat="1" x14ac:dyDescent="0.25">
      <c r="A668" s="274"/>
      <c r="B668" s="511"/>
      <c r="C668" s="381"/>
      <c r="D668" s="273"/>
      <c r="E668" s="275"/>
      <c r="F668" s="272"/>
      <c r="G668" s="255"/>
      <c r="H668" s="333"/>
      <c r="I668" s="334"/>
      <c r="J668" s="682">
        <f t="shared" si="233"/>
        <v>0</v>
      </c>
      <c r="K668" s="682">
        <f t="shared" si="212"/>
        <v>0</v>
      </c>
      <c r="L668" s="333">
        <f t="shared" si="213"/>
        <v>0</v>
      </c>
      <c r="M668" s="333">
        <f t="shared" si="214"/>
        <v>0</v>
      </c>
    </row>
    <row r="669" spans="1:13" s="256" customFormat="1" x14ac:dyDescent="0.25">
      <c r="A669" s="274"/>
      <c r="B669" s="511"/>
      <c r="C669" s="381"/>
      <c r="D669" s="273"/>
      <c r="E669" s="275"/>
      <c r="F669" s="272"/>
      <c r="G669" s="255"/>
      <c r="H669" s="333"/>
      <c r="I669" s="334"/>
      <c r="J669" s="682">
        <f t="shared" si="233"/>
        <v>0</v>
      </c>
      <c r="K669" s="682">
        <f t="shared" si="212"/>
        <v>0</v>
      </c>
      <c r="L669" s="333">
        <f t="shared" si="213"/>
        <v>0</v>
      </c>
      <c r="M669" s="333">
        <f t="shared" si="214"/>
        <v>0</v>
      </c>
    </row>
    <row r="670" spans="1:13" s="256" customFormat="1" x14ac:dyDescent="0.25">
      <c r="A670" s="274"/>
      <c r="B670" s="511"/>
      <c r="C670" s="381"/>
      <c r="D670" s="273"/>
      <c r="E670" s="275"/>
      <c r="F670" s="272"/>
      <c r="G670" s="255"/>
      <c r="H670" s="333"/>
      <c r="I670" s="334"/>
      <c r="J670" s="682">
        <f t="shared" si="233"/>
        <v>0</v>
      </c>
      <c r="K670" s="682">
        <f t="shared" si="212"/>
        <v>0</v>
      </c>
      <c r="L670" s="333">
        <f t="shared" si="213"/>
        <v>0</v>
      </c>
      <c r="M670" s="333">
        <f t="shared" si="214"/>
        <v>0</v>
      </c>
    </row>
    <row r="671" spans="1:13" s="256" customFormat="1" x14ac:dyDescent="0.25">
      <c r="A671" s="274"/>
      <c r="B671" s="511"/>
      <c r="C671" s="381"/>
      <c r="D671" s="273"/>
      <c r="E671" s="275"/>
      <c r="F671" s="272"/>
      <c r="G671" s="255"/>
      <c r="H671" s="333"/>
      <c r="I671" s="334"/>
      <c r="J671" s="682">
        <f t="shared" si="233"/>
        <v>0</v>
      </c>
      <c r="K671" s="682">
        <f t="shared" si="212"/>
        <v>0</v>
      </c>
      <c r="L671" s="333">
        <f t="shared" si="213"/>
        <v>0</v>
      </c>
      <c r="M671" s="333">
        <f t="shared" si="214"/>
        <v>0</v>
      </c>
    </row>
    <row r="672" spans="1:13" s="256" customFormat="1" x14ac:dyDescent="0.25">
      <c r="A672" s="274"/>
      <c r="B672" s="511"/>
      <c r="C672" s="381"/>
      <c r="D672" s="273"/>
      <c r="E672" s="275"/>
      <c r="F672" s="272"/>
      <c r="G672" s="255"/>
      <c r="H672" s="333"/>
      <c r="I672" s="334"/>
      <c r="J672" s="682">
        <f t="shared" si="233"/>
        <v>0</v>
      </c>
      <c r="K672" s="682">
        <f t="shared" si="212"/>
        <v>0</v>
      </c>
      <c r="L672" s="333">
        <f t="shared" si="213"/>
        <v>0</v>
      </c>
      <c r="M672" s="333">
        <f t="shared" si="214"/>
        <v>0</v>
      </c>
    </row>
    <row r="673" spans="1:13" s="256" customFormat="1" x14ac:dyDescent="0.25">
      <c r="A673" s="274"/>
      <c r="B673" s="511"/>
      <c r="C673" s="381"/>
      <c r="D673" s="273"/>
      <c r="E673" s="275"/>
      <c r="F673" s="272"/>
      <c r="G673" s="255"/>
      <c r="H673" s="333"/>
      <c r="I673" s="334"/>
      <c r="J673" s="682">
        <f t="shared" si="233"/>
        <v>0</v>
      </c>
      <c r="K673" s="682">
        <f t="shared" si="212"/>
        <v>0</v>
      </c>
      <c r="L673" s="333">
        <f t="shared" si="213"/>
        <v>0</v>
      </c>
      <c r="M673" s="333">
        <f t="shared" si="214"/>
        <v>0</v>
      </c>
    </row>
    <row r="674" spans="1:13" s="256" customFormat="1" x14ac:dyDescent="0.25">
      <c r="A674" s="274"/>
      <c r="B674" s="511"/>
      <c r="C674" s="381"/>
      <c r="D674" s="273"/>
      <c r="E674" s="275"/>
      <c r="F674" s="272"/>
      <c r="G674" s="255"/>
      <c r="H674" s="333"/>
      <c r="I674" s="334"/>
      <c r="J674" s="682">
        <f t="shared" si="233"/>
        <v>0</v>
      </c>
      <c r="K674" s="682">
        <f t="shared" si="212"/>
        <v>0</v>
      </c>
      <c r="L674" s="333">
        <f t="shared" si="213"/>
        <v>0</v>
      </c>
      <c r="M674" s="333">
        <f t="shared" si="214"/>
        <v>0</v>
      </c>
    </row>
    <row r="675" spans="1:13" s="256" customFormat="1" x14ac:dyDescent="0.25">
      <c r="A675" s="274"/>
      <c r="B675" s="511"/>
      <c r="C675" s="381"/>
      <c r="D675" s="273"/>
      <c r="E675" s="275"/>
      <c r="F675" s="272"/>
      <c r="G675" s="255"/>
      <c r="H675" s="333"/>
      <c r="I675" s="334"/>
      <c r="J675" s="682">
        <f t="shared" si="233"/>
        <v>0</v>
      </c>
      <c r="K675" s="682">
        <f t="shared" si="212"/>
        <v>0</v>
      </c>
      <c r="L675" s="333">
        <f t="shared" si="213"/>
        <v>0</v>
      </c>
      <c r="M675" s="333">
        <f t="shared" ref="M675:M693" si="250">H675-I675</f>
        <v>0</v>
      </c>
    </row>
    <row r="676" spans="1:13" s="256" customFormat="1" x14ac:dyDescent="0.25">
      <c r="A676" s="274"/>
      <c r="B676" s="511"/>
      <c r="C676" s="381"/>
      <c r="D676" s="273"/>
      <c r="E676" s="275"/>
      <c r="F676" s="272"/>
      <c r="G676" s="255"/>
      <c r="H676" s="333"/>
      <c r="I676" s="334"/>
      <c r="J676" s="682">
        <f t="shared" si="233"/>
        <v>0</v>
      </c>
      <c r="K676" s="682">
        <f t="shared" si="212"/>
        <v>0</v>
      </c>
      <c r="L676" s="333">
        <f t="shared" si="213"/>
        <v>0</v>
      </c>
      <c r="M676" s="333">
        <f t="shared" si="250"/>
        <v>0</v>
      </c>
    </row>
    <row r="677" spans="1:13" s="256" customFormat="1" x14ac:dyDescent="0.25">
      <c r="A677" s="274"/>
      <c r="B677" s="511"/>
      <c r="C677" s="381"/>
      <c r="D677" s="273"/>
      <c r="E677" s="275"/>
      <c r="F677" s="272"/>
      <c r="G677" s="255"/>
      <c r="H677" s="333"/>
      <c r="I677" s="334"/>
      <c r="J677" s="682">
        <f t="shared" si="233"/>
        <v>0</v>
      </c>
      <c r="K677" s="682">
        <f t="shared" si="212"/>
        <v>0</v>
      </c>
      <c r="L677" s="333">
        <f t="shared" si="213"/>
        <v>0</v>
      </c>
      <c r="M677" s="333">
        <f t="shared" si="250"/>
        <v>0</v>
      </c>
    </row>
    <row r="678" spans="1:13" s="256" customFormat="1" x14ac:dyDescent="0.25">
      <c r="A678" s="274"/>
      <c r="B678" s="511"/>
      <c r="C678" s="381"/>
      <c r="D678" s="273"/>
      <c r="E678" s="275"/>
      <c r="F678" s="272"/>
      <c r="G678" s="255"/>
      <c r="H678" s="333"/>
      <c r="I678" s="334"/>
      <c r="J678" s="682">
        <f t="shared" si="233"/>
        <v>0</v>
      </c>
      <c r="K678" s="682">
        <f t="shared" si="212"/>
        <v>0</v>
      </c>
      <c r="L678" s="333">
        <f t="shared" si="213"/>
        <v>0</v>
      </c>
      <c r="M678" s="333">
        <f t="shared" si="250"/>
        <v>0</v>
      </c>
    </row>
    <row r="679" spans="1:13" s="256" customFormat="1" x14ac:dyDescent="0.25">
      <c r="A679" s="274"/>
      <c r="B679" s="511"/>
      <c r="C679" s="381"/>
      <c r="D679" s="273"/>
      <c r="E679" s="275"/>
      <c r="F679" s="272"/>
      <c r="G679" s="255"/>
      <c r="H679" s="333"/>
      <c r="I679" s="334"/>
      <c r="J679" s="682">
        <f t="shared" si="233"/>
        <v>0</v>
      </c>
      <c r="K679" s="682">
        <f t="shared" si="212"/>
        <v>0</v>
      </c>
      <c r="L679" s="333">
        <f t="shared" si="213"/>
        <v>0</v>
      </c>
      <c r="M679" s="333">
        <f t="shared" si="250"/>
        <v>0</v>
      </c>
    </row>
    <row r="680" spans="1:13" s="256" customFormat="1" x14ac:dyDescent="0.25">
      <c r="A680" s="274"/>
      <c r="B680" s="511"/>
      <c r="C680" s="381"/>
      <c r="D680" s="273"/>
      <c r="E680" s="275"/>
      <c r="F680" s="272"/>
      <c r="G680" s="255"/>
      <c r="H680" s="333"/>
      <c r="I680" s="334"/>
      <c r="J680" s="682">
        <f t="shared" si="233"/>
        <v>0</v>
      </c>
      <c r="K680" s="682">
        <f t="shared" si="212"/>
        <v>0</v>
      </c>
      <c r="L680" s="333">
        <f t="shared" ref="L680:L685" si="251">SUM(J680:K680)</f>
        <v>0</v>
      </c>
      <c r="M680" s="333">
        <f t="shared" si="250"/>
        <v>0</v>
      </c>
    </row>
    <row r="681" spans="1:13" s="256" customFormat="1" x14ac:dyDescent="0.25">
      <c r="A681" s="274"/>
      <c r="B681" s="511"/>
      <c r="C681" s="381"/>
      <c r="D681" s="273"/>
      <c r="E681" s="275"/>
      <c r="F681" s="272"/>
      <c r="G681" s="255"/>
      <c r="H681" s="333"/>
      <c r="I681" s="334"/>
      <c r="J681" s="682">
        <f t="shared" si="233"/>
        <v>0</v>
      </c>
      <c r="K681" s="682">
        <f t="shared" si="212"/>
        <v>0</v>
      </c>
      <c r="L681" s="333">
        <f t="shared" si="251"/>
        <v>0</v>
      </c>
      <c r="M681" s="333">
        <f t="shared" si="250"/>
        <v>0</v>
      </c>
    </row>
    <row r="682" spans="1:13" s="256" customFormat="1" x14ac:dyDescent="0.25">
      <c r="A682" s="274"/>
      <c r="B682" s="511"/>
      <c r="C682" s="381"/>
      <c r="D682" s="273"/>
      <c r="E682" s="275"/>
      <c r="F682" s="272"/>
      <c r="G682" s="255"/>
      <c r="H682" s="333"/>
      <c r="I682" s="334"/>
      <c r="J682" s="682">
        <f t="shared" si="233"/>
        <v>0</v>
      </c>
      <c r="K682" s="682">
        <f t="shared" si="212"/>
        <v>0</v>
      </c>
      <c r="L682" s="333">
        <f t="shared" si="251"/>
        <v>0</v>
      </c>
      <c r="M682" s="333">
        <f t="shared" si="250"/>
        <v>0</v>
      </c>
    </row>
    <row r="683" spans="1:13" s="256" customFormat="1" x14ac:dyDescent="0.25">
      <c r="A683" s="274"/>
      <c r="B683" s="511"/>
      <c r="C683" s="381"/>
      <c r="D683" s="273"/>
      <c r="E683" s="275"/>
      <c r="F683" s="272"/>
      <c r="G683" s="255"/>
      <c r="H683" s="333"/>
      <c r="I683" s="334"/>
      <c r="J683" s="682">
        <f t="shared" si="233"/>
        <v>0</v>
      </c>
      <c r="K683" s="682">
        <f t="shared" si="212"/>
        <v>0</v>
      </c>
      <c r="L683" s="333">
        <f t="shared" si="251"/>
        <v>0</v>
      </c>
      <c r="M683" s="333">
        <f t="shared" si="250"/>
        <v>0</v>
      </c>
    </row>
    <row r="684" spans="1:13" s="256" customFormat="1" x14ac:dyDescent="0.25">
      <c r="A684" s="274"/>
      <c r="B684" s="511"/>
      <c r="C684" s="381"/>
      <c r="D684" s="273"/>
      <c r="E684" s="272"/>
      <c r="F684" s="275"/>
      <c r="G684" s="255"/>
      <c r="H684" s="333"/>
      <c r="I684" s="334"/>
      <c r="J684" s="682">
        <f t="shared" si="233"/>
        <v>0</v>
      </c>
      <c r="K684" s="682">
        <f t="shared" si="212"/>
        <v>0</v>
      </c>
      <c r="L684" s="333">
        <f t="shared" si="251"/>
        <v>0</v>
      </c>
      <c r="M684" s="333">
        <f t="shared" si="250"/>
        <v>0</v>
      </c>
    </row>
    <row r="685" spans="1:13" s="256" customFormat="1" x14ac:dyDescent="0.25">
      <c r="A685" s="274"/>
      <c r="B685" s="511"/>
      <c r="C685" s="381"/>
      <c r="D685" s="273"/>
      <c r="E685" s="272"/>
      <c r="F685" s="275"/>
      <c r="G685" s="255"/>
      <c r="H685" s="333"/>
      <c r="I685" s="334"/>
      <c r="J685" s="682">
        <f t="shared" si="233"/>
        <v>0</v>
      </c>
      <c r="K685" s="682">
        <f t="shared" si="212"/>
        <v>0</v>
      </c>
      <c r="L685" s="333">
        <f t="shared" si="251"/>
        <v>0</v>
      </c>
      <c r="M685" s="333">
        <f t="shared" si="250"/>
        <v>0</v>
      </c>
    </row>
    <row r="686" spans="1:13" s="256" customFormat="1" x14ac:dyDescent="0.25">
      <c r="A686" s="274"/>
      <c r="B686" s="511"/>
      <c r="C686" s="381"/>
      <c r="D686" s="273"/>
      <c r="E686" s="275"/>
      <c r="F686" s="272"/>
      <c r="G686" s="255"/>
      <c r="H686" s="333"/>
      <c r="I686" s="334"/>
      <c r="J686" s="682">
        <f t="shared" si="233"/>
        <v>0</v>
      </c>
      <c r="K686" s="682">
        <f t="shared" si="212"/>
        <v>0</v>
      </c>
      <c r="L686" s="333">
        <f t="shared" ref="L686:L693" si="252">SUM(J686:K686)</f>
        <v>0</v>
      </c>
      <c r="M686" s="333">
        <f t="shared" si="250"/>
        <v>0</v>
      </c>
    </row>
    <row r="687" spans="1:13" s="256" customFormat="1" x14ac:dyDescent="0.25">
      <c r="A687" s="274"/>
      <c r="B687" s="511"/>
      <c r="C687" s="381"/>
      <c r="D687" s="273"/>
      <c r="E687" s="272"/>
      <c r="F687" s="275"/>
      <c r="G687" s="255"/>
      <c r="H687" s="333"/>
      <c r="I687" s="334"/>
      <c r="J687" s="682">
        <f t="shared" si="233"/>
        <v>0</v>
      </c>
      <c r="K687" s="682">
        <f t="shared" si="212"/>
        <v>0</v>
      </c>
      <c r="L687" s="333">
        <f t="shared" si="252"/>
        <v>0</v>
      </c>
      <c r="M687" s="333">
        <f t="shared" si="250"/>
        <v>0</v>
      </c>
    </row>
    <row r="688" spans="1:13" s="256" customFormat="1" x14ac:dyDescent="0.25">
      <c r="A688" s="274"/>
      <c r="B688" s="511"/>
      <c r="C688" s="381"/>
      <c r="D688" s="273"/>
      <c r="E688" s="272"/>
      <c r="F688" s="275"/>
      <c r="G688" s="255"/>
      <c r="H688" s="333"/>
      <c r="I688" s="334"/>
      <c r="J688" s="682">
        <f t="shared" si="233"/>
        <v>0</v>
      </c>
      <c r="K688" s="682">
        <f t="shared" si="212"/>
        <v>0</v>
      </c>
      <c r="L688" s="333">
        <f t="shared" si="252"/>
        <v>0</v>
      </c>
      <c r="M688" s="333">
        <f t="shared" si="250"/>
        <v>0</v>
      </c>
    </row>
    <row r="689" spans="1:13" s="256" customFormat="1" x14ac:dyDescent="0.25">
      <c r="A689" s="274"/>
      <c r="B689" s="511"/>
      <c r="C689" s="381"/>
      <c r="D689" s="273"/>
      <c r="E689" s="275"/>
      <c r="F689" s="272"/>
      <c r="G689" s="255"/>
      <c r="H689" s="333"/>
      <c r="I689" s="334"/>
      <c r="J689" s="682">
        <f t="shared" si="233"/>
        <v>0</v>
      </c>
      <c r="K689" s="682">
        <f t="shared" si="212"/>
        <v>0</v>
      </c>
      <c r="L689" s="333">
        <f t="shared" si="252"/>
        <v>0</v>
      </c>
      <c r="M689" s="333">
        <f t="shared" si="250"/>
        <v>0</v>
      </c>
    </row>
    <row r="690" spans="1:13" s="256" customFormat="1" x14ac:dyDescent="0.25">
      <c r="A690" s="274"/>
      <c r="B690" s="511"/>
      <c r="C690" s="381"/>
      <c r="D690" s="273"/>
      <c r="E690" s="272"/>
      <c r="F690" s="275"/>
      <c r="G690" s="255"/>
      <c r="H690" s="333"/>
      <c r="I690" s="334"/>
      <c r="J690" s="682">
        <f t="shared" si="233"/>
        <v>0</v>
      </c>
      <c r="K690" s="682">
        <f t="shared" si="212"/>
        <v>0</v>
      </c>
      <c r="L690" s="333">
        <f t="shared" si="252"/>
        <v>0</v>
      </c>
      <c r="M690" s="333">
        <f t="shared" si="250"/>
        <v>0</v>
      </c>
    </row>
    <row r="691" spans="1:13" s="256" customFormat="1" x14ac:dyDescent="0.25">
      <c r="A691" s="274"/>
      <c r="B691" s="511"/>
      <c r="C691" s="381"/>
      <c r="D691" s="273"/>
      <c r="E691" s="272"/>
      <c r="F691" s="275"/>
      <c r="G691" s="255"/>
      <c r="H691" s="333"/>
      <c r="I691" s="334"/>
      <c r="J691" s="682">
        <f t="shared" si="233"/>
        <v>0</v>
      </c>
      <c r="K691" s="682">
        <f t="shared" si="212"/>
        <v>0</v>
      </c>
      <c r="L691" s="333">
        <f t="shared" si="252"/>
        <v>0</v>
      </c>
      <c r="M691" s="333">
        <f t="shared" si="250"/>
        <v>0</v>
      </c>
    </row>
    <row r="692" spans="1:13" s="256" customFormat="1" x14ac:dyDescent="0.25">
      <c r="A692" s="274"/>
      <c r="B692" s="511"/>
      <c r="C692" s="381"/>
      <c r="D692" s="273"/>
      <c r="E692" s="272"/>
      <c r="F692" s="275"/>
      <c r="G692" s="255"/>
      <c r="H692" s="333"/>
      <c r="I692" s="334"/>
      <c r="J692" s="682">
        <f t="shared" si="233"/>
        <v>0</v>
      </c>
      <c r="K692" s="682">
        <f t="shared" si="212"/>
        <v>0</v>
      </c>
      <c r="L692" s="333">
        <f t="shared" si="252"/>
        <v>0</v>
      </c>
      <c r="M692" s="333">
        <f t="shared" si="250"/>
        <v>0</v>
      </c>
    </row>
    <row r="693" spans="1:13" s="256" customFormat="1" x14ac:dyDescent="0.25">
      <c r="A693" s="274"/>
      <c r="B693" s="511"/>
      <c r="C693" s="381"/>
      <c r="D693" s="273"/>
      <c r="E693" s="272"/>
      <c r="F693" s="275"/>
      <c r="G693" s="255"/>
      <c r="H693" s="333"/>
      <c r="I693" s="334"/>
      <c r="J693" s="682">
        <f t="shared" si="233"/>
        <v>0</v>
      </c>
      <c r="K693" s="682">
        <f t="shared" si="212"/>
        <v>0</v>
      </c>
      <c r="L693" s="333">
        <f t="shared" si="252"/>
        <v>0</v>
      </c>
      <c r="M693" s="333">
        <f t="shared" si="250"/>
        <v>0</v>
      </c>
    </row>
    <row r="694" spans="1:13" ht="18" x14ac:dyDescent="0.25">
      <c r="A694" s="513" t="s">
        <v>38</v>
      </c>
      <c r="B694" s="512"/>
      <c r="C694" s="515"/>
      <c r="D694" s="514"/>
      <c r="E694" s="519"/>
      <c r="F694" s="519"/>
      <c r="G694" s="516"/>
      <c r="H694" s="413">
        <f>SUM(H617:H693)</f>
        <v>514917272.12050003</v>
      </c>
      <c r="I694" s="412"/>
      <c r="J694" s="683">
        <f>SUM(J617:J693)</f>
        <v>394160372.18063068</v>
      </c>
      <c r="K694" s="683">
        <f>SUM(K617:K693)</f>
        <v>43357640.939869374</v>
      </c>
      <c r="L694" s="414">
        <f>SUM(L617:L693)</f>
        <v>437518013.12050003</v>
      </c>
      <c r="M694" s="414">
        <f>SUM(M617:M693)</f>
        <v>437518013.12050003</v>
      </c>
    </row>
    <row r="695" spans="1:13" ht="18" x14ac:dyDescent="0.25">
      <c r="A695" s="510" t="s">
        <v>108</v>
      </c>
      <c r="B695" s="510"/>
      <c r="C695" s="421"/>
      <c r="D695" s="420"/>
      <c r="E695" s="518"/>
      <c r="F695" s="518"/>
      <c r="G695" s="420"/>
      <c r="H695" s="422"/>
      <c r="I695" s="422"/>
      <c r="J695" s="681"/>
      <c r="K695" s="681"/>
      <c r="L695" s="423"/>
      <c r="M695" s="423"/>
    </row>
    <row r="696" spans="1:13" s="256" customFormat="1" x14ac:dyDescent="0.25">
      <c r="A696" s="274"/>
      <c r="B696" s="511"/>
      <c r="C696" s="381"/>
      <c r="D696" s="273" t="s">
        <v>403</v>
      </c>
      <c r="E696" s="275" t="s">
        <v>404</v>
      </c>
      <c r="F696" s="272" t="s">
        <v>405</v>
      </c>
      <c r="G696" s="255"/>
      <c r="H696" s="333"/>
      <c r="I696" s="334"/>
      <c r="J696" s="682">
        <f>(H696-I696)/1.11</f>
        <v>0</v>
      </c>
      <c r="K696" s="682">
        <f t="shared" ref="K696:K746" si="253">J696*11%</f>
        <v>0</v>
      </c>
      <c r="L696" s="333">
        <f t="shared" ref="L696:L732" si="254">SUM(J696:K696)</f>
        <v>0</v>
      </c>
      <c r="M696" s="333">
        <f t="shared" ref="M696:M727" si="255">H696-I696</f>
        <v>0</v>
      </c>
    </row>
    <row r="697" spans="1:13" s="256" customFormat="1" x14ac:dyDescent="0.25">
      <c r="A697" s="274"/>
      <c r="B697" s="511"/>
      <c r="C697" s="381"/>
      <c r="D697" s="273" t="s">
        <v>4003</v>
      </c>
      <c r="E697" s="275" t="s">
        <v>3897</v>
      </c>
      <c r="F697" s="272" t="s">
        <v>3898</v>
      </c>
      <c r="G697" s="255"/>
      <c r="H697" s="333"/>
      <c r="I697" s="334"/>
      <c r="J697" s="682">
        <f>(H697-I697)/1.11</f>
        <v>0</v>
      </c>
      <c r="K697" s="682">
        <f t="shared" si="253"/>
        <v>0</v>
      </c>
      <c r="L697" s="333">
        <f t="shared" si="254"/>
        <v>0</v>
      </c>
      <c r="M697" s="333">
        <f t="shared" si="255"/>
        <v>0</v>
      </c>
    </row>
    <row r="698" spans="1:13" s="256" customFormat="1" x14ac:dyDescent="0.25">
      <c r="A698" s="274"/>
      <c r="B698" s="511"/>
      <c r="C698" s="381"/>
      <c r="D698" s="273" t="s">
        <v>304</v>
      </c>
      <c r="E698" s="275" t="s">
        <v>392</v>
      </c>
      <c r="F698" s="272" t="s">
        <v>2644</v>
      </c>
      <c r="G698" s="255"/>
      <c r="H698" s="333"/>
      <c r="I698" s="334"/>
      <c r="J698" s="682">
        <f>(H698-I698)/1.11</f>
        <v>0</v>
      </c>
      <c r="K698" s="682">
        <f t="shared" si="253"/>
        <v>0</v>
      </c>
      <c r="L698" s="333">
        <f t="shared" si="254"/>
        <v>0</v>
      </c>
      <c r="M698" s="333">
        <f t="shared" si="255"/>
        <v>0</v>
      </c>
    </row>
    <row r="699" spans="1:13" s="256" customFormat="1" x14ac:dyDescent="0.25">
      <c r="A699" s="274"/>
      <c r="B699" s="511"/>
      <c r="C699" s="381"/>
      <c r="D699" s="670" t="s">
        <v>321</v>
      </c>
      <c r="E699" s="669" t="s">
        <v>393</v>
      </c>
      <c r="F699" s="668" t="s">
        <v>394</v>
      </c>
      <c r="G699" s="255"/>
      <c r="H699" s="333"/>
      <c r="I699" s="334"/>
      <c r="J699" s="682">
        <f>(H699-I699)/1.1</f>
        <v>0</v>
      </c>
      <c r="K699" s="682">
        <f t="shared" ref="K699" si="256">J699*10%</f>
        <v>0</v>
      </c>
      <c r="L699" s="333">
        <f t="shared" ref="L699" si="257">SUM(J699:K699)</f>
        <v>0</v>
      </c>
      <c r="M699" s="333">
        <f t="shared" si="255"/>
        <v>0</v>
      </c>
    </row>
    <row r="700" spans="1:13" s="256" customFormat="1" x14ac:dyDescent="0.25">
      <c r="A700" s="274"/>
      <c r="B700" s="511"/>
      <c r="C700" s="381"/>
      <c r="D700" s="273" t="s">
        <v>716</v>
      </c>
      <c r="E700" s="275" t="s">
        <v>717</v>
      </c>
      <c r="F700" s="272" t="s">
        <v>2642</v>
      </c>
      <c r="G700" s="255"/>
      <c r="H700" s="333"/>
      <c r="I700" s="334"/>
      <c r="J700" s="682">
        <f t="shared" ref="J700:J746" si="258">(H700-I700)/1.11</f>
        <v>0</v>
      </c>
      <c r="K700" s="682">
        <f t="shared" si="253"/>
        <v>0</v>
      </c>
      <c r="L700" s="333">
        <f t="shared" si="254"/>
        <v>0</v>
      </c>
      <c r="M700" s="333">
        <f t="shared" si="255"/>
        <v>0</v>
      </c>
    </row>
    <row r="701" spans="1:13" s="256" customFormat="1" x14ac:dyDescent="0.25">
      <c r="A701" s="274"/>
      <c r="B701" s="511"/>
      <c r="C701" s="381"/>
      <c r="D701" s="273" t="s">
        <v>317</v>
      </c>
      <c r="E701" s="275" t="s">
        <v>395</v>
      </c>
      <c r="F701" s="272" t="s">
        <v>396</v>
      </c>
      <c r="G701" s="255"/>
      <c r="H701" s="333"/>
      <c r="I701" s="334"/>
      <c r="J701" s="682">
        <f t="shared" si="258"/>
        <v>0</v>
      </c>
      <c r="K701" s="682">
        <f t="shared" si="253"/>
        <v>0</v>
      </c>
      <c r="L701" s="333">
        <f t="shared" si="254"/>
        <v>0</v>
      </c>
      <c r="M701" s="333">
        <f t="shared" si="255"/>
        <v>0</v>
      </c>
    </row>
    <row r="702" spans="1:13" s="256" customFormat="1" x14ac:dyDescent="0.25">
      <c r="A702" s="274"/>
      <c r="B702" s="511"/>
      <c r="C702" s="381"/>
      <c r="D702" s="273" t="s">
        <v>400</v>
      </c>
      <c r="E702" s="275" t="s">
        <v>401</v>
      </c>
      <c r="F702" s="272" t="s">
        <v>402</v>
      </c>
      <c r="G702" s="255"/>
      <c r="H702" s="333"/>
      <c r="I702" s="334"/>
      <c r="J702" s="682">
        <f t="shared" si="258"/>
        <v>0</v>
      </c>
      <c r="K702" s="682">
        <f t="shared" si="253"/>
        <v>0</v>
      </c>
      <c r="L702" s="333">
        <f t="shared" si="254"/>
        <v>0</v>
      </c>
      <c r="M702" s="333">
        <f t="shared" si="255"/>
        <v>0</v>
      </c>
    </row>
    <row r="703" spans="1:13" s="256" customFormat="1" x14ac:dyDescent="0.25">
      <c r="A703" s="274"/>
      <c r="B703" s="511"/>
      <c r="C703" s="381"/>
      <c r="D703" s="272" t="s">
        <v>811</v>
      </c>
      <c r="E703" s="272" t="s">
        <v>812</v>
      </c>
      <c r="F703" s="275" t="s">
        <v>2643</v>
      </c>
      <c r="G703" s="255"/>
      <c r="H703" s="333"/>
      <c r="I703" s="334"/>
      <c r="J703" s="682">
        <f t="shared" si="258"/>
        <v>0</v>
      </c>
      <c r="K703" s="682">
        <f t="shared" si="253"/>
        <v>0</v>
      </c>
      <c r="L703" s="333">
        <f t="shared" si="254"/>
        <v>0</v>
      </c>
      <c r="M703" s="333">
        <f t="shared" si="255"/>
        <v>0</v>
      </c>
    </row>
    <row r="704" spans="1:13" s="256" customFormat="1" x14ac:dyDescent="0.25">
      <c r="A704" s="274"/>
      <c r="B704" s="511"/>
      <c r="C704" s="381"/>
      <c r="D704" s="273" t="s">
        <v>322</v>
      </c>
      <c r="E704" s="275" t="s">
        <v>397</v>
      </c>
      <c r="F704" s="272" t="s">
        <v>2645</v>
      </c>
      <c r="G704" s="255"/>
      <c r="H704" s="333"/>
      <c r="I704" s="334"/>
      <c r="J704" s="682">
        <f t="shared" si="258"/>
        <v>0</v>
      </c>
      <c r="K704" s="682">
        <f t="shared" si="253"/>
        <v>0</v>
      </c>
      <c r="L704" s="333">
        <f t="shared" si="254"/>
        <v>0</v>
      </c>
      <c r="M704" s="333">
        <f t="shared" si="255"/>
        <v>0</v>
      </c>
    </row>
    <row r="705" spans="1:13" s="256" customFormat="1" x14ac:dyDescent="0.25">
      <c r="A705" s="274"/>
      <c r="B705" s="511"/>
      <c r="C705" s="381"/>
      <c r="D705" s="273" t="s">
        <v>305</v>
      </c>
      <c r="E705" s="275" t="s">
        <v>398</v>
      </c>
      <c r="F705" s="272" t="s">
        <v>399</v>
      </c>
      <c r="G705" s="255"/>
      <c r="H705" s="333"/>
      <c r="I705" s="334"/>
      <c r="J705" s="682">
        <f t="shared" si="258"/>
        <v>0</v>
      </c>
      <c r="K705" s="682">
        <f t="shared" si="253"/>
        <v>0</v>
      </c>
      <c r="L705" s="333">
        <f t="shared" si="254"/>
        <v>0</v>
      </c>
      <c r="M705" s="333">
        <f t="shared" si="255"/>
        <v>0</v>
      </c>
    </row>
    <row r="706" spans="1:13" s="256" customFormat="1" x14ac:dyDescent="0.25">
      <c r="A706" s="274"/>
      <c r="B706" s="511"/>
      <c r="C706" s="381"/>
      <c r="D706" s="273"/>
      <c r="E706" s="275"/>
      <c r="F706" s="272"/>
      <c r="G706" s="255"/>
      <c r="H706" s="333"/>
      <c r="I706" s="334"/>
      <c r="J706" s="682">
        <f t="shared" si="258"/>
        <v>0</v>
      </c>
      <c r="K706" s="682">
        <f t="shared" si="253"/>
        <v>0</v>
      </c>
      <c r="L706" s="333">
        <f t="shared" si="254"/>
        <v>0</v>
      </c>
      <c r="M706" s="333">
        <f t="shared" si="255"/>
        <v>0</v>
      </c>
    </row>
    <row r="707" spans="1:13" s="256" customFormat="1" x14ac:dyDescent="0.25">
      <c r="A707" s="274"/>
      <c r="B707" s="511"/>
      <c r="C707" s="381"/>
      <c r="D707" s="273"/>
      <c r="E707" s="275"/>
      <c r="F707" s="272"/>
      <c r="G707" s="255"/>
      <c r="H707" s="333"/>
      <c r="I707" s="334"/>
      <c r="J707" s="682">
        <f t="shared" si="258"/>
        <v>0</v>
      </c>
      <c r="K707" s="682">
        <f t="shared" si="253"/>
        <v>0</v>
      </c>
      <c r="L707" s="333">
        <f t="shared" si="254"/>
        <v>0</v>
      </c>
      <c r="M707" s="333">
        <f t="shared" si="255"/>
        <v>0</v>
      </c>
    </row>
    <row r="708" spans="1:13" s="256" customFormat="1" x14ac:dyDescent="0.25">
      <c r="A708" s="274"/>
      <c r="B708" s="511"/>
      <c r="C708" s="381"/>
      <c r="D708" s="273"/>
      <c r="E708" s="275"/>
      <c r="F708" s="272"/>
      <c r="G708" s="255"/>
      <c r="H708" s="333"/>
      <c r="I708" s="334"/>
      <c r="J708" s="682">
        <f t="shared" si="258"/>
        <v>0</v>
      </c>
      <c r="K708" s="682">
        <f t="shared" si="253"/>
        <v>0</v>
      </c>
      <c r="L708" s="333">
        <f t="shared" si="254"/>
        <v>0</v>
      </c>
      <c r="M708" s="333">
        <f t="shared" si="255"/>
        <v>0</v>
      </c>
    </row>
    <row r="709" spans="1:13" s="256" customFormat="1" x14ac:dyDescent="0.25">
      <c r="A709" s="274"/>
      <c r="B709" s="511"/>
      <c r="C709" s="381"/>
      <c r="D709" s="273"/>
      <c r="E709" s="272"/>
      <c r="F709" s="272"/>
      <c r="G709" s="255"/>
      <c r="H709" s="333"/>
      <c r="I709" s="334"/>
      <c r="J709" s="682">
        <f t="shared" si="258"/>
        <v>0</v>
      </c>
      <c r="K709" s="682">
        <f t="shared" si="253"/>
        <v>0</v>
      </c>
      <c r="L709" s="333">
        <f t="shared" si="254"/>
        <v>0</v>
      </c>
      <c r="M709" s="333">
        <f t="shared" si="255"/>
        <v>0</v>
      </c>
    </row>
    <row r="710" spans="1:13" s="256" customFormat="1" x14ac:dyDescent="0.25">
      <c r="A710" s="274"/>
      <c r="B710" s="511"/>
      <c r="C710" s="381"/>
      <c r="D710" s="273"/>
      <c r="E710" s="272"/>
      <c r="F710" s="272"/>
      <c r="G710" s="255"/>
      <c r="H710" s="333"/>
      <c r="I710" s="334"/>
      <c r="J710" s="682">
        <f t="shared" si="258"/>
        <v>0</v>
      </c>
      <c r="K710" s="682">
        <f t="shared" si="253"/>
        <v>0</v>
      </c>
      <c r="L710" s="333">
        <f t="shared" si="254"/>
        <v>0</v>
      </c>
      <c r="M710" s="333">
        <f t="shared" si="255"/>
        <v>0</v>
      </c>
    </row>
    <row r="711" spans="1:13" s="256" customFormat="1" x14ac:dyDescent="0.25">
      <c r="A711" s="274"/>
      <c r="B711" s="511"/>
      <c r="C711" s="381"/>
      <c r="D711" s="273"/>
      <c r="E711" s="275"/>
      <c r="F711" s="272"/>
      <c r="G711" s="255"/>
      <c r="H711" s="333"/>
      <c r="I711" s="334"/>
      <c r="J711" s="682">
        <f t="shared" si="258"/>
        <v>0</v>
      </c>
      <c r="K711" s="682">
        <f t="shared" si="253"/>
        <v>0</v>
      </c>
      <c r="L711" s="333">
        <f t="shared" si="254"/>
        <v>0</v>
      </c>
      <c r="M711" s="333">
        <f t="shared" si="255"/>
        <v>0</v>
      </c>
    </row>
    <row r="712" spans="1:13" s="256" customFormat="1" x14ac:dyDescent="0.25">
      <c r="A712" s="274"/>
      <c r="B712" s="511"/>
      <c r="C712" s="381"/>
      <c r="D712" s="273"/>
      <c r="E712" s="275"/>
      <c r="F712" s="272"/>
      <c r="G712" s="255"/>
      <c r="H712" s="333"/>
      <c r="I712" s="334"/>
      <c r="J712" s="682">
        <f t="shared" si="258"/>
        <v>0</v>
      </c>
      <c r="K712" s="682">
        <f t="shared" si="253"/>
        <v>0</v>
      </c>
      <c r="L712" s="333">
        <f t="shared" si="254"/>
        <v>0</v>
      </c>
      <c r="M712" s="333">
        <f t="shared" si="255"/>
        <v>0</v>
      </c>
    </row>
    <row r="713" spans="1:13" s="256" customFormat="1" x14ac:dyDescent="0.25">
      <c r="A713" s="274"/>
      <c r="B713" s="511"/>
      <c r="C713" s="381"/>
      <c r="D713" s="273"/>
      <c r="E713" s="275"/>
      <c r="F713" s="272"/>
      <c r="G713" s="255"/>
      <c r="H713" s="333"/>
      <c r="I713" s="334"/>
      <c r="J713" s="682">
        <f t="shared" si="258"/>
        <v>0</v>
      </c>
      <c r="K713" s="682">
        <f t="shared" si="253"/>
        <v>0</v>
      </c>
      <c r="L713" s="333">
        <f t="shared" si="254"/>
        <v>0</v>
      </c>
      <c r="M713" s="333">
        <f t="shared" si="255"/>
        <v>0</v>
      </c>
    </row>
    <row r="714" spans="1:13" s="256" customFormat="1" x14ac:dyDescent="0.25">
      <c r="A714" s="274"/>
      <c r="B714" s="511"/>
      <c r="C714" s="381"/>
      <c r="D714" s="273"/>
      <c r="E714" s="275"/>
      <c r="F714" s="272"/>
      <c r="G714" s="255"/>
      <c r="H714" s="333"/>
      <c r="I714" s="334"/>
      <c r="J714" s="682">
        <f t="shared" si="258"/>
        <v>0</v>
      </c>
      <c r="K714" s="682">
        <f t="shared" si="253"/>
        <v>0</v>
      </c>
      <c r="L714" s="333">
        <f t="shared" si="254"/>
        <v>0</v>
      </c>
      <c r="M714" s="333">
        <f t="shared" si="255"/>
        <v>0</v>
      </c>
    </row>
    <row r="715" spans="1:13" s="256" customFormat="1" x14ac:dyDescent="0.25">
      <c r="A715" s="274"/>
      <c r="B715" s="511"/>
      <c r="C715" s="381"/>
      <c r="D715" s="273"/>
      <c r="E715" s="275"/>
      <c r="F715" s="272"/>
      <c r="G715" s="255"/>
      <c r="H715" s="333"/>
      <c r="I715" s="334"/>
      <c r="J715" s="682">
        <f t="shared" si="258"/>
        <v>0</v>
      </c>
      <c r="K715" s="682">
        <f t="shared" si="253"/>
        <v>0</v>
      </c>
      <c r="L715" s="333">
        <f t="shared" si="254"/>
        <v>0</v>
      </c>
      <c r="M715" s="333">
        <f t="shared" si="255"/>
        <v>0</v>
      </c>
    </row>
    <row r="716" spans="1:13" s="256" customFormat="1" x14ac:dyDescent="0.25">
      <c r="A716" s="274"/>
      <c r="B716" s="511"/>
      <c r="C716" s="381"/>
      <c r="D716" s="273"/>
      <c r="E716" s="275"/>
      <c r="F716" s="272"/>
      <c r="G716" s="255"/>
      <c r="H716" s="333"/>
      <c r="I716" s="334"/>
      <c r="J716" s="682">
        <f t="shared" si="258"/>
        <v>0</v>
      </c>
      <c r="K716" s="682">
        <f t="shared" si="253"/>
        <v>0</v>
      </c>
      <c r="L716" s="333">
        <f t="shared" si="254"/>
        <v>0</v>
      </c>
      <c r="M716" s="333">
        <f t="shared" si="255"/>
        <v>0</v>
      </c>
    </row>
    <row r="717" spans="1:13" s="256" customFormat="1" x14ac:dyDescent="0.25">
      <c r="A717" s="274"/>
      <c r="B717" s="511"/>
      <c r="C717" s="381"/>
      <c r="D717" s="273"/>
      <c r="E717" s="275"/>
      <c r="F717" s="272"/>
      <c r="G717" s="255"/>
      <c r="H717" s="333"/>
      <c r="I717" s="334"/>
      <c r="J717" s="682">
        <f t="shared" si="258"/>
        <v>0</v>
      </c>
      <c r="K717" s="682">
        <f t="shared" si="253"/>
        <v>0</v>
      </c>
      <c r="L717" s="333">
        <f t="shared" si="254"/>
        <v>0</v>
      </c>
      <c r="M717" s="333">
        <f t="shared" si="255"/>
        <v>0</v>
      </c>
    </row>
    <row r="718" spans="1:13" s="256" customFormat="1" x14ac:dyDescent="0.25">
      <c r="A718" s="274"/>
      <c r="B718" s="511"/>
      <c r="C718" s="381"/>
      <c r="D718" s="273"/>
      <c r="E718" s="275"/>
      <c r="F718" s="272"/>
      <c r="G718" s="255"/>
      <c r="H718" s="333"/>
      <c r="I718" s="334"/>
      <c r="J718" s="682">
        <f t="shared" si="258"/>
        <v>0</v>
      </c>
      <c r="K718" s="682">
        <f t="shared" si="253"/>
        <v>0</v>
      </c>
      <c r="L718" s="333">
        <f t="shared" si="254"/>
        <v>0</v>
      </c>
      <c r="M718" s="333">
        <f t="shared" si="255"/>
        <v>0</v>
      </c>
    </row>
    <row r="719" spans="1:13" s="256" customFormat="1" x14ac:dyDescent="0.25">
      <c r="A719" s="274"/>
      <c r="B719" s="511"/>
      <c r="C719" s="381"/>
      <c r="D719" s="273"/>
      <c r="E719" s="275"/>
      <c r="F719" s="272"/>
      <c r="G719" s="255"/>
      <c r="H719" s="333"/>
      <c r="I719" s="334"/>
      <c r="J719" s="682">
        <f t="shared" si="258"/>
        <v>0</v>
      </c>
      <c r="K719" s="682">
        <f t="shared" si="253"/>
        <v>0</v>
      </c>
      <c r="L719" s="333">
        <f t="shared" si="254"/>
        <v>0</v>
      </c>
      <c r="M719" s="333">
        <f t="shared" si="255"/>
        <v>0</v>
      </c>
    </row>
    <row r="720" spans="1:13" s="256" customFormat="1" x14ac:dyDescent="0.25">
      <c r="A720" s="274"/>
      <c r="B720" s="511"/>
      <c r="C720" s="381"/>
      <c r="D720" s="273"/>
      <c r="E720" s="275"/>
      <c r="F720" s="272"/>
      <c r="G720" s="255"/>
      <c r="H720" s="333"/>
      <c r="I720" s="334"/>
      <c r="J720" s="682">
        <f t="shared" si="258"/>
        <v>0</v>
      </c>
      <c r="K720" s="682">
        <f t="shared" si="253"/>
        <v>0</v>
      </c>
      <c r="L720" s="333">
        <f t="shared" si="254"/>
        <v>0</v>
      </c>
      <c r="M720" s="333">
        <f t="shared" si="255"/>
        <v>0</v>
      </c>
    </row>
    <row r="721" spans="1:13" s="256" customFormat="1" x14ac:dyDescent="0.25">
      <c r="A721" s="274"/>
      <c r="B721" s="511"/>
      <c r="C721" s="381"/>
      <c r="D721" s="273"/>
      <c r="E721" s="275"/>
      <c r="F721" s="272"/>
      <c r="G721" s="255"/>
      <c r="H721" s="333"/>
      <c r="I721" s="334"/>
      <c r="J721" s="682">
        <f t="shared" si="258"/>
        <v>0</v>
      </c>
      <c r="K721" s="682">
        <f t="shared" si="253"/>
        <v>0</v>
      </c>
      <c r="L721" s="333">
        <f t="shared" si="254"/>
        <v>0</v>
      </c>
      <c r="M721" s="333">
        <f t="shared" si="255"/>
        <v>0</v>
      </c>
    </row>
    <row r="722" spans="1:13" s="256" customFormat="1" x14ac:dyDescent="0.25">
      <c r="A722" s="274"/>
      <c r="B722" s="511"/>
      <c r="C722" s="381"/>
      <c r="D722" s="273"/>
      <c r="E722" s="275"/>
      <c r="F722" s="272"/>
      <c r="G722" s="255"/>
      <c r="H722" s="333"/>
      <c r="I722" s="334"/>
      <c r="J722" s="682">
        <f t="shared" si="258"/>
        <v>0</v>
      </c>
      <c r="K722" s="682">
        <f t="shared" si="253"/>
        <v>0</v>
      </c>
      <c r="L722" s="333">
        <f t="shared" si="254"/>
        <v>0</v>
      </c>
      <c r="M722" s="333">
        <f t="shared" si="255"/>
        <v>0</v>
      </c>
    </row>
    <row r="723" spans="1:13" s="256" customFormat="1" x14ac:dyDescent="0.25">
      <c r="A723" s="274"/>
      <c r="B723" s="511"/>
      <c r="C723" s="381"/>
      <c r="D723" s="273"/>
      <c r="E723" s="275"/>
      <c r="F723" s="272"/>
      <c r="G723" s="255"/>
      <c r="H723" s="333"/>
      <c r="I723" s="334"/>
      <c r="J723" s="682">
        <f t="shared" si="258"/>
        <v>0</v>
      </c>
      <c r="K723" s="682">
        <f t="shared" si="253"/>
        <v>0</v>
      </c>
      <c r="L723" s="333">
        <f t="shared" si="254"/>
        <v>0</v>
      </c>
      <c r="M723" s="333">
        <f t="shared" si="255"/>
        <v>0</v>
      </c>
    </row>
    <row r="724" spans="1:13" s="256" customFormat="1" x14ac:dyDescent="0.25">
      <c r="A724" s="274"/>
      <c r="B724" s="511"/>
      <c r="C724" s="381"/>
      <c r="D724" s="273"/>
      <c r="E724" s="275"/>
      <c r="F724" s="272"/>
      <c r="G724" s="255"/>
      <c r="H724" s="333"/>
      <c r="I724" s="334"/>
      <c r="J724" s="682">
        <f t="shared" si="258"/>
        <v>0</v>
      </c>
      <c r="K724" s="682">
        <f t="shared" si="253"/>
        <v>0</v>
      </c>
      <c r="L724" s="333">
        <f t="shared" si="254"/>
        <v>0</v>
      </c>
      <c r="M724" s="333">
        <f t="shared" si="255"/>
        <v>0</v>
      </c>
    </row>
    <row r="725" spans="1:13" s="256" customFormat="1" x14ac:dyDescent="0.25">
      <c r="A725" s="274"/>
      <c r="B725" s="511"/>
      <c r="C725" s="381"/>
      <c r="D725" s="273"/>
      <c r="E725" s="275"/>
      <c r="F725" s="272"/>
      <c r="G725" s="255"/>
      <c r="H725" s="333"/>
      <c r="I725" s="334"/>
      <c r="J725" s="682">
        <f t="shared" si="258"/>
        <v>0</v>
      </c>
      <c r="K725" s="682">
        <f t="shared" si="253"/>
        <v>0</v>
      </c>
      <c r="L725" s="333">
        <f t="shared" si="254"/>
        <v>0</v>
      </c>
      <c r="M725" s="333">
        <f t="shared" si="255"/>
        <v>0</v>
      </c>
    </row>
    <row r="726" spans="1:13" s="256" customFormat="1" x14ac:dyDescent="0.25">
      <c r="A726" s="274"/>
      <c r="B726" s="511"/>
      <c r="C726" s="381"/>
      <c r="D726" s="273"/>
      <c r="E726" s="275"/>
      <c r="F726" s="272"/>
      <c r="G726" s="255"/>
      <c r="H726" s="333"/>
      <c r="I726" s="334"/>
      <c r="J726" s="682">
        <f t="shared" si="258"/>
        <v>0</v>
      </c>
      <c r="K726" s="682">
        <f t="shared" si="253"/>
        <v>0</v>
      </c>
      <c r="L726" s="333">
        <f t="shared" si="254"/>
        <v>0</v>
      </c>
      <c r="M726" s="333">
        <f t="shared" si="255"/>
        <v>0</v>
      </c>
    </row>
    <row r="727" spans="1:13" s="256" customFormat="1" x14ac:dyDescent="0.25">
      <c r="A727" s="274"/>
      <c r="B727" s="511"/>
      <c r="C727" s="381"/>
      <c r="D727" s="273"/>
      <c r="E727" s="275"/>
      <c r="F727" s="272"/>
      <c r="G727" s="255"/>
      <c r="H727" s="333"/>
      <c r="I727" s="334"/>
      <c r="J727" s="682">
        <f t="shared" si="258"/>
        <v>0</v>
      </c>
      <c r="K727" s="682">
        <f t="shared" si="253"/>
        <v>0</v>
      </c>
      <c r="L727" s="333">
        <f t="shared" si="254"/>
        <v>0</v>
      </c>
      <c r="M727" s="333">
        <f t="shared" si="255"/>
        <v>0</v>
      </c>
    </row>
    <row r="728" spans="1:13" s="256" customFormat="1" x14ac:dyDescent="0.25">
      <c r="A728" s="274"/>
      <c r="B728" s="511"/>
      <c r="C728" s="381"/>
      <c r="D728" s="273"/>
      <c r="E728" s="275"/>
      <c r="F728" s="272"/>
      <c r="G728" s="255"/>
      <c r="H728" s="333"/>
      <c r="I728" s="334"/>
      <c r="J728" s="682">
        <f t="shared" si="258"/>
        <v>0</v>
      </c>
      <c r="K728" s="682">
        <f t="shared" si="253"/>
        <v>0</v>
      </c>
      <c r="L728" s="333">
        <f t="shared" si="254"/>
        <v>0</v>
      </c>
      <c r="M728" s="333">
        <f t="shared" ref="M728:M746" si="259">H728-I728</f>
        <v>0</v>
      </c>
    </row>
    <row r="729" spans="1:13" s="256" customFormat="1" x14ac:dyDescent="0.25">
      <c r="A729" s="274"/>
      <c r="B729" s="511"/>
      <c r="C729" s="381"/>
      <c r="D729" s="273"/>
      <c r="E729" s="275"/>
      <c r="F729" s="272"/>
      <c r="G729" s="255"/>
      <c r="H729" s="333"/>
      <c r="I729" s="334"/>
      <c r="J729" s="682">
        <f t="shared" si="258"/>
        <v>0</v>
      </c>
      <c r="K729" s="682">
        <f t="shared" si="253"/>
        <v>0</v>
      </c>
      <c r="L729" s="333">
        <f t="shared" si="254"/>
        <v>0</v>
      </c>
      <c r="M729" s="333">
        <f t="shared" si="259"/>
        <v>0</v>
      </c>
    </row>
    <row r="730" spans="1:13" s="256" customFormat="1" x14ac:dyDescent="0.25">
      <c r="A730" s="274"/>
      <c r="B730" s="511"/>
      <c r="C730" s="381"/>
      <c r="D730" s="273"/>
      <c r="E730" s="275"/>
      <c r="F730" s="272"/>
      <c r="G730" s="255"/>
      <c r="H730" s="333"/>
      <c r="I730" s="334"/>
      <c r="J730" s="682">
        <f t="shared" si="258"/>
        <v>0</v>
      </c>
      <c r="K730" s="682">
        <f t="shared" si="253"/>
        <v>0</v>
      </c>
      <c r="L730" s="333">
        <f t="shared" si="254"/>
        <v>0</v>
      </c>
      <c r="M730" s="333">
        <f t="shared" si="259"/>
        <v>0</v>
      </c>
    </row>
    <row r="731" spans="1:13" s="256" customFormat="1" x14ac:dyDescent="0.25">
      <c r="A731" s="274"/>
      <c r="B731" s="511"/>
      <c r="C731" s="381"/>
      <c r="D731" s="273"/>
      <c r="E731" s="275"/>
      <c r="F731" s="272"/>
      <c r="G731" s="255"/>
      <c r="H731" s="333"/>
      <c r="I731" s="334"/>
      <c r="J731" s="682">
        <f t="shared" si="258"/>
        <v>0</v>
      </c>
      <c r="K731" s="682">
        <f t="shared" si="253"/>
        <v>0</v>
      </c>
      <c r="L731" s="333">
        <f t="shared" si="254"/>
        <v>0</v>
      </c>
      <c r="M731" s="333">
        <f t="shared" si="259"/>
        <v>0</v>
      </c>
    </row>
    <row r="732" spans="1:13" s="256" customFormat="1" x14ac:dyDescent="0.25">
      <c r="A732" s="274"/>
      <c r="B732" s="511"/>
      <c r="C732" s="381"/>
      <c r="D732" s="273"/>
      <c r="E732" s="275"/>
      <c r="F732" s="272"/>
      <c r="G732" s="255"/>
      <c r="H732" s="333"/>
      <c r="I732" s="334"/>
      <c r="J732" s="682">
        <f t="shared" si="258"/>
        <v>0</v>
      </c>
      <c r="K732" s="682">
        <f t="shared" si="253"/>
        <v>0</v>
      </c>
      <c r="L732" s="333">
        <f t="shared" si="254"/>
        <v>0</v>
      </c>
      <c r="M732" s="333">
        <f t="shared" si="259"/>
        <v>0</v>
      </c>
    </row>
    <row r="733" spans="1:13" s="256" customFormat="1" x14ac:dyDescent="0.25">
      <c r="A733" s="274"/>
      <c r="B733" s="511"/>
      <c r="C733" s="381"/>
      <c r="D733" s="273"/>
      <c r="E733" s="275"/>
      <c r="F733" s="272"/>
      <c r="G733" s="255"/>
      <c r="H733" s="333"/>
      <c r="I733" s="334"/>
      <c r="J733" s="682">
        <f t="shared" si="258"/>
        <v>0</v>
      </c>
      <c r="K733" s="682">
        <f t="shared" si="253"/>
        <v>0</v>
      </c>
      <c r="L733" s="333">
        <f t="shared" ref="L733:L738" si="260">SUM(J733:K733)</f>
        <v>0</v>
      </c>
      <c r="M733" s="333">
        <f t="shared" si="259"/>
        <v>0</v>
      </c>
    </row>
    <row r="734" spans="1:13" s="256" customFormat="1" x14ac:dyDescent="0.25">
      <c r="A734" s="274"/>
      <c r="B734" s="511"/>
      <c r="C734" s="381"/>
      <c r="D734" s="273"/>
      <c r="E734" s="275"/>
      <c r="F734" s="272"/>
      <c r="G734" s="255"/>
      <c r="H734" s="333"/>
      <c r="I734" s="334"/>
      <c r="J734" s="682">
        <f t="shared" si="258"/>
        <v>0</v>
      </c>
      <c r="K734" s="682">
        <f t="shared" si="253"/>
        <v>0</v>
      </c>
      <c r="L734" s="333">
        <f t="shared" si="260"/>
        <v>0</v>
      </c>
      <c r="M734" s="333">
        <f t="shared" si="259"/>
        <v>0</v>
      </c>
    </row>
    <row r="735" spans="1:13" s="256" customFormat="1" x14ac:dyDescent="0.25">
      <c r="A735" s="274"/>
      <c r="B735" s="511"/>
      <c r="C735" s="381"/>
      <c r="D735" s="273"/>
      <c r="E735" s="275"/>
      <c r="F735" s="272"/>
      <c r="G735" s="255"/>
      <c r="H735" s="333"/>
      <c r="I735" s="334"/>
      <c r="J735" s="682">
        <f t="shared" si="258"/>
        <v>0</v>
      </c>
      <c r="K735" s="682">
        <f t="shared" si="253"/>
        <v>0</v>
      </c>
      <c r="L735" s="333">
        <f t="shared" si="260"/>
        <v>0</v>
      </c>
      <c r="M735" s="333">
        <f t="shared" si="259"/>
        <v>0</v>
      </c>
    </row>
    <row r="736" spans="1:13" s="256" customFormat="1" x14ac:dyDescent="0.25">
      <c r="A736" s="274"/>
      <c r="B736" s="511"/>
      <c r="C736" s="381"/>
      <c r="D736" s="273"/>
      <c r="E736" s="275"/>
      <c r="F736" s="272"/>
      <c r="G736" s="255"/>
      <c r="H736" s="333"/>
      <c r="I736" s="334"/>
      <c r="J736" s="682">
        <f t="shared" si="258"/>
        <v>0</v>
      </c>
      <c r="K736" s="682">
        <f t="shared" si="253"/>
        <v>0</v>
      </c>
      <c r="L736" s="333">
        <f t="shared" si="260"/>
        <v>0</v>
      </c>
      <c r="M736" s="333">
        <f t="shared" si="259"/>
        <v>0</v>
      </c>
    </row>
    <row r="737" spans="1:13" s="256" customFormat="1" x14ac:dyDescent="0.25">
      <c r="A737" s="274"/>
      <c r="B737" s="511"/>
      <c r="C737" s="381"/>
      <c r="D737" s="273"/>
      <c r="E737" s="272"/>
      <c r="F737" s="275"/>
      <c r="G737" s="255"/>
      <c r="H737" s="333"/>
      <c r="I737" s="334"/>
      <c r="J737" s="682">
        <f t="shared" si="258"/>
        <v>0</v>
      </c>
      <c r="K737" s="682">
        <f t="shared" si="253"/>
        <v>0</v>
      </c>
      <c r="L737" s="333">
        <f t="shared" si="260"/>
        <v>0</v>
      </c>
      <c r="M737" s="333">
        <f t="shared" si="259"/>
        <v>0</v>
      </c>
    </row>
    <row r="738" spans="1:13" s="256" customFormat="1" x14ac:dyDescent="0.25">
      <c r="A738" s="274"/>
      <c r="B738" s="511"/>
      <c r="C738" s="381"/>
      <c r="D738" s="273"/>
      <c r="E738" s="272"/>
      <c r="F738" s="275"/>
      <c r="G738" s="255"/>
      <c r="H738" s="333"/>
      <c r="I738" s="334"/>
      <c r="J738" s="682">
        <f t="shared" si="258"/>
        <v>0</v>
      </c>
      <c r="K738" s="682">
        <f t="shared" si="253"/>
        <v>0</v>
      </c>
      <c r="L738" s="333">
        <f t="shared" si="260"/>
        <v>0</v>
      </c>
      <c r="M738" s="333">
        <f t="shared" si="259"/>
        <v>0</v>
      </c>
    </row>
    <row r="739" spans="1:13" s="256" customFormat="1" x14ac:dyDescent="0.25">
      <c r="A739" s="274"/>
      <c r="B739" s="511"/>
      <c r="C739" s="381"/>
      <c r="D739" s="273"/>
      <c r="E739" s="275"/>
      <c r="F739" s="272"/>
      <c r="G739" s="255"/>
      <c r="H739" s="333"/>
      <c r="I739" s="334"/>
      <c r="J739" s="682">
        <f t="shared" si="258"/>
        <v>0</v>
      </c>
      <c r="K739" s="682">
        <f t="shared" si="253"/>
        <v>0</v>
      </c>
      <c r="L739" s="333">
        <f t="shared" ref="L739:L746" si="261">SUM(J739:K739)</f>
        <v>0</v>
      </c>
      <c r="M739" s="333">
        <f t="shared" si="259"/>
        <v>0</v>
      </c>
    </row>
    <row r="740" spans="1:13" s="256" customFormat="1" x14ac:dyDescent="0.25">
      <c r="A740" s="274"/>
      <c r="B740" s="511"/>
      <c r="C740" s="381"/>
      <c r="D740" s="273"/>
      <c r="E740" s="272"/>
      <c r="F740" s="275"/>
      <c r="G740" s="255"/>
      <c r="H740" s="333"/>
      <c r="I740" s="334"/>
      <c r="J740" s="682">
        <f t="shared" si="258"/>
        <v>0</v>
      </c>
      <c r="K740" s="682">
        <f t="shared" si="253"/>
        <v>0</v>
      </c>
      <c r="L740" s="333">
        <f t="shared" si="261"/>
        <v>0</v>
      </c>
      <c r="M740" s="333">
        <f t="shared" si="259"/>
        <v>0</v>
      </c>
    </row>
    <row r="741" spans="1:13" s="256" customFormat="1" x14ac:dyDescent="0.25">
      <c r="A741" s="274"/>
      <c r="B741" s="511"/>
      <c r="C741" s="381"/>
      <c r="D741" s="273"/>
      <c r="E741" s="272"/>
      <c r="F741" s="275"/>
      <c r="G741" s="255"/>
      <c r="H741" s="333"/>
      <c r="I741" s="334"/>
      <c r="J741" s="682">
        <f t="shared" si="258"/>
        <v>0</v>
      </c>
      <c r="K741" s="682">
        <f t="shared" si="253"/>
        <v>0</v>
      </c>
      <c r="L741" s="333">
        <f t="shared" si="261"/>
        <v>0</v>
      </c>
      <c r="M741" s="333">
        <f t="shared" si="259"/>
        <v>0</v>
      </c>
    </row>
    <row r="742" spans="1:13" s="256" customFormat="1" x14ac:dyDescent="0.25">
      <c r="A742" s="274"/>
      <c r="B742" s="511"/>
      <c r="C742" s="381"/>
      <c r="D742" s="273"/>
      <c r="E742" s="275"/>
      <c r="F742" s="272"/>
      <c r="G742" s="255"/>
      <c r="H742" s="333"/>
      <c r="I742" s="334"/>
      <c r="J742" s="682">
        <f t="shared" si="258"/>
        <v>0</v>
      </c>
      <c r="K742" s="682">
        <f t="shared" si="253"/>
        <v>0</v>
      </c>
      <c r="L742" s="333">
        <f t="shared" si="261"/>
        <v>0</v>
      </c>
      <c r="M742" s="333">
        <f t="shared" si="259"/>
        <v>0</v>
      </c>
    </row>
    <row r="743" spans="1:13" s="256" customFormat="1" x14ac:dyDescent="0.25">
      <c r="A743" s="274"/>
      <c r="B743" s="511"/>
      <c r="C743" s="381"/>
      <c r="D743" s="273"/>
      <c r="E743" s="272"/>
      <c r="F743" s="275"/>
      <c r="G743" s="255"/>
      <c r="H743" s="333"/>
      <c r="I743" s="334"/>
      <c r="J743" s="682">
        <f t="shared" si="258"/>
        <v>0</v>
      </c>
      <c r="K743" s="682">
        <f t="shared" si="253"/>
        <v>0</v>
      </c>
      <c r="L743" s="333">
        <f t="shared" si="261"/>
        <v>0</v>
      </c>
      <c r="M743" s="333">
        <f t="shared" si="259"/>
        <v>0</v>
      </c>
    </row>
    <row r="744" spans="1:13" s="256" customFormat="1" x14ac:dyDescent="0.25">
      <c r="A744" s="274"/>
      <c r="B744" s="511"/>
      <c r="C744" s="381"/>
      <c r="D744" s="273"/>
      <c r="E744" s="272"/>
      <c r="F744" s="275"/>
      <c r="G744" s="255"/>
      <c r="H744" s="333"/>
      <c r="I744" s="334"/>
      <c r="J744" s="682">
        <f t="shared" si="258"/>
        <v>0</v>
      </c>
      <c r="K744" s="682">
        <f t="shared" si="253"/>
        <v>0</v>
      </c>
      <c r="L744" s="333">
        <f t="shared" si="261"/>
        <v>0</v>
      </c>
      <c r="M744" s="333">
        <f t="shared" si="259"/>
        <v>0</v>
      </c>
    </row>
    <row r="745" spans="1:13" s="256" customFormat="1" x14ac:dyDescent="0.25">
      <c r="A745" s="274"/>
      <c r="B745" s="511"/>
      <c r="C745" s="381"/>
      <c r="D745" s="273"/>
      <c r="E745" s="272"/>
      <c r="F745" s="275"/>
      <c r="G745" s="255"/>
      <c r="H745" s="333"/>
      <c r="I745" s="334"/>
      <c r="J745" s="682">
        <f t="shared" si="258"/>
        <v>0</v>
      </c>
      <c r="K745" s="682">
        <f t="shared" si="253"/>
        <v>0</v>
      </c>
      <c r="L745" s="333">
        <f t="shared" si="261"/>
        <v>0</v>
      </c>
      <c r="M745" s="333">
        <f t="shared" si="259"/>
        <v>0</v>
      </c>
    </row>
    <row r="746" spans="1:13" s="256" customFormat="1" x14ac:dyDescent="0.25">
      <c r="A746" s="274"/>
      <c r="B746" s="511"/>
      <c r="C746" s="381"/>
      <c r="D746" s="273"/>
      <c r="E746" s="272"/>
      <c r="F746" s="275"/>
      <c r="G746" s="255"/>
      <c r="H746" s="333"/>
      <c r="I746" s="334"/>
      <c r="J746" s="682">
        <f t="shared" si="258"/>
        <v>0</v>
      </c>
      <c r="K746" s="682">
        <f t="shared" si="253"/>
        <v>0</v>
      </c>
      <c r="L746" s="333">
        <f t="shared" si="261"/>
        <v>0</v>
      </c>
      <c r="M746" s="333">
        <f t="shared" si="259"/>
        <v>0</v>
      </c>
    </row>
    <row r="747" spans="1:13" ht="18" x14ac:dyDescent="0.25">
      <c r="A747" s="513" t="s">
        <v>38</v>
      </c>
      <c r="B747" s="512"/>
      <c r="C747" s="515"/>
      <c r="D747" s="514"/>
      <c r="E747" s="519"/>
      <c r="F747" s="519"/>
      <c r="G747" s="516"/>
      <c r="H747" s="413">
        <f>SUM(H696:H746)</f>
        <v>0</v>
      </c>
      <c r="I747" s="412"/>
      <c r="J747" s="683">
        <f>SUM(J696:J746)</f>
        <v>0</v>
      </c>
      <c r="K747" s="683">
        <f>SUM(K696:K746)</f>
        <v>0</v>
      </c>
      <c r="L747" s="414">
        <f>SUM(L696:L746)</f>
        <v>0</v>
      </c>
      <c r="M747" s="414">
        <f>SUM(M696:M746)</f>
        <v>0</v>
      </c>
    </row>
    <row r="748" spans="1:13" ht="18" x14ac:dyDescent="0.25">
      <c r="A748" s="510" t="s">
        <v>109</v>
      </c>
      <c r="B748" s="510"/>
      <c r="C748" s="421"/>
      <c r="D748" s="420"/>
      <c r="E748" s="518"/>
      <c r="F748" s="518"/>
      <c r="G748" s="420"/>
      <c r="H748" s="422"/>
      <c r="I748" s="422"/>
      <c r="J748" s="681"/>
      <c r="K748" s="681"/>
      <c r="L748" s="423"/>
      <c r="M748" s="423"/>
    </row>
    <row r="749" spans="1:13" s="256" customFormat="1" x14ac:dyDescent="0.25">
      <c r="A749" s="274"/>
      <c r="B749" s="511"/>
      <c r="C749" s="381"/>
      <c r="D749" s="273" t="s">
        <v>403</v>
      </c>
      <c r="E749" s="275" t="s">
        <v>404</v>
      </c>
      <c r="F749" s="272" t="s">
        <v>405</v>
      </c>
      <c r="G749" s="255"/>
      <c r="H749" s="333"/>
      <c r="I749" s="334"/>
      <c r="J749" s="682">
        <f>(H749-I749)/1.11</f>
        <v>0</v>
      </c>
      <c r="K749" s="682">
        <f t="shared" ref="K749:K812" si="262">J749*11%</f>
        <v>0</v>
      </c>
      <c r="L749" s="333">
        <f t="shared" ref="L749:L798" si="263">SUM(J749:K749)</f>
        <v>0</v>
      </c>
      <c r="M749" s="333">
        <f t="shared" ref="M749:M780" si="264">H749-I749</f>
        <v>0</v>
      </c>
    </row>
    <row r="750" spans="1:13" s="256" customFormat="1" x14ac:dyDescent="0.25">
      <c r="A750" s="274"/>
      <c r="B750" s="511"/>
      <c r="C750" s="381"/>
      <c r="D750" s="273" t="s">
        <v>4003</v>
      </c>
      <c r="E750" s="275" t="s">
        <v>3897</v>
      </c>
      <c r="F750" s="272" t="s">
        <v>3898</v>
      </c>
      <c r="G750" s="255"/>
      <c r="H750" s="333"/>
      <c r="I750" s="334"/>
      <c r="J750" s="682">
        <f>(H750-I750)/1.11</f>
        <v>0</v>
      </c>
      <c r="K750" s="682">
        <f t="shared" si="262"/>
        <v>0</v>
      </c>
      <c r="L750" s="333">
        <f t="shared" si="263"/>
        <v>0</v>
      </c>
      <c r="M750" s="333">
        <f t="shared" si="264"/>
        <v>0</v>
      </c>
    </row>
    <row r="751" spans="1:13" s="256" customFormat="1" x14ac:dyDescent="0.25">
      <c r="A751" s="274"/>
      <c r="B751" s="511"/>
      <c r="C751" s="381"/>
      <c r="D751" s="273" t="s">
        <v>304</v>
      </c>
      <c r="E751" s="275" t="s">
        <v>392</v>
      </c>
      <c r="F751" s="272" t="s">
        <v>2644</v>
      </c>
      <c r="G751" s="255"/>
      <c r="H751" s="333"/>
      <c r="I751" s="334"/>
      <c r="J751" s="682">
        <f>(H751-I751)/1.11</f>
        <v>0</v>
      </c>
      <c r="K751" s="682">
        <f t="shared" si="262"/>
        <v>0</v>
      </c>
      <c r="L751" s="333">
        <f t="shared" si="263"/>
        <v>0</v>
      </c>
      <c r="M751" s="333">
        <f t="shared" si="264"/>
        <v>0</v>
      </c>
    </row>
    <row r="752" spans="1:13" s="256" customFormat="1" x14ac:dyDescent="0.25">
      <c r="A752" s="274"/>
      <c r="B752" s="511"/>
      <c r="C752" s="381"/>
      <c r="D752" s="670" t="s">
        <v>321</v>
      </c>
      <c r="E752" s="669" t="s">
        <v>393</v>
      </c>
      <c r="F752" s="668" t="s">
        <v>394</v>
      </c>
      <c r="G752" s="255"/>
      <c r="H752" s="333"/>
      <c r="I752" s="334"/>
      <c r="J752" s="682">
        <f>(H752-I752)/1.1</f>
        <v>0</v>
      </c>
      <c r="K752" s="682">
        <f t="shared" ref="K752" si="265">J752*10%</f>
        <v>0</v>
      </c>
      <c r="L752" s="333">
        <f t="shared" ref="L752" si="266">SUM(J752:K752)</f>
        <v>0</v>
      </c>
      <c r="M752" s="333">
        <f t="shared" si="264"/>
        <v>0</v>
      </c>
    </row>
    <row r="753" spans="1:13" s="256" customFormat="1" x14ac:dyDescent="0.25">
      <c r="A753" s="274"/>
      <c r="B753" s="511"/>
      <c r="C753" s="381"/>
      <c r="D753" s="273" t="s">
        <v>716</v>
      </c>
      <c r="E753" s="275" t="s">
        <v>717</v>
      </c>
      <c r="F753" s="272" t="s">
        <v>2642</v>
      </c>
      <c r="G753" s="255"/>
      <c r="H753" s="333"/>
      <c r="I753" s="334"/>
      <c r="J753" s="682">
        <f t="shared" ref="J753:J784" si="267">(H753-I753)/1.11</f>
        <v>0</v>
      </c>
      <c r="K753" s="682">
        <f t="shared" si="262"/>
        <v>0</v>
      </c>
      <c r="L753" s="333">
        <f t="shared" si="263"/>
        <v>0</v>
      </c>
      <c r="M753" s="333">
        <f t="shared" si="264"/>
        <v>0</v>
      </c>
    </row>
    <row r="754" spans="1:13" s="256" customFormat="1" x14ac:dyDescent="0.25">
      <c r="A754" s="274"/>
      <c r="B754" s="511"/>
      <c r="C754" s="381"/>
      <c r="D754" s="273" t="s">
        <v>317</v>
      </c>
      <c r="E754" s="275" t="s">
        <v>395</v>
      </c>
      <c r="F754" s="272" t="s">
        <v>396</v>
      </c>
      <c r="G754" s="255"/>
      <c r="H754" s="333"/>
      <c r="I754" s="334"/>
      <c r="J754" s="682">
        <f t="shared" si="267"/>
        <v>0</v>
      </c>
      <c r="K754" s="682">
        <f t="shared" si="262"/>
        <v>0</v>
      </c>
      <c r="L754" s="333">
        <f t="shared" si="263"/>
        <v>0</v>
      </c>
      <c r="M754" s="333">
        <f t="shared" si="264"/>
        <v>0</v>
      </c>
    </row>
    <row r="755" spans="1:13" s="256" customFormat="1" x14ac:dyDescent="0.25">
      <c r="A755" s="274"/>
      <c r="B755" s="511"/>
      <c r="C755" s="381"/>
      <c r="D755" s="273" t="s">
        <v>400</v>
      </c>
      <c r="E755" s="275" t="s">
        <v>401</v>
      </c>
      <c r="F755" s="272" t="s">
        <v>402</v>
      </c>
      <c r="G755" s="255"/>
      <c r="H755" s="333"/>
      <c r="I755" s="334"/>
      <c r="J755" s="682">
        <f t="shared" si="267"/>
        <v>0</v>
      </c>
      <c r="K755" s="682">
        <f t="shared" si="262"/>
        <v>0</v>
      </c>
      <c r="L755" s="333">
        <f t="shared" si="263"/>
        <v>0</v>
      </c>
      <c r="M755" s="333">
        <f t="shared" si="264"/>
        <v>0</v>
      </c>
    </row>
    <row r="756" spans="1:13" s="256" customFormat="1" x14ac:dyDescent="0.25">
      <c r="A756" s="274"/>
      <c r="B756" s="511"/>
      <c r="C756" s="381"/>
      <c r="D756" s="272" t="s">
        <v>811</v>
      </c>
      <c r="E756" s="272" t="s">
        <v>812</v>
      </c>
      <c r="F756" s="275" t="s">
        <v>2643</v>
      </c>
      <c r="G756" s="255"/>
      <c r="H756" s="333"/>
      <c r="I756" s="334"/>
      <c r="J756" s="682">
        <f t="shared" si="267"/>
        <v>0</v>
      </c>
      <c r="K756" s="682">
        <f t="shared" si="262"/>
        <v>0</v>
      </c>
      <c r="L756" s="333">
        <f t="shared" si="263"/>
        <v>0</v>
      </c>
      <c r="M756" s="333">
        <f t="shared" si="264"/>
        <v>0</v>
      </c>
    </row>
    <row r="757" spans="1:13" s="256" customFormat="1" x14ac:dyDescent="0.25">
      <c r="A757" s="274"/>
      <c r="B757" s="511"/>
      <c r="C757" s="381"/>
      <c r="D757" s="273" t="s">
        <v>322</v>
      </c>
      <c r="E757" s="275" t="s">
        <v>397</v>
      </c>
      <c r="F757" s="272" t="s">
        <v>2645</v>
      </c>
      <c r="G757" s="255"/>
      <c r="H757" s="333"/>
      <c r="I757" s="334"/>
      <c r="J757" s="682">
        <f t="shared" si="267"/>
        <v>0</v>
      </c>
      <c r="K757" s="682">
        <f t="shared" si="262"/>
        <v>0</v>
      </c>
      <c r="L757" s="333">
        <f t="shared" si="263"/>
        <v>0</v>
      </c>
      <c r="M757" s="333">
        <f t="shared" si="264"/>
        <v>0</v>
      </c>
    </row>
    <row r="758" spans="1:13" s="256" customFormat="1" x14ac:dyDescent="0.25">
      <c r="A758" s="274"/>
      <c r="B758" s="511"/>
      <c r="C758" s="381"/>
      <c r="D758" s="273" t="s">
        <v>305</v>
      </c>
      <c r="E758" s="275" t="s">
        <v>398</v>
      </c>
      <c r="F758" s="272" t="s">
        <v>399</v>
      </c>
      <c r="G758" s="255"/>
      <c r="H758" s="333"/>
      <c r="I758" s="334"/>
      <c r="J758" s="682">
        <f t="shared" si="267"/>
        <v>0</v>
      </c>
      <c r="K758" s="682">
        <f t="shared" si="262"/>
        <v>0</v>
      </c>
      <c r="L758" s="333">
        <f t="shared" si="263"/>
        <v>0</v>
      </c>
      <c r="M758" s="333">
        <f t="shared" si="264"/>
        <v>0</v>
      </c>
    </row>
    <row r="759" spans="1:13" s="256" customFormat="1" x14ac:dyDescent="0.25">
      <c r="A759" s="274"/>
      <c r="B759" s="511"/>
      <c r="C759" s="381"/>
      <c r="D759" s="273"/>
      <c r="E759" s="275"/>
      <c r="F759" s="272"/>
      <c r="G759" s="255"/>
      <c r="H759" s="333"/>
      <c r="I759" s="334"/>
      <c r="J759" s="682">
        <f t="shared" si="267"/>
        <v>0</v>
      </c>
      <c r="K759" s="682">
        <f t="shared" si="262"/>
        <v>0</v>
      </c>
      <c r="L759" s="333">
        <f t="shared" si="263"/>
        <v>0</v>
      </c>
      <c r="M759" s="333">
        <f t="shared" si="264"/>
        <v>0</v>
      </c>
    </row>
    <row r="760" spans="1:13" s="256" customFormat="1" x14ac:dyDescent="0.25">
      <c r="A760" s="274"/>
      <c r="B760" s="511"/>
      <c r="C760" s="381"/>
      <c r="D760" s="273"/>
      <c r="E760" s="275"/>
      <c r="F760" s="272"/>
      <c r="G760" s="255"/>
      <c r="H760" s="333"/>
      <c r="I760" s="334"/>
      <c r="J760" s="682">
        <f t="shared" si="267"/>
        <v>0</v>
      </c>
      <c r="K760" s="682">
        <f t="shared" si="262"/>
        <v>0</v>
      </c>
      <c r="L760" s="333">
        <f t="shared" si="263"/>
        <v>0</v>
      </c>
      <c r="M760" s="333">
        <f t="shared" si="264"/>
        <v>0</v>
      </c>
    </row>
    <row r="761" spans="1:13" s="256" customFormat="1" x14ac:dyDescent="0.25">
      <c r="A761" s="274"/>
      <c r="B761" s="511"/>
      <c r="C761" s="381"/>
      <c r="D761" s="273"/>
      <c r="E761" s="275"/>
      <c r="F761" s="272"/>
      <c r="G761" s="255"/>
      <c r="H761" s="333"/>
      <c r="I761" s="334"/>
      <c r="J761" s="682">
        <f t="shared" si="267"/>
        <v>0</v>
      </c>
      <c r="K761" s="682">
        <f t="shared" si="262"/>
        <v>0</v>
      </c>
      <c r="L761" s="333">
        <f t="shared" si="263"/>
        <v>0</v>
      </c>
      <c r="M761" s="333">
        <f t="shared" si="264"/>
        <v>0</v>
      </c>
    </row>
    <row r="762" spans="1:13" s="256" customFormat="1" x14ac:dyDescent="0.25">
      <c r="A762" s="274"/>
      <c r="B762" s="511"/>
      <c r="C762" s="381"/>
      <c r="D762" s="273"/>
      <c r="E762" s="272"/>
      <c r="F762" s="272"/>
      <c r="G762" s="255"/>
      <c r="H762" s="333"/>
      <c r="I762" s="334"/>
      <c r="J762" s="682">
        <f t="shared" si="267"/>
        <v>0</v>
      </c>
      <c r="K762" s="682">
        <f t="shared" si="262"/>
        <v>0</v>
      </c>
      <c r="L762" s="333">
        <f t="shared" si="263"/>
        <v>0</v>
      </c>
      <c r="M762" s="333">
        <f t="shared" si="264"/>
        <v>0</v>
      </c>
    </row>
    <row r="763" spans="1:13" s="256" customFormat="1" x14ac:dyDescent="0.25">
      <c r="A763" s="274"/>
      <c r="B763" s="511"/>
      <c r="C763" s="381"/>
      <c r="D763" s="273"/>
      <c r="E763" s="272"/>
      <c r="F763" s="272"/>
      <c r="G763" s="255"/>
      <c r="H763" s="333"/>
      <c r="I763" s="334"/>
      <c r="J763" s="682">
        <f t="shared" si="267"/>
        <v>0</v>
      </c>
      <c r="K763" s="682">
        <f t="shared" si="262"/>
        <v>0</v>
      </c>
      <c r="L763" s="333">
        <f t="shared" si="263"/>
        <v>0</v>
      </c>
      <c r="M763" s="333">
        <f t="shared" si="264"/>
        <v>0</v>
      </c>
    </row>
    <row r="764" spans="1:13" s="256" customFormat="1" x14ac:dyDescent="0.25">
      <c r="A764" s="274"/>
      <c r="B764" s="511"/>
      <c r="C764" s="381"/>
      <c r="D764" s="273"/>
      <c r="E764" s="275"/>
      <c r="F764" s="272"/>
      <c r="G764" s="255"/>
      <c r="H764" s="333"/>
      <c r="I764" s="334"/>
      <c r="J764" s="682">
        <f t="shared" si="267"/>
        <v>0</v>
      </c>
      <c r="K764" s="682">
        <f t="shared" si="262"/>
        <v>0</v>
      </c>
      <c r="L764" s="333">
        <f t="shared" si="263"/>
        <v>0</v>
      </c>
      <c r="M764" s="333">
        <f t="shared" si="264"/>
        <v>0</v>
      </c>
    </row>
    <row r="765" spans="1:13" s="256" customFormat="1" x14ac:dyDescent="0.25">
      <c r="A765" s="274"/>
      <c r="B765" s="511"/>
      <c r="C765" s="381"/>
      <c r="D765" s="273"/>
      <c r="E765" s="275"/>
      <c r="F765" s="272"/>
      <c r="G765" s="255"/>
      <c r="H765" s="333"/>
      <c r="I765" s="334"/>
      <c r="J765" s="682">
        <f t="shared" si="267"/>
        <v>0</v>
      </c>
      <c r="K765" s="682">
        <f t="shared" si="262"/>
        <v>0</v>
      </c>
      <c r="L765" s="333">
        <f t="shared" si="263"/>
        <v>0</v>
      </c>
      <c r="M765" s="333">
        <f t="shared" si="264"/>
        <v>0</v>
      </c>
    </row>
    <row r="766" spans="1:13" s="256" customFormat="1" x14ac:dyDescent="0.25">
      <c r="A766" s="274"/>
      <c r="B766" s="511"/>
      <c r="C766" s="381"/>
      <c r="D766" s="273"/>
      <c r="E766" s="275"/>
      <c r="F766" s="272"/>
      <c r="G766" s="255"/>
      <c r="H766" s="333"/>
      <c r="I766" s="334"/>
      <c r="J766" s="682">
        <f t="shared" si="267"/>
        <v>0</v>
      </c>
      <c r="K766" s="682">
        <f t="shared" si="262"/>
        <v>0</v>
      </c>
      <c r="L766" s="333">
        <f t="shared" si="263"/>
        <v>0</v>
      </c>
      <c r="M766" s="333">
        <f t="shared" si="264"/>
        <v>0</v>
      </c>
    </row>
    <row r="767" spans="1:13" s="256" customFormat="1" x14ac:dyDescent="0.25">
      <c r="A767" s="274"/>
      <c r="B767" s="511"/>
      <c r="C767" s="381"/>
      <c r="D767" s="273"/>
      <c r="E767" s="275"/>
      <c r="F767" s="272"/>
      <c r="G767" s="255"/>
      <c r="H767" s="333"/>
      <c r="I767" s="334"/>
      <c r="J767" s="682">
        <f t="shared" si="267"/>
        <v>0</v>
      </c>
      <c r="K767" s="682">
        <f t="shared" si="262"/>
        <v>0</v>
      </c>
      <c r="L767" s="333">
        <f t="shared" si="263"/>
        <v>0</v>
      </c>
      <c r="M767" s="333">
        <f t="shared" si="264"/>
        <v>0</v>
      </c>
    </row>
    <row r="768" spans="1:13" s="256" customFormat="1" x14ac:dyDescent="0.25">
      <c r="A768" s="274"/>
      <c r="B768" s="511"/>
      <c r="C768" s="381"/>
      <c r="D768" s="273"/>
      <c r="E768" s="275"/>
      <c r="F768" s="272"/>
      <c r="G768" s="255"/>
      <c r="H768" s="333"/>
      <c r="I768" s="334"/>
      <c r="J768" s="682">
        <f t="shared" si="267"/>
        <v>0</v>
      </c>
      <c r="K768" s="682">
        <f t="shared" si="262"/>
        <v>0</v>
      </c>
      <c r="L768" s="333">
        <f t="shared" si="263"/>
        <v>0</v>
      </c>
      <c r="M768" s="333">
        <f t="shared" si="264"/>
        <v>0</v>
      </c>
    </row>
    <row r="769" spans="1:13" s="256" customFormat="1" x14ac:dyDescent="0.25">
      <c r="A769" s="274"/>
      <c r="B769" s="511"/>
      <c r="C769" s="381"/>
      <c r="D769" s="273"/>
      <c r="E769" s="275"/>
      <c r="F769" s="272"/>
      <c r="G769" s="255"/>
      <c r="H769" s="333"/>
      <c r="I769" s="334"/>
      <c r="J769" s="682">
        <f t="shared" si="267"/>
        <v>0</v>
      </c>
      <c r="K769" s="682">
        <f t="shared" si="262"/>
        <v>0</v>
      </c>
      <c r="L769" s="333">
        <f t="shared" si="263"/>
        <v>0</v>
      </c>
      <c r="M769" s="333">
        <f t="shared" si="264"/>
        <v>0</v>
      </c>
    </row>
    <row r="770" spans="1:13" s="256" customFormat="1" x14ac:dyDescent="0.25">
      <c r="A770" s="274"/>
      <c r="B770" s="511"/>
      <c r="C770" s="381"/>
      <c r="D770" s="273"/>
      <c r="E770" s="275"/>
      <c r="F770" s="272"/>
      <c r="G770" s="255"/>
      <c r="H770" s="333"/>
      <c r="I770" s="334"/>
      <c r="J770" s="682">
        <f t="shared" si="267"/>
        <v>0</v>
      </c>
      <c r="K770" s="682">
        <f t="shared" si="262"/>
        <v>0</v>
      </c>
      <c r="L770" s="333">
        <f t="shared" si="263"/>
        <v>0</v>
      </c>
      <c r="M770" s="333">
        <f t="shared" si="264"/>
        <v>0</v>
      </c>
    </row>
    <row r="771" spans="1:13" s="256" customFormat="1" x14ac:dyDescent="0.25">
      <c r="A771" s="274"/>
      <c r="B771" s="511"/>
      <c r="C771" s="381"/>
      <c r="D771" s="273"/>
      <c r="E771" s="275"/>
      <c r="F771" s="272"/>
      <c r="G771" s="255"/>
      <c r="H771" s="333"/>
      <c r="I771" s="334"/>
      <c r="J771" s="682">
        <f t="shared" si="267"/>
        <v>0</v>
      </c>
      <c r="K771" s="682">
        <f t="shared" si="262"/>
        <v>0</v>
      </c>
      <c r="L771" s="333">
        <f t="shared" si="263"/>
        <v>0</v>
      </c>
      <c r="M771" s="333">
        <f t="shared" si="264"/>
        <v>0</v>
      </c>
    </row>
    <row r="772" spans="1:13" s="256" customFormat="1" x14ac:dyDescent="0.25">
      <c r="A772" s="274"/>
      <c r="B772" s="511"/>
      <c r="C772" s="381"/>
      <c r="D772" s="273"/>
      <c r="E772" s="275"/>
      <c r="F772" s="272"/>
      <c r="G772" s="255"/>
      <c r="H772" s="333"/>
      <c r="I772" s="334"/>
      <c r="J772" s="682">
        <f t="shared" si="267"/>
        <v>0</v>
      </c>
      <c r="K772" s="682">
        <f t="shared" si="262"/>
        <v>0</v>
      </c>
      <c r="L772" s="333">
        <f t="shared" si="263"/>
        <v>0</v>
      </c>
      <c r="M772" s="333">
        <f t="shared" si="264"/>
        <v>0</v>
      </c>
    </row>
    <row r="773" spans="1:13" s="256" customFormat="1" x14ac:dyDescent="0.25">
      <c r="A773" s="274"/>
      <c r="B773" s="511"/>
      <c r="C773" s="381"/>
      <c r="D773" s="273"/>
      <c r="E773" s="275"/>
      <c r="F773" s="272"/>
      <c r="G773" s="255"/>
      <c r="H773" s="333"/>
      <c r="I773" s="334"/>
      <c r="J773" s="682">
        <f t="shared" si="267"/>
        <v>0</v>
      </c>
      <c r="K773" s="682">
        <f t="shared" si="262"/>
        <v>0</v>
      </c>
      <c r="L773" s="333">
        <f t="shared" si="263"/>
        <v>0</v>
      </c>
      <c r="M773" s="333">
        <f t="shared" si="264"/>
        <v>0</v>
      </c>
    </row>
    <row r="774" spans="1:13" s="256" customFormat="1" x14ac:dyDescent="0.25">
      <c r="A774" s="274"/>
      <c r="B774" s="511"/>
      <c r="C774" s="381"/>
      <c r="D774" s="273"/>
      <c r="E774" s="275"/>
      <c r="F774" s="272"/>
      <c r="G774" s="255"/>
      <c r="H774" s="333"/>
      <c r="I774" s="334"/>
      <c r="J774" s="682">
        <f t="shared" si="267"/>
        <v>0</v>
      </c>
      <c r="K774" s="682">
        <f t="shared" si="262"/>
        <v>0</v>
      </c>
      <c r="L774" s="333">
        <f t="shared" si="263"/>
        <v>0</v>
      </c>
      <c r="M774" s="333">
        <f t="shared" si="264"/>
        <v>0</v>
      </c>
    </row>
    <row r="775" spans="1:13" s="256" customFormat="1" x14ac:dyDescent="0.25">
      <c r="A775" s="274"/>
      <c r="B775" s="511"/>
      <c r="C775" s="381"/>
      <c r="D775" s="273"/>
      <c r="E775" s="275"/>
      <c r="F775" s="272"/>
      <c r="G775" s="255"/>
      <c r="H775" s="333"/>
      <c r="I775" s="334"/>
      <c r="J775" s="682">
        <f t="shared" si="267"/>
        <v>0</v>
      </c>
      <c r="K775" s="682">
        <f t="shared" si="262"/>
        <v>0</v>
      </c>
      <c r="L775" s="333">
        <f t="shared" si="263"/>
        <v>0</v>
      </c>
      <c r="M775" s="333">
        <f t="shared" si="264"/>
        <v>0</v>
      </c>
    </row>
    <row r="776" spans="1:13" s="256" customFormat="1" x14ac:dyDescent="0.25">
      <c r="A776" s="274"/>
      <c r="B776" s="511"/>
      <c r="C776" s="381"/>
      <c r="D776" s="273"/>
      <c r="E776" s="275"/>
      <c r="F776" s="272"/>
      <c r="G776" s="255"/>
      <c r="H776" s="333"/>
      <c r="I776" s="334"/>
      <c r="J776" s="682">
        <f t="shared" si="267"/>
        <v>0</v>
      </c>
      <c r="K776" s="682">
        <f t="shared" si="262"/>
        <v>0</v>
      </c>
      <c r="L776" s="333">
        <f t="shared" si="263"/>
        <v>0</v>
      </c>
      <c r="M776" s="333">
        <f t="shared" si="264"/>
        <v>0</v>
      </c>
    </row>
    <row r="777" spans="1:13" s="256" customFormat="1" x14ac:dyDescent="0.25">
      <c r="A777" s="274"/>
      <c r="B777" s="511"/>
      <c r="C777" s="381"/>
      <c r="D777" s="273"/>
      <c r="E777" s="275"/>
      <c r="F777" s="272"/>
      <c r="G777" s="255"/>
      <c r="H777" s="333"/>
      <c r="I777" s="334"/>
      <c r="J777" s="682">
        <f t="shared" si="267"/>
        <v>0</v>
      </c>
      <c r="K777" s="682">
        <f t="shared" si="262"/>
        <v>0</v>
      </c>
      <c r="L777" s="333">
        <f t="shared" si="263"/>
        <v>0</v>
      </c>
      <c r="M777" s="333">
        <f t="shared" si="264"/>
        <v>0</v>
      </c>
    </row>
    <row r="778" spans="1:13" s="256" customFormat="1" x14ac:dyDescent="0.25">
      <c r="A778" s="274"/>
      <c r="B778" s="511"/>
      <c r="C778" s="381"/>
      <c r="D778" s="273"/>
      <c r="E778" s="275"/>
      <c r="F778" s="272"/>
      <c r="G778" s="255"/>
      <c r="H778" s="333"/>
      <c r="I778" s="334"/>
      <c r="J778" s="682">
        <f t="shared" si="267"/>
        <v>0</v>
      </c>
      <c r="K778" s="682">
        <f t="shared" si="262"/>
        <v>0</v>
      </c>
      <c r="L778" s="333">
        <f t="shared" si="263"/>
        <v>0</v>
      </c>
      <c r="M778" s="333">
        <f t="shared" si="264"/>
        <v>0</v>
      </c>
    </row>
    <row r="779" spans="1:13" s="256" customFormat="1" x14ac:dyDescent="0.25">
      <c r="A779" s="274"/>
      <c r="B779" s="511"/>
      <c r="C779" s="381"/>
      <c r="D779" s="273"/>
      <c r="E779" s="275"/>
      <c r="F779" s="272"/>
      <c r="G779" s="255"/>
      <c r="H779" s="333"/>
      <c r="I779" s="334"/>
      <c r="J779" s="682">
        <f t="shared" si="267"/>
        <v>0</v>
      </c>
      <c r="K779" s="682">
        <f t="shared" si="262"/>
        <v>0</v>
      </c>
      <c r="L779" s="333">
        <f t="shared" si="263"/>
        <v>0</v>
      </c>
      <c r="M779" s="333">
        <f t="shared" si="264"/>
        <v>0</v>
      </c>
    </row>
    <row r="780" spans="1:13" s="256" customFormat="1" x14ac:dyDescent="0.25">
      <c r="A780" s="274"/>
      <c r="B780" s="511"/>
      <c r="C780" s="381"/>
      <c r="D780" s="273"/>
      <c r="E780" s="275"/>
      <c r="F780" s="272"/>
      <c r="G780" s="255"/>
      <c r="H780" s="333"/>
      <c r="I780" s="334"/>
      <c r="J780" s="682">
        <f t="shared" si="267"/>
        <v>0</v>
      </c>
      <c r="K780" s="682">
        <f t="shared" si="262"/>
        <v>0</v>
      </c>
      <c r="L780" s="333">
        <f t="shared" si="263"/>
        <v>0</v>
      </c>
      <c r="M780" s="333">
        <f t="shared" si="264"/>
        <v>0</v>
      </c>
    </row>
    <row r="781" spans="1:13" s="256" customFormat="1" x14ac:dyDescent="0.25">
      <c r="A781" s="274"/>
      <c r="B781" s="511"/>
      <c r="C781" s="381"/>
      <c r="D781" s="273"/>
      <c r="E781" s="275"/>
      <c r="F781" s="272"/>
      <c r="G781" s="255"/>
      <c r="H781" s="333"/>
      <c r="I781" s="334"/>
      <c r="J781" s="682">
        <f t="shared" si="267"/>
        <v>0</v>
      </c>
      <c r="K781" s="682">
        <f t="shared" si="262"/>
        <v>0</v>
      </c>
      <c r="L781" s="333">
        <f t="shared" ref="L781:L786" si="268">SUM(J781:K781)</f>
        <v>0</v>
      </c>
      <c r="M781" s="333">
        <f t="shared" ref="M781:M812" si="269">H781-I781</f>
        <v>0</v>
      </c>
    </row>
    <row r="782" spans="1:13" s="256" customFormat="1" x14ac:dyDescent="0.25">
      <c r="A782" s="274"/>
      <c r="B782" s="511"/>
      <c r="C782" s="381"/>
      <c r="D782" s="273"/>
      <c r="E782" s="275"/>
      <c r="F782" s="272"/>
      <c r="G782" s="255"/>
      <c r="H782" s="333"/>
      <c r="I782" s="334"/>
      <c r="J782" s="682">
        <f t="shared" si="267"/>
        <v>0</v>
      </c>
      <c r="K782" s="682">
        <f t="shared" si="262"/>
        <v>0</v>
      </c>
      <c r="L782" s="333">
        <f t="shared" si="268"/>
        <v>0</v>
      </c>
      <c r="M782" s="333">
        <f t="shared" si="269"/>
        <v>0</v>
      </c>
    </row>
    <row r="783" spans="1:13" s="256" customFormat="1" x14ac:dyDescent="0.25">
      <c r="A783" s="274"/>
      <c r="B783" s="511"/>
      <c r="C783" s="381"/>
      <c r="D783" s="273"/>
      <c r="E783" s="275"/>
      <c r="F783" s="272"/>
      <c r="G783" s="255"/>
      <c r="H783" s="333"/>
      <c r="I783" s="334"/>
      <c r="J783" s="682">
        <f t="shared" si="267"/>
        <v>0</v>
      </c>
      <c r="K783" s="682">
        <f t="shared" si="262"/>
        <v>0</v>
      </c>
      <c r="L783" s="333">
        <f t="shared" si="268"/>
        <v>0</v>
      </c>
      <c r="M783" s="333">
        <f t="shared" si="269"/>
        <v>0</v>
      </c>
    </row>
    <row r="784" spans="1:13" s="256" customFormat="1" x14ac:dyDescent="0.25">
      <c r="A784" s="274"/>
      <c r="B784" s="511"/>
      <c r="C784" s="381"/>
      <c r="D784" s="273"/>
      <c r="E784" s="275"/>
      <c r="F784" s="272"/>
      <c r="G784" s="255"/>
      <c r="H784" s="333"/>
      <c r="I784" s="334"/>
      <c r="J784" s="682">
        <f t="shared" si="267"/>
        <v>0</v>
      </c>
      <c r="K784" s="682">
        <f t="shared" si="262"/>
        <v>0</v>
      </c>
      <c r="L784" s="333">
        <f t="shared" si="268"/>
        <v>0</v>
      </c>
      <c r="M784" s="333">
        <f t="shared" si="269"/>
        <v>0</v>
      </c>
    </row>
    <row r="785" spans="1:13" s="256" customFormat="1" x14ac:dyDescent="0.25">
      <c r="A785" s="274"/>
      <c r="B785" s="511"/>
      <c r="C785" s="381"/>
      <c r="D785" s="273"/>
      <c r="E785" s="275"/>
      <c r="F785" s="272"/>
      <c r="G785" s="255"/>
      <c r="H785" s="333"/>
      <c r="I785" s="334"/>
      <c r="J785" s="682">
        <f t="shared" ref="J785:J812" si="270">(H785-I785)/1.11</f>
        <v>0</v>
      </c>
      <c r="K785" s="682">
        <f t="shared" si="262"/>
        <v>0</v>
      </c>
      <c r="L785" s="333">
        <f t="shared" si="268"/>
        <v>0</v>
      </c>
      <c r="M785" s="333">
        <f t="shared" si="269"/>
        <v>0</v>
      </c>
    </row>
    <row r="786" spans="1:13" s="256" customFormat="1" x14ac:dyDescent="0.25">
      <c r="A786" s="274"/>
      <c r="B786" s="511"/>
      <c r="C786" s="381"/>
      <c r="D786" s="273"/>
      <c r="E786" s="275"/>
      <c r="F786" s="272"/>
      <c r="G786" s="255"/>
      <c r="H786" s="333"/>
      <c r="I786" s="334"/>
      <c r="J786" s="682">
        <f t="shared" si="270"/>
        <v>0</v>
      </c>
      <c r="K786" s="682">
        <f t="shared" si="262"/>
        <v>0</v>
      </c>
      <c r="L786" s="333">
        <f t="shared" si="268"/>
        <v>0</v>
      </c>
      <c r="M786" s="333">
        <f t="shared" si="269"/>
        <v>0</v>
      </c>
    </row>
    <row r="787" spans="1:13" s="256" customFormat="1" x14ac:dyDescent="0.25">
      <c r="A787" s="274"/>
      <c r="B787" s="511"/>
      <c r="C787" s="381"/>
      <c r="D787" s="273"/>
      <c r="E787" s="275"/>
      <c r="F787" s="272"/>
      <c r="G787" s="255"/>
      <c r="H787" s="333"/>
      <c r="I787" s="334"/>
      <c r="J787" s="682">
        <f t="shared" si="270"/>
        <v>0</v>
      </c>
      <c r="K787" s="682">
        <f t="shared" si="262"/>
        <v>0</v>
      </c>
      <c r="L787" s="333">
        <f t="shared" si="263"/>
        <v>0</v>
      </c>
      <c r="M787" s="333">
        <f t="shared" si="269"/>
        <v>0</v>
      </c>
    </row>
    <row r="788" spans="1:13" s="256" customFormat="1" x14ac:dyDescent="0.25">
      <c r="A788" s="274"/>
      <c r="B788" s="511"/>
      <c r="C788" s="381"/>
      <c r="D788" s="273"/>
      <c r="E788" s="275"/>
      <c r="F788" s="272"/>
      <c r="G788" s="255"/>
      <c r="H788" s="333"/>
      <c r="I788" s="334"/>
      <c r="J788" s="682">
        <f t="shared" si="270"/>
        <v>0</v>
      </c>
      <c r="K788" s="682">
        <f t="shared" si="262"/>
        <v>0</v>
      </c>
      <c r="L788" s="333">
        <f t="shared" ref="L788:L792" si="271">SUM(J788:K788)</f>
        <v>0</v>
      </c>
      <c r="M788" s="333">
        <f t="shared" si="269"/>
        <v>0</v>
      </c>
    </row>
    <row r="789" spans="1:13" s="256" customFormat="1" x14ac:dyDescent="0.25">
      <c r="A789" s="274"/>
      <c r="B789" s="511"/>
      <c r="C789" s="381"/>
      <c r="D789" s="273"/>
      <c r="E789" s="275"/>
      <c r="F789" s="272"/>
      <c r="G789" s="255"/>
      <c r="H789" s="333"/>
      <c r="I789" s="334"/>
      <c r="J789" s="682">
        <f t="shared" si="270"/>
        <v>0</v>
      </c>
      <c r="K789" s="682">
        <f t="shared" si="262"/>
        <v>0</v>
      </c>
      <c r="L789" s="333">
        <f t="shared" si="271"/>
        <v>0</v>
      </c>
      <c r="M789" s="333">
        <f t="shared" si="269"/>
        <v>0</v>
      </c>
    </row>
    <row r="790" spans="1:13" s="256" customFormat="1" x14ac:dyDescent="0.25">
      <c r="A790" s="274"/>
      <c r="B790" s="511"/>
      <c r="C790" s="381"/>
      <c r="D790" s="273"/>
      <c r="E790" s="275"/>
      <c r="F790" s="272"/>
      <c r="G790" s="255"/>
      <c r="H790" s="333"/>
      <c r="I790" s="334"/>
      <c r="J790" s="682">
        <f t="shared" si="270"/>
        <v>0</v>
      </c>
      <c r="K790" s="682">
        <f t="shared" si="262"/>
        <v>0</v>
      </c>
      <c r="L790" s="333">
        <f t="shared" si="271"/>
        <v>0</v>
      </c>
      <c r="M790" s="333">
        <f t="shared" si="269"/>
        <v>0</v>
      </c>
    </row>
    <row r="791" spans="1:13" s="256" customFormat="1" x14ac:dyDescent="0.25">
      <c r="A791" s="274"/>
      <c r="B791" s="511"/>
      <c r="C791" s="381"/>
      <c r="D791" s="273"/>
      <c r="E791" s="275"/>
      <c r="F791" s="272"/>
      <c r="G791" s="255"/>
      <c r="H791" s="333"/>
      <c r="I791" s="334"/>
      <c r="J791" s="682">
        <f t="shared" si="270"/>
        <v>0</v>
      </c>
      <c r="K791" s="682">
        <f t="shared" si="262"/>
        <v>0</v>
      </c>
      <c r="L791" s="333">
        <f t="shared" si="271"/>
        <v>0</v>
      </c>
      <c r="M791" s="333">
        <f t="shared" si="269"/>
        <v>0</v>
      </c>
    </row>
    <row r="792" spans="1:13" s="256" customFormat="1" x14ac:dyDescent="0.25">
      <c r="A792" s="274"/>
      <c r="B792" s="511"/>
      <c r="C792" s="381"/>
      <c r="D792" s="273"/>
      <c r="E792" s="275"/>
      <c r="F792" s="272"/>
      <c r="G792" s="255"/>
      <c r="H792" s="333"/>
      <c r="I792" s="334"/>
      <c r="J792" s="682">
        <f t="shared" si="270"/>
        <v>0</v>
      </c>
      <c r="K792" s="682">
        <f t="shared" si="262"/>
        <v>0</v>
      </c>
      <c r="L792" s="333">
        <f t="shared" si="271"/>
        <v>0</v>
      </c>
      <c r="M792" s="333">
        <f t="shared" si="269"/>
        <v>0</v>
      </c>
    </row>
    <row r="793" spans="1:13" s="256" customFormat="1" x14ac:dyDescent="0.25">
      <c r="A793" s="274"/>
      <c r="B793" s="511"/>
      <c r="C793" s="381"/>
      <c r="D793" s="273"/>
      <c r="E793" s="275"/>
      <c r="F793" s="272"/>
      <c r="G793" s="255"/>
      <c r="H793" s="333"/>
      <c r="I793" s="334"/>
      <c r="J793" s="682">
        <f t="shared" si="270"/>
        <v>0</v>
      </c>
      <c r="K793" s="682">
        <f t="shared" si="262"/>
        <v>0</v>
      </c>
      <c r="L793" s="333">
        <f t="shared" si="263"/>
        <v>0</v>
      </c>
      <c r="M793" s="333">
        <f t="shared" si="269"/>
        <v>0</v>
      </c>
    </row>
    <row r="794" spans="1:13" s="256" customFormat="1" x14ac:dyDescent="0.25">
      <c r="A794" s="274"/>
      <c r="B794" s="511"/>
      <c r="C794" s="381"/>
      <c r="D794" s="273"/>
      <c r="E794" s="275"/>
      <c r="F794" s="272"/>
      <c r="G794" s="255"/>
      <c r="H794" s="333"/>
      <c r="I794" s="334"/>
      <c r="J794" s="682">
        <f t="shared" si="270"/>
        <v>0</v>
      </c>
      <c r="K794" s="682">
        <f t="shared" si="262"/>
        <v>0</v>
      </c>
      <c r="L794" s="333">
        <f t="shared" si="263"/>
        <v>0</v>
      </c>
      <c r="M794" s="333">
        <f t="shared" si="269"/>
        <v>0</v>
      </c>
    </row>
    <row r="795" spans="1:13" s="256" customFormat="1" x14ac:dyDescent="0.25">
      <c r="A795" s="274"/>
      <c r="B795" s="511"/>
      <c r="C795" s="381"/>
      <c r="D795" s="273"/>
      <c r="E795" s="275"/>
      <c r="F795" s="272"/>
      <c r="G795" s="255"/>
      <c r="H795" s="333"/>
      <c r="I795" s="334"/>
      <c r="J795" s="682">
        <f t="shared" si="270"/>
        <v>0</v>
      </c>
      <c r="K795" s="682">
        <f t="shared" si="262"/>
        <v>0</v>
      </c>
      <c r="L795" s="333">
        <f t="shared" si="263"/>
        <v>0</v>
      </c>
      <c r="M795" s="333">
        <f t="shared" si="269"/>
        <v>0</v>
      </c>
    </row>
    <row r="796" spans="1:13" s="256" customFormat="1" x14ac:dyDescent="0.25">
      <c r="A796" s="274"/>
      <c r="B796" s="511"/>
      <c r="C796" s="381"/>
      <c r="D796" s="273"/>
      <c r="E796" s="275"/>
      <c r="F796" s="272"/>
      <c r="G796" s="255"/>
      <c r="H796" s="333"/>
      <c r="I796" s="334"/>
      <c r="J796" s="682">
        <f t="shared" si="270"/>
        <v>0</v>
      </c>
      <c r="K796" s="682">
        <f t="shared" si="262"/>
        <v>0</v>
      </c>
      <c r="L796" s="333">
        <f t="shared" si="263"/>
        <v>0</v>
      </c>
      <c r="M796" s="333">
        <f t="shared" si="269"/>
        <v>0</v>
      </c>
    </row>
    <row r="797" spans="1:13" s="256" customFormat="1" x14ac:dyDescent="0.25">
      <c r="A797" s="274"/>
      <c r="B797" s="511"/>
      <c r="C797" s="381"/>
      <c r="D797" s="273"/>
      <c r="E797" s="275"/>
      <c r="F797" s="272"/>
      <c r="G797" s="255"/>
      <c r="H797" s="333"/>
      <c r="I797" s="334"/>
      <c r="J797" s="682">
        <f t="shared" si="270"/>
        <v>0</v>
      </c>
      <c r="K797" s="682">
        <f t="shared" si="262"/>
        <v>0</v>
      </c>
      <c r="L797" s="333">
        <f t="shared" si="263"/>
        <v>0</v>
      </c>
      <c r="M797" s="333">
        <f t="shared" si="269"/>
        <v>0</v>
      </c>
    </row>
    <row r="798" spans="1:13" s="256" customFormat="1" x14ac:dyDescent="0.25">
      <c r="A798" s="274"/>
      <c r="B798" s="511"/>
      <c r="C798" s="381"/>
      <c r="D798" s="273"/>
      <c r="E798" s="275"/>
      <c r="F798" s="272"/>
      <c r="G798" s="255"/>
      <c r="H798" s="333"/>
      <c r="I798" s="334"/>
      <c r="J798" s="682">
        <f t="shared" si="270"/>
        <v>0</v>
      </c>
      <c r="K798" s="682">
        <f t="shared" si="262"/>
        <v>0</v>
      </c>
      <c r="L798" s="333">
        <f t="shared" si="263"/>
        <v>0</v>
      </c>
      <c r="M798" s="333">
        <f t="shared" si="269"/>
        <v>0</v>
      </c>
    </row>
    <row r="799" spans="1:13" s="256" customFormat="1" x14ac:dyDescent="0.25">
      <c r="A799" s="274"/>
      <c r="B799" s="511"/>
      <c r="C799" s="381"/>
      <c r="D799" s="273"/>
      <c r="E799" s="275"/>
      <c r="F799" s="272"/>
      <c r="G799" s="255"/>
      <c r="H799" s="333"/>
      <c r="I799" s="334"/>
      <c r="J799" s="682">
        <f t="shared" si="270"/>
        <v>0</v>
      </c>
      <c r="K799" s="682">
        <f t="shared" si="262"/>
        <v>0</v>
      </c>
      <c r="L799" s="333">
        <f t="shared" ref="L799:L804" si="272">SUM(J799:K799)</f>
        <v>0</v>
      </c>
      <c r="M799" s="333">
        <f t="shared" si="269"/>
        <v>0</v>
      </c>
    </row>
    <row r="800" spans="1:13" s="256" customFormat="1" x14ac:dyDescent="0.25">
      <c r="A800" s="274"/>
      <c r="B800" s="511"/>
      <c r="C800" s="381"/>
      <c r="D800" s="273"/>
      <c r="E800" s="275"/>
      <c r="F800" s="272"/>
      <c r="G800" s="255"/>
      <c r="H800" s="333"/>
      <c r="I800" s="334"/>
      <c r="J800" s="682">
        <f t="shared" si="270"/>
        <v>0</v>
      </c>
      <c r="K800" s="682">
        <f t="shared" si="262"/>
        <v>0</v>
      </c>
      <c r="L800" s="333">
        <f t="shared" si="272"/>
        <v>0</v>
      </c>
      <c r="M800" s="333">
        <f t="shared" si="269"/>
        <v>0</v>
      </c>
    </row>
    <row r="801" spans="1:13" s="256" customFormat="1" x14ac:dyDescent="0.25">
      <c r="A801" s="274"/>
      <c r="B801" s="511"/>
      <c r="C801" s="381"/>
      <c r="D801" s="273"/>
      <c r="E801" s="275"/>
      <c r="F801" s="272"/>
      <c r="G801" s="255"/>
      <c r="H801" s="333"/>
      <c r="I801" s="334"/>
      <c r="J801" s="682">
        <f t="shared" si="270"/>
        <v>0</v>
      </c>
      <c r="K801" s="682">
        <f t="shared" si="262"/>
        <v>0</v>
      </c>
      <c r="L801" s="333">
        <f t="shared" si="272"/>
        <v>0</v>
      </c>
      <c r="M801" s="333">
        <f t="shared" si="269"/>
        <v>0</v>
      </c>
    </row>
    <row r="802" spans="1:13" s="256" customFormat="1" x14ac:dyDescent="0.25">
      <c r="A802" s="274"/>
      <c r="B802" s="511"/>
      <c r="C802" s="381"/>
      <c r="D802" s="273"/>
      <c r="E802" s="275"/>
      <c r="F802" s="272"/>
      <c r="G802" s="255"/>
      <c r="H802" s="333"/>
      <c r="I802" s="334"/>
      <c r="J802" s="682">
        <f t="shared" si="270"/>
        <v>0</v>
      </c>
      <c r="K802" s="682">
        <f t="shared" si="262"/>
        <v>0</v>
      </c>
      <c r="L802" s="333">
        <f t="shared" si="272"/>
        <v>0</v>
      </c>
      <c r="M802" s="333">
        <f t="shared" si="269"/>
        <v>0</v>
      </c>
    </row>
    <row r="803" spans="1:13" s="256" customFormat="1" x14ac:dyDescent="0.25">
      <c r="A803" s="274"/>
      <c r="B803" s="511"/>
      <c r="C803" s="381"/>
      <c r="D803" s="273"/>
      <c r="E803" s="272"/>
      <c r="F803" s="275"/>
      <c r="G803" s="255"/>
      <c r="H803" s="333"/>
      <c r="I803" s="334"/>
      <c r="J803" s="682">
        <f t="shared" si="270"/>
        <v>0</v>
      </c>
      <c r="K803" s="682">
        <f t="shared" si="262"/>
        <v>0</v>
      </c>
      <c r="L803" s="333">
        <f t="shared" si="272"/>
        <v>0</v>
      </c>
      <c r="M803" s="333">
        <f t="shared" si="269"/>
        <v>0</v>
      </c>
    </row>
    <row r="804" spans="1:13" s="256" customFormat="1" x14ac:dyDescent="0.25">
      <c r="A804" s="274"/>
      <c r="B804" s="511"/>
      <c r="C804" s="381"/>
      <c r="D804" s="273"/>
      <c r="E804" s="272"/>
      <c r="F804" s="275"/>
      <c r="G804" s="255"/>
      <c r="H804" s="333"/>
      <c r="I804" s="334"/>
      <c r="J804" s="682">
        <f t="shared" si="270"/>
        <v>0</v>
      </c>
      <c r="K804" s="682">
        <f t="shared" si="262"/>
        <v>0</v>
      </c>
      <c r="L804" s="333">
        <f t="shared" si="272"/>
        <v>0</v>
      </c>
      <c r="M804" s="333">
        <f t="shared" si="269"/>
        <v>0</v>
      </c>
    </row>
    <row r="805" spans="1:13" s="256" customFormat="1" x14ac:dyDescent="0.25">
      <c r="A805" s="274"/>
      <c r="B805" s="511"/>
      <c r="C805" s="381"/>
      <c r="D805" s="273"/>
      <c r="E805" s="275"/>
      <c r="F805" s="272"/>
      <c r="G805" s="255"/>
      <c r="H805" s="333"/>
      <c r="I805" s="334"/>
      <c r="J805" s="682">
        <f t="shared" si="270"/>
        <v>0</v>
      </c>
      <c r="K805" s="682">
        <f t="shared" si="262"/>
        <v>0</v>
      </c>
      <c r="L805" s="333">
        <f t="shared" ref="L805:L812" si="273">SUM(J805:K805)</f>
        <v>0</v>
      </c>
      <c r="M805" s="333">
        <f t="shared" si="269"/>
        <v>0</v>
      </c>
    </row>
    <row r="806" spans="1:13" s="256" customFormat="1" x14ac:dyDescent="0.25">
      <c r="A806" s="274"/>
      <c r="B806" s="511"/>
      <c r="C806" s="381"/>
      <c r="D806" s="273"/>
      <c r="E806" s="272"/>
      <c r="F806" s="275"/>
      <c r="G806" s="255"/>
      <c r="H806" s="333"/>
      <c r="I806" s="334"/>
      <c r="J806" s="682">
        <f t="shared" si="270"/>
        <v>0</v>
      </c>
      <c r="K806" s="682">
        <f t="shared" si="262"/>
        <v>0</v>
      </c>
      <c r="L806" s="333">
        <f t="shared" si="273"/>
        <v>0</v>
      </c>
      <c r="M806" s="333">
        <f t="shared" si="269"/>
        <v>0</v>
      </c>
    </row>
    <row r="807" spans="1:13" s="256" customFormat="1" x14ac:dyDescent="0.25">
      <c r="A807" s="274"/>
      <c r="B807" s="511"/>
      <c r="C807" s="381"/>
      <c r="D807" s="273"/>
      <c r="E807" s="272"/>
      <c r="F807" s="275"/>
      <c r="G807" s="255"/>
      <c r="H807" s="333"/>
      <c r="I807" s="334"/>
      <c r="J807" s="682">
        <f t="shared" si="270"/>
        <v>0</v>
      </c>
      <c r="K807" s="682">
        <f t="shared" si="262"/>
        <v>0</v>
      </c>
      <c r="L807" s="333">
        <f t="shared" si="273"/>
        <v>0</v>
      </c>
      <c r="M807" s="333">
        <f t="shared" si="269"/>
        <v>0</v>
      </c>
    </row>
    <row r="808" spans="1:13" s="256" customFormat="1" x14ac:dyDescent="0.25">
      <c r="A808" s="274"/>
      <c r="B808" s="511"/>
      <c r="C808" s="381"/>
      <c r="D808" s="273"/>
      <c r="E808" s="275"/>
      <c r="F808" s="272"/>
      <c r="G808" s="255"/>
      <c r="H808" s="333"/>
      <c r="I808" s="334"/>
      <c r="J808" s="682">
        <f t="shared" si="270"/>
        <v>0</v>
      </c>
      <c r="K808" s="682">
        <f t="shared" si="262"/>
        <v>0</v>
      </c>
      <c r="L808" s="333">
        <f t="shared" si="273"/>
        <v>0</v>
      </c>
      <c r="M808" s="333">
        <f t="shared" si="269"/>
        <v>0</v>
      </c>
    </row>
    <row r="809" spans="1:13" s="256" customFormat="1" x14ac:dyDescent="0.25">
      <c r="A809" s="274"/>
      <c r="B809" s="511"/>
      <c r="C809" s="381"/>
      <c r="D809" s="273"/>
      <c r="E809" s="272"/>
      <c r="F809" s="275"/>
      <c r="G809" s="255"/>
      <c r="H809" s="333"/>
      <c r="I809" s="334"/>
      <c r="J809" s="682">
        <f t="shared" si="270"/>
        <v>0</v>
      </c>
      <c r="K809" s="682">
        <f t="shared" si="262"/>
        <v>0</v>
      </c>
      <c r="L809" s="333">
        <f t="shared" si="273"/>
        <v>0</v>
      </c>
      <c r="M809" s="333">
        <f t="shared" si="269"/>
        <v>0</v>
      </c>
    </row>
    <row r="810" spans="1:13" s="256" customFormat="1" x14ac:dyDescent="0.25">
      <c r="A810" s="274"/>
      <c r="B810" s="511"/>
      <c r="C810" s="381"/>
      <c r="D810" s="273"/>
      <c r="E810" s="272"/>
      <c r="F810" s="275"/>
      <c r="G810" s="255"/>
      <c r="H810" s="333"/>
      <c r="I810" s="334"/>
      <c r="J810" s="682">
        <f t="shared" si="270"/>
        <v>0</v>
      </c>
      <c r="K810" s="682">
        <f t="shared" si="262"/>
        <v>0</v>
      </c>
      <c r="L810" s="333">
        <f t="shared" si="273"/>
        <v>0</v>
      </c>
      <c r="M810" s="333">
        <f t="shared" si="269"/>
        <v>0</v>
      </c>
    </row>
    <row r="811" spans="1:13" s="256" customFormat="1" x14ac:dyDescent="0.25">
      <c r="A811" s="274"/>
      <c r="B811" s="511"/>
      <c r="C811" s="381"/>
      <c r="D811" s="273"/>
      <c r="E811" s="272"/>
      <c r="F811" s="275"/>
      <c r="G811" s="255"/>
      <c r="H811" s="333"/>
      <c r="I811" s="334"/>
      <c r="J811" s="682">
        <f t="shared" si="270"/>
        <v>0</v>
      </c>
      <c r="K811" s="682">
        <f t="shared" si="262"/>
        <v>0</v>
      </c>
      <c r="L811" s="333">
        <f t="shared" si="273"/>
        <v>0</v>
      </c>
      <c r="M811" s="333">
        <f t="shared" si="269"/>
        <v>0</v>
      </c>
    </row>
    <row r="812" spans="1:13" s="256" customFormat="1" x14ac:dyDescent="0.25">
      <c r="A812" s="274"/>
      <c r="B812" s="511"/>
      <c r="C812" s="381"/>
      <c r="D812" s="273"/>
      <c r="E812" s="272"/>
      <c r="F812" s="275"/>
      <c r="G812" s="255"/>
      <c r="H812" s="333"/>
      <c r="I812" s="334"/>
      <c r="J812" s="682">
        <f t="shared" si="270"/>
        <v>0</v>
      </c>
      <c r="K812" s="682">
        <f t="shared" si="262"/>
        <v>0</v>
      </c>
      <c r="L812" s="333">
        <f t="shared" si="273"/>
        <v>0</v>
      </c>
      <c r="M812" s="333">
        <f t="shared" si="269"/>
        <v>0</v>
      </c>
    </row>
    <row r="813" spans="1:13" ht="18" x14ac:dyDescent="0.25">
      <c r="A813" s="513" t="s">
        <v>38</v>
      </c>
      <c r="B813" s="512"/>
      <c r="C813" s="515"/>
      <c r="D813" s="514"/>
      <c r="E813" s="519"/>
      <c r="F813" s="519"/>
      <c r="G813" s="516"/>
      <c r="H813" s="413">
        <f>SUM(H749:H812)</f>
        <v>0</v>
      </c>
      <c r="I813" s="412"/>
      <c r="J813" s="683">
        <f>SUM(J749:J812)</f>
        <v>0</v>
      </c>
      <c r="K813" s="683">
        <f>SUM(K749:K812)</f>
        <v>0</v>
      </c>
      <c r="L813" s="414">
        <f>SUM(L749:L812)</f>
        <v>0</v>
      </c>
      <c r="M813" s="414">
        <f>SUM(M749:M812)</f>
        <v>0</v>
      </c>
    </row>
    <row r="814" spans="1:13" x14ac:dyDescent="0.25">
      <c r="G814" s="253"/>
      <c r="J814" s="684"/>
      <c r="K814" s="684"/>
      <c r="L814" s="331"/>
      <c r="M814" s="331"/>
    </row>
    <row r="815" spans="1:13" ht="25.5" x14ac:dyDescent="0.25">
      <c r="A815" s="520" t="s">
        <v>219</v>
      </c>
      <c r="B815" s="416"/>
      <c r="C815" s="517"/>
      <c r="E815" s="521">
        <f>L64+L135+L197+L248+L307+L371+L455+L535+L615+L694+L747+L813</f>
        <v>14673245086.188608</v>
      </c>
      <c r="F815" s="517"/>
      <c r="G815" s="517"/>
    </row>
  </sheetData>
  <sortState ref="A309:M369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1811023622047245" right="0.11811023622047245" top="0.31496062992125984" bottom="0.31496062992125984" header="0.23622047244094491" footer="0.23622047244094491"/>
  <pageSetup paperSize="14" scale="8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2"/>
  <sheetViews>
    <sheetView tabSelected="1" zoomScale="85" zoomScaleNormal="85" workbookViewId="0">
      <pane ySplit="4" topLeftCell="A1767" activePane="bottomLeft" state="frozen"/>
      <selection pane="bottomLeft" activeCell="K1772" sqref="K1772"/>
    </sheetView>
  </sheetViews>
  <sheetFormatPr defaultRowHeight="14.25" x14ac:dyDescent="0.2"/>
  <cols>
    <col min="1" max="1" width="5" style="316" bestFit="1" customWidth="1"/>
    <col min="2" max="2" width="14.85546875" style="425" bestFit="1" customWidth="1"/>
    <col min="3" max="3" width="19" style="320" bestFit="1" customWidth="1"/>
    <col min="4" max="4" width="21.7109375" style="417" customWidth="1"/>
    <col min="5" max="5" width="45.7109375" style="244" customWidth="1"/>
    <col min="6" max="6" width="17.7109375" style="41" customWidth="1"/>
    <col min="7" max="7" width="23.140625" style="758" bestFit="1" customWidth="1"/>
    <col min="8" max="8" width="13.42578125" style="341" bestFit="1" customWidth="1"/>
    <col min="9" max="9" width="18.85546875" style="327" bestFit="1" customWidth="1"/>
    <col min="10" max="10" width="16.7109375" style="327" customWidth="1"/>
    <col min="11" max="11" width="20.7109375" style="427" customWidth="1"/>
    <col min="12" max="12" width="19.5703125" style="297" bestFit="1" customWidth="1"/>
    <col min="13" max="16384" width="9.140625" style="41"/>
  </cols>
  <sheetData>
    <row r="1" spans="1:12" ht="18" customHeight="1" x14ac:dyDescent="0.25">
      <c r="B1" s="338" t="s">
        <v>594</v>
      </c>
      <c r="C1" s="318"/>
      <c r="D1" s="418"/>
      <c r="E1" s="269"/>
      <c r="F1" s="269"/>
      <c r="G1" s="418"/>
      <c r="I1" s="325"/>
      <c r="J1" s="325"/>
      <c r="K1" s="426"/>
      <c r="L1" s="294"/>
    </row>
    <row r="2" spans="1:12" ht="20.25" x14ac:dyDescent="0.3">
      <c r="B2" s="339" t="s">
        <v>301</v>
      </c>
      <c r="C2" s="318"/>
      <c r="D2" s="418"/>
      <c r="E2" s="269"/>
      <c r="F2" s="269"/>
      <c r="G2" s="418"/>
      <c r="I2" s="325"/>
      <c r="J2" s="325"/>
      <c r="K2" s="426"/>
      <c r="L2" s="295"/>
    </row>
    <row r="3" spans="1:12" s="271" customFormat="1" ht="16.5" thickBot="1" x14ac:dyDescent="0.3">
      <c r="A3" s="317"/>
      <c r="B3" s="340" t="s">
        <v>387</v>
      </c>
      <c r="C3" s="319"/>
      <c r="D3" s="419"/>
      <c r="E3" s="270"/>
      <c r="F3" s="270"/>
      <c r="G3" s="419"/>
      <c r="I3" s="326"/>
      <c r="J3" s="326"/>
      <c r="K3" s="426"/>
      <c r="L3" s="296"/>
    </row>
    <row r="4" spans="1:12" s="212" customFormat="1" ht="28.5" x14ac:dyDescent="0.2">
      <c r="A4" s="316"/>
      <c r="B4" s="522" t="s">
        <v>167</v>
      </c>
      <c r="C4" s="523" t="s">
        <v>302</v>
      </c>
      <c r="D4" s="524" t="s">
        <v>174</v>
      </c>
      <c r="E4" s="524" t="s">
        <v>173</v>
      </c>
      <c r="F4" s="524" t="s">
        <v>175</v>
      </c>
      <c r="G4" s="524" t="s">
        <v>110</v>
      </c>
      <c r="H4" s="525" t="s">
        <v>406</v>
      </c>
      <c r="I4" s="526" t="s">
        <v>111</v>
      </c>
      <c r="J4" s="526" t="s">
        <v>69</v>
      </c>
      <c r="K4" s="523" t="s">
        <v>38</v>
      </c>
      <c r="L4" s="527" t="s">
        <v>92</v>
      </c>
    </row>
    <row r="5" spans="1:12" s="245" customFormat="1" ht="20.25" x14ac:dyDescent="0.3">
      <c r="A5" s="316"/>
      <c r="B5" s="646" t="s">
        <v>98</v>
      </c>
      <c r="C5" s="589"/>
      <c r="D5" s="590"/>
      <c r="E5" s="590"/>
      <c r="F5" s="590"/>
      <c r="G5" s="590"/>
      <c r="H5" s="647"/>
      <c r="I5" s="648"/>
      <c r="J5" s="648"/>
      <c r="K5" s="649"/>
      <c r="L5" s="650"/>
    </row>
    <row r="6" spans="1:12" s="666" customFormat="1" x14ac:dyDescent="0.2">
      <c r="A6" s="663">
        <v>1</v>
      </c>
      <c r="B6" s="625" t="s">
        <v>428</v>
      </c>
      <c r="C6" s="626" t="s">
        <v>427</v>
      </c>
      <c r="D6" s="627" t="s">
        <v>424</v>
      </c>
      <c r="E6" s="644" t="s">
        <v>425</v>
      </c>
      <c r="F6" s="645" t="s">
        <v>426</v>
      </c>
      <c r="G6" s="664" t="s">
        <v>674</v>
      </c>
      <c r="H6" s="665">
        <v>44578</v>
      </c>
      <c r="I6" s="628">
        <f t="shared" ref="I6:I43" si="0">K6/1.1</f>
        <v>4029136.3636363633</v>
      </c>
      <c r="J6" s="628">
        <f t="shared" ref="J6:J43" si="1">I6*10%</f>
        <v>402913.63636363635</v>
      </c>
      <c r="K6" s="629">
        <v>4432050</v>
      </c>
      <c r="L6" s="772"/>
    </row>
    <row r="7" spans="1:12" s="666" customFormat="1" x14ac:dyDescent="0.2">
      <c r="A7" s="663">
        <v>2</v>
      </c>
      <c r="B7" s="591" t="s">
        <v>429</v>
      </c>
      <c r="C7" s="592" t="s">
        <v>578</v>
      </c>
      <c r="D7" s="586" t="s">
        <v>580</v>
      </c>
      <c r="E7" s="587" t="s">
        <v>595</v>
      </c>
      <c r="F7" s="588" t="s">
        <v>579</v>
      </c>
      <c r="G7" s="664" t="s">
        <v>675</v>
      </c>
      <c r="H7" s="665">
        <v>44578</v>
      </c>
      <c r="I7" s="595">
        <f t="shared" si="0"/>
        <v>9908181.8181818165</v>
      </c>
      <c r="J7" s="595">
        <f t="shared" si="1"/>
        <v>990818.18181818165</v>
      </c>
      <c r="K7" s="596">
        <v>10899000</v>
      </c>
      <c r="L7" s="597"/>
    </row>
    <row r="8" spans="1:12" s="666" customFormat="1" x14ac:dyDescent="0.2">
      <c r="A8" s="663">
        <v>3</v>
      </c>
      <c r="B8" s="591" t="s">
        <v>430</v>
      </c>
      <c r="C8" s="598" t="s">
        <v>655</v>
      </c>
      <c r="D8" s="586" t="s">
        <v>581</v>
      </c>
      <c r="E8" s="593" t="s">
        <v>596</v>
      </c>
      <c r="F8" s="593" t="s">
        <v>579</v>
      </c>
      <c r="G8" s="664" t="s">
        <v>676</v>
      </c>
      <c r="H8" s="665">
        <v>44578</v>
      </c>
      <c r="I8" s="595">
        <f t="shared" si="0"/>
        <v>5617352.7272727266</v>
      </c>
      <c r="J8" s="595">
        <f t="shared" si="1"/>
        <v>561735.27272727271</v>
      </c>
      <c r="K8" s="596">
        <v>6179088</v>
      </c>
      <c r="L8" s="597"/>
    </row>
    <row r="9" spans="1:12" s="666" customFormat="1" x14ac:dyDescent="0.2">
      <c r="A9" s="663">
        <v>4</v>
      </c>
      <c r="B9" s="591" t="s">
        <v>431</v>
      </c>
      <c r="C9" s="598" t="s">
        <v>585</v>
      </c>
      <c r="D9" s="586" t="s">
        <v>584</v>
      </c>
      <c r="E9" s="587" t="s">
        <v>582</v>
      </c>
      <c r="F9" s="588" t="s">
        <v>583</v>
      </c>
      <c r="G9" s="664" t="s">
        <v>677</v>
      </c>
      <c r="H9" s="665">
        <v>44578</v>
      </c>
      <c r="I9" s="595">
        <f t="shared" si="0"/>
        <v>699545.45454545447</v>
      </c>
      <c r="J9" s="595">
        <f t="shared" si="1"/>
        <v>69954.545454545456</v>
      </c>
      <c r="K9" s="596">
        <v>769500</v>
      </c>
      <c r="L9" s="597"/>
    </row>
    <row r="10" spans="1:12" s="666" customFormat="1" x14ac:dyDescent="0.2">
      <c r="A10" s="663">
        <v>5</v>
      </c>
      <c r="B10" s="591" t="s">
        <v>432</v>
      </c>
      <c r="C10" s="598" t="s">
        <v>586</v>
      </c>
      <c r="D10" s="627" t="s">
        <v>424</v>
      </c>
      <c r="E10" s="644" t="s">
        <v>425</v>
      </c>
      <c r="F10" s="645" t="s">
        <v>426</v>
      </c>
      <c r="G10" s="664" t="s">
        <v>678</v>
      </c>
      <c r="H10" s="665">
        <v>44578</v>
      </c>
      <c r="I10" s="595">
        <f t="shared" si="0"/>
        <v>11110909.09090909</v>
      </c>
      <c r="J10" s="595">
        <f t="shared" si="1"/>
        <v>1111090.9090909089</v>
      </c>
      <c r="K10" s="596">
        <v>12222000</v>
      </c>
      <c r="L10" s="597"/>
    </row>
    <row r="11" spans="1:12" s="666" customFormat="1" x14ac:dyDescent="0.2">
      <c r="A11" s="663">
        <v>6</v>
      </c>
      <c r="B11" s="591" t="s">
        <v>433</v>
      </c>
      <c r="C11" s="598" t="s">
        <v>589</v>
      </c>
      <c r="D11" s="586" t="s">
        <v>588</v>
      </c>
      <c r="E11" s="587" t="s">
        <v>597</v>
      </c>
      <c r="F11" s="588" t="s">
        <v>587</v>
      </c>
      <c r="G11" s="664" t="s">
        <v>679</v>
      </c>
      <c r="H11" s="665">
        <v>44578</v>
      </c>
      <c r="I11" s="595">
        <f t="shared" si="0"/>
        <v>2583188.1818181816</v>
      </c>
      <c r="J11" s="595">
        <f t="shared" si="1"/>
        <v>258318.81818181818</v>
      </c>
      <c r="K11" s="596">
        <v>2841507</v>
      </c>
      <c r="L11" s="597"/>
    </row>
    <row r="12" spans="1:12" s="666" customFormat="1" x14ac:dyDescent="0.2">
      <c r="A12" s="663">
        <v>7</v>
      </c>
      <c r="B12" s="591" t="s">
        <v>434</v>
      </c>
      <c r="C12" s="598" t="s">
        <v>592</v>
      </c>
      <c r="D12" s="652" t="s">
        <v>591</v>
      </c>
      <c r="E12" s="587" t="s">
        <v>777</v>
      </c>
      <c r="F12" s="651" t="s">
        <v>590</v>
      </c>
      <c r="G12" s="664" t="s">
        <v>680</v>
      </c>
      <c r="H12" s="665">
        <v>44578</v>
      </c>
      <c r="I12" s="595">
        <f t="shared" si="0"/>
        <v>1503218.1818181816</v>
      </c>
      <c r="J12" s="595">
        <f t="shared" si="1"/>
        <v>150321.81818181818</v>
      </c>
      <c r="K12" s="596">
        <v>1653540</v>
      </c>
      <c r="L12" s="597"/>
    </row>
    <row r="13" spans="1:12" s="666" customFormat="1" x14ac:dyDescent="0.2">
      <c r="A13" s="663">
        <v>8</v>
      </c>
      <c r="B13" s="591" t="s">
        <v>435</v>
      </c>
      <c r="C13" s="598" t="s">
        <v>593</v>
      </c>
      <c r="D13" s="627" t="s">
        <v>424</v>
      </c>
      <c r="E13" s="644" t="s">
        <v>425</v>
      </c>
      <c r="F13" s="645" t="s">
        <v>426</v>
      </c>
      <c r="G13" s="664" t="s">
        <v>681</v>
      </c>
      <c r="H13" s="665">
        <v>44578</v>
      </c>
      <c r="I13" s="595">
        <f t="shared" si="0"/>
        <v>1644204.5454545454</v>
      </c>
      <c r="J13" s="595">
        <f t="shared" si="1"/>
        <v>164420.45454545456</v>
      </c>
      <c r="K13" s="596">
        <v>1808625</v>
      </c>
      <c r="L13" s="597"/>
    </row>
    <row r="14" spans="1:12" s="666" customFormat="1" x14ac:dyDescent="0.2">
      <c r="A14" s="663">
        <v>9</v>
      </c>
      <c r="B14" s="591" t="s">
        <v>436</v>
      </c>
      <c r="C14" s="598" t="s">
        <v>601</v>
      </c>
      <c r="D14" s="586" t="s">
        <v>600</v>
      </c>
      <c r="E14" s="593" t="s">
        <v>598</v>
      </c>
      <c r="F14" s="593" t="s">
        <v>599</v>
      </c>
      <c r="G14" s="664" t="s">
        <v>682</v>
      </c>
      <c r="H14" s="665">
        <v>44578</v>
      </c>
      <c r="I14" s="595">
        <f t="shared" si="0"/>
        <v>21927272.727272727</v>
      </c>
      <c r="J14" s="595">
        <f t="shared" si="1"/>
        <v>2192727.2727272729</v>
      </c>
      <c r="K14" s="596">
        <v>24120000</v>
      </c>
      <c r="L14" s="597"/>
    </row>
    <row r="15" spans="1:12" s="666" customFormat="1" ht="14.25" customHeight="1" x14ac:dyDescent="0.2">
      <c r="A15" s="663">
        <v>10</v>
      </c>
      <c r="B15" s="591" t="s">
        <v>437</v>
      </c>
      <c r="C15" s="598" t="s">
        <v>604</v>
      </c>
      <c r="D15" s="586" t="s">
        <v>603</v>
      </c>
      <c r="E15" s="587" t="s">
        <v>608</v>
      </c>
      <c r="F15" s="588" t="s">
        <v>602</v>
      </c>
      <c r="G15" s="664" t="s">
        <v>683</v>
      </c>
      <c r="H15" s="665">
        <v>44578</v>
      </c>
      <c r="I15" s="595">
        <f t="shared" si="0"/>
        <v>10963636.363636363</v>
      </c>
      <c r="J15" s="595">
        <f t="shared" si="1"/>
        <v>1096363.6363636365</v>
      </c>
      <c r="K15" s="596">
        <v>12060000</v>
      </c>
      <c r="L15" s="597"/>
    </row>
    <row r="16" spans="1:12" s="666" customFormat="1" ht="14.25" customHeight="1" x14ac:dyDescent="0.2">
      <c r="A16" s="663">
        <v>11</v>
      </c>
      <c r="B16" s="591" t="s">
        <v>438</v>
      </c>
      <c r="C16" s="598" t="s">
        <v>609</v>
      </c>
      <c r="D16" s="586" t="s">
        <v>607</v>
      </c>
      <c r="E16" s="587" t="s">
        <v>605</v>
      </c>
      <c r="F16" s="588" t="s">
        <v>606</v>
      </c>
      <c r="G16" s="664" t="s">
        <v>684</v>
      </c>
      <c r="H16" s="665">
        <v>44578</v>
      </c>
      <c r="I16" s="595">
        <f t="shared" si="0"/>
        <v>2680363.6363636362</v>
      </c>
      <c r="J16" s="595">
        <f t="shared" si="1"/>
        <v>268036.36363636365</v>
      </c>
      <c r="K16" s="596">
        <v>2948400</v>
      </c>
      <c r="L16" s="597"/>
    </row>
    <row r="17" spans="1:12" s="666" customFormat="1" x14ac:dyDescent="0.2">
      <c r="A17" s="663">
        <v>12</v>
      </c>
      <c r="B17" s="591" t="s">
        <v>439</v>
      </c>
      <c r="C17" s="598" t="s">
        <v>610</v>
      </c>
      <c r="D17" s="627" t="s">
        <v>424</v>
      </c>
      <c r="E17" s="644" t="s">
        <v>425</v>
      </c>
      <c r="F17" s="645" t="s">
        <v>426</v>
      </c>
      <c r="G17" s="664" t="s">
        <v>685</v>
      </c>
      <c r="H17" s="665">
        <v>44578</v>
      </c>
      <c r="I17" s="595">
        <f t="shared" si="0"/>
        <v>29309318.18181818</v>
      </c>
      <c r="J17" s="595">
        <f t="shared" si="1"/>
        <v>2930931.8181818184</v>
      </c>
      <c r="K17" s="596">
        <v>32240250</v>
      </c>
      <c r="L17" s="597"/>
    </row>
    <row r="18" spans="1:12" s="666" customFormat="1" ht="14.25" customHeight="1" x14ac:dyDescent="0.2">
      <c r="A18" s="663">
        <v>13</v>
      </c>
      <c r="B18" s="591" t="s">
        <v>440</v>
      </c>
      <c r="C18" s="598" t="s">
        <v>611</v>
      </c>
      <c r="D18" s="586" t="s">
        <v>580</v>
      </c>
      <c r="E18" s="587" t="s">
        <v>595</v>
      </c>
      <c r="F18" s="588" t="s">
        <v>579</v>
      </c>
      <c r="G18" s="664" t="s">
        <v>686</v>
      </c>
      <c r="H18" s="665">
        <v>44578</v>
      </c>
      <c r="I18" s="595">
        <f t="shared" si="0"/>
        <v>8040882.7272727266</v>
      </c>
      <c r="J18" s="595">
        <f t="shared" si="1"/>
        <v>804088.27272727271</v>
      </c>
      <c r="K18" s="596">
        <v>8844971</v>
      </c>
      <c r="L18" s="597"/>
    </row>
    <row r="19" spans="1:12" s="666" customFormat="1" ht="14.25" customHeight="1" x14ac:dyDescent="0.2">
      <c r="A19" s="663">
        <v>14</v>
      </c>
      <c r="B19" s="591" t="s">
        <v>441</v>
      </c>
      <c r="C19" s="598" t="s">
        <v>612</v>
      </c>
      <c r="D19" s="586" t="s">
        <v>580</v>
      </c>
      <c r="E19" s="587" t="s">
        <v>595</v>
      </c>
      <c r="F19" s="588" t="s">
        <v>579</v>
      </c>
      <c r="G19" s="664" t="s">
        <v>687</v>
      </c>
      <c r="H19" s="665">
        <v>44578</v>
      </c>
      <c r="I19" s="595">
        <f t="shared" si="0"/>
        <v>13543069.09090909</v>
      </c>
      <c r="J19" s="595">
        <f t="shared" si="1"/>
        <v>1354306.9090909092</v>
      </c>
      <c r="K19" s="596">
        <v>14897376</v>
      </c>
      <c r="L19" s="597"/>
    </row>
    <row r="20" spans="1:12" s="666" customFormat="1" x14ac:dyDescent="0.2">
      <c r="A20" s="663">
        <v>15</v>
      </c>
      <c r="B20" s="591" t="s">
        <v>442</v>
      </c>
      <c r="C20" s="598" t="s">
        <v>613</v>
      </c>
      <c r="D20" s="586" t="s">
        <v>581</v>
      </c>
      <c r="E20" s="593" t="s">
        <v>596</v>
      </c>
      <c r="F20" s="593" t="s">
        <v>579</v>
      </c>
      <c r="G20" s="664" t="s">
        <v>688</v>
      </c>
      <c r="H20" s="665">
        <v>44578</v>
      </c>
      <c r="I20" s="595">
        <f t="shared" si="0"/>
        <v>1330625.4545454544</v>
      </c>
      <c r="J20" s="595">
        <f t="shared" si="1"/>
        <v>133062.54545454544</v>
      </c>
      <c r="K20" s="596">
        <v>1463688</v>
      </c>
      <c r="L20" s="597"/>
    </row>
    <row r="21" spans="1:12" s="666" customFormat="1" x14ac:dyDescent="0.2">
      <c r="A21" s="663">
        <v>16</v>
      </c>
      <c r="B21" s="591" t="s">
        <v>443</v>
      </c>
      <c r="C21" s="598" t="s">
        <v>614</v>
      </c>
      <c r="D21" s="586" t="s">
        <v>607</v>
      </c>
      <c r="E21" s="587" t="s">
        <v>605</v>
      </c>
      <c r="F21" s="588" t="s">
        <v>606</v>
      </c>
      <c r="G21" s="664" t="s">
        <v>689</v>
      </c>
      <c r="H21" s="665">
        <v>44578</v>
      </c>
      <c r="I21" s="595">
        <f t="shared" si="0"/>
        <v>2474181.8181818179</v>
      </c>
      <c r="J21" s="595">
        <f t="shared" si="1"/>
        <v>247418.18181818179</v>
      </c>
      <c r="K21" s="596">
        <v>2721600</v>
      </c>
      <c r="L21" s="597"/>
    </row>
    <row r="22" spans="1:12" s="666" customFormat="1" x14ac:dyDescent="0.2">
      <c r="A22" s="663">
        <v>17</v>
      </c>
      <c r="B22" s="591" t="s">
        <v>444</v>
      </c>
      <c r="C22" s="598" t="s">
        <v>615</v>
      </c>
      <c r="D22" s="627" t="s">
        <v>424</v>
      </c>
      <c r="E22" s="644" t="s">
        <v>425</v>
      </c>
      <c r="F22" s="645" t="s">
        <v>426</v>
      </c>
      <c r="G22" s="664" t="s">
        <v>690</v>
      </c>
      <c r="H22" s="665">
        <v>44578</v>
      </c>
      <c r="I22" s="595">
        <f t="shared" si="0"/>
        <v>25783863.636363633</v>
      </c>
      <c r="J22" s="595">
        <f t="shared" si="1"/>
        <v>2578386.3636363633</v>
      </c>
      <c r="K22" s="596">
        <v>28362250</v>
      </c>
      <c r="L22" s="597"/>
    </row>
    <row r="23" spans="1:12" s="666" customFormat="1" x14ac:dyDescent="0.2">
      <c r="A23" s="663">
        <v>18</v>
      </c>
      <c r="B23" s="591" t="s">
        <v>445</v>
      </c>
      <c r="C23" s="598" t="s">
        <v>618</v>
      </c>
      <c r="D23" s="586" t="s">
        <v>617</v>
      </c>
      <c r="E23" s="587" t="s">
        <v>616</v>
      </c>
      <c r="F23" s="588" t="s">
        <v>579</v>
      </c>
      <c r="G23" s="664" t="s">
        <v>691</v>
      </c>
      <c r="H23" s="665">
        <v>44578</v>
      </c>
      <c r="I23" s="595">
        <f t="shared" si="0"/>
        <v>515454.54545454541</v>
      </c>
      <c r="J23" s="595">
        <f t="shared" si="1"/>
        <v>51545.454545454544</v>
      </c>
      <c r="K23" s="596">
        <v>567000</v>
      </c>
      <c r="L23" s="597"/>
    </row>
    <row r="24" spans="1:12" s="666" customFormat="1" x14ac:dyDescent="0.2">
      <c r="A24" s="663">
        <v>19</v>
      </c>
      <c r="B24" s="591" t="s">
        <v>446</v>
      </c>
      <c r="C24" s="598" t="s">
        <v>622</v>
      </c>
      <c r="D24" s="586" t="s">
        <v>621</v>
      </c>
      <c r="E24" s="587" t="s">
        <v>619</v>
      </c>
      <c r="F24" s="588" t="s">
        <v>620</v>
      </c>
      <c r="G24" s="664" t="s">
        <v>692</v>
      </c>
      <c r="H24" s="599">
        <v>44578</v>
      </c>
      <c r="I24" s="595">
        <f t="shared" si="0"/>
        <v>359345.45454545453</v>
      </c>
      <c r="J24" s="595">
        <f t="shared" si="1"/>
        <v>35934.545454545456</v>
      </c>
      <c r="K24" s="596">
        <v>395280</v>
      </c>
      <c r="L24" s="597"/>
    </row>
    <row r="25" spans="1:12" s="666" customFormat="1" x14ac:dyDescent="0.2">
      <c r="A25" s="663">
        <v>20</v>
      </c>
      <c r="B25" s="591" t="s">
        <v>447</v>
      </c>
      <c r="C25" s="598" t="s">
        <v>623</v>
      </c>
      <c r="D25" s="627" t="s">
        <v>424</v>
      </c>
      <c r="E25" s="644" t="s">
        <v>425</v>
      </c>
      <c r="F25" s="645" t="s">
        <v>426</v>
      </c>
      <c r="G25" s="664" t="s">
        <v>693</v>
      </c>
      <c r="H25" s="599">
        <v>44578</v>
      </c>
      <c r="I25" s="595">
        <f t="shared" si="0"/>
        <v>10538181.818181816</v>
      </c>
      <c r="J25" s="595">
        <f t="shared" si="1"/>
        <v>1053818.1818181816</v>
      </c>
      <c r="K25" s="596">
        <v>11592000</v>
      </c>
      <c r="L25" s="597"/>
    </row>
    <row r="26" spans="1:12" s="666" customFormat="1" x14ac:dyDescent="0.2">
      <c r="A26" s="663">
        <v>21</v>
      </c>
      <c r="B26" s="591" t="s">
        <v>448</v>
      </c>
      <c r="C26" s="598" t="s">
        <v>624</v>
      </c>
      <c r="D26" s="627" t="s">
        <v>424</v>
      </c>
      <c r="E26" s="644" t="s">
        <v>425</v>
      </c>
      <c r="F26" s="645" t="s">
        <v>426</v>
      </c>
      <c r="G26" s="664" t="s">
        <v>694</v>
      </c>
      <c r="H26" s="599">
        <v>44580</v>
      </c>
      <c r="I26" s="595">
        <f t="shared" si="0"/>
        <v>4749818.1818181816</v>
      </c>
      <c r="J26" s="595">
        <f t="shared" si="1"/>
        <v>474981.81818181818</v>
      </c>
      <c r="K26" s="596">
        <v>5224800</v>
      </c>
      <c r="L26" s="597"/>
    </row>
    <row r="27" spans="1:12" s="666" customFormat="1" x14ac:dyDescent="0.2">
      <c r="A27" s="663">
        <v>22</v>
      </c>
      <c r="B27" s="591" t="s">
        <v>449</v>
      </c>
      <c r="C27" s="598" t="s">
        <v>625</v>
      </c>
      <c r="D27" s="586" t="s">
        <v>600</v>
      </c>
      <c r="E27" s="593" t="s">
        <v>598</v>
      </c>
      <c r="F27" s="593" t="s">
        <v>599</v>
      </c>
      <c r="G27" s="664" t="s">
        <v>695</v>
      </c>
      <c r="H27" s="599">
        <v>44580</v>
      </c>
      <c r="I27" s="595">
        <f t="shared" si="0"/>
        <v>32890909.09090909</v>
      </c>
      <c r="J27" s="595">
        <f t="shared" si="1"/>
        <v>3289090.9090909092</v>
      </c>
      <c r="K27" s="596">
        <v>36180000</v>
      </c>
      <c r="L27" s="597"/>
    </row>
    <row r="28" spans="1:12" s="666" customFormat="1" x14ac:dyDescent="0.2">
      <c r="A28" s="663">
        <v>23</v>
      </c>
      <c r="B28" s="591" t="s">
        <v>450</v>
      </c>
      <c r="C28" s="598" t="s">
        <v>626</v>
      </c>
      <c r="D28" s="627" t="s">
        <v>424</v>
      </c>
      <c r="E28" s="644" t="s">
        <v>425</v>
      </c>
      <c r="F28" s="645" t="s">
        <v>426</v>
      </c>
      <c r="G28" s="664" t="s">
        <v>696</v>
      </c>
      <c r="H28" s="599">
        <v>44580</v>
      </c>
      <c r="I28" s="595">
        <f t="shared" si="0"/>
        <v>34384636.36363636</v>
      </c>
      <c r="J28" s="595">
        <f t="shared" si="1"/>
        <v>3438463.6363636362</v>
      </c>
      <c r="K28" s="596">
        <v>37823100</v>
      </c>
      <c r="L28" s="597"/>
    </row>
    <row r="29" spans="1:12" s="666" customFormat="1" x14ac:dyDescent="0.2">
      <c r="A29" s="663">
        <v>24</v>
      </c>
      <c r="B29" s="591" t="s">
        <v>451</v>
      </c>
      <c r="C29" s="598" t="s">
        <v>627</v>
      </c>
      <c r="D29" s="586" t="s">
        <v>600</v>
      </c>
      <c r="E29" s="593" t="s">
        <v>598</v>
      </c>
      <c r="F29" s="593" t="s">
        <v>599</v>
      </c>
      <c r="G29" s="664" t="s">
        <v>697</v>
      </c>
      <c r="H29" s="599">
        <v>44581</v>
      </c>
      <c r="I29" s="595">
        <f t="shared" si="0"/>
        <v>1832727.2727272725</v>
      </c>
      <c r="J29" s="595">
        <f t="shared" si="1"/>
        <v>183272.72727272726</v>
      </c>
      <c r="K29" s="596">
        <v>2016000</v>
      </c>
      <c r="L29" s="597"/>
    </row>
    <row r="30" spans="1:12" s="666" customFormat="1" x14ac:dyDescent="0.2">
      <c r="A30" s="663">
        <v>25</v>
      </c>
      <c r="B30" s="591" t="s">
        <v>452</v>
      </c>
      <c r="C30" s="598" t="s">
        <v>628</v>
      </c>
      <c r="D30" s="627" t="s">
        <v>424</v>
      </c>
      <c r="E30" s="644" t="s">
        <v>425</v>
      </c>
      <c r="F30" s="645" t="s">
        <v>426</v>
      </c>
      <c r="G30" s="664" t="s">
        <v>698</v>
      </c>
      <c r="H30" s="599">
        <v>44581</v>
      </c>
      <c r="I30" s="595">
        <f t="shared" si="0"/>
        <v>5331136.3636363633</v>
      </c>
      <c r="J30" s="595">
        <f t="shared" si="1"/>
        <v>533113.63636363635</v>
      </c>
      <c r="K30" s="596">
        <v>5864250</v>
      </c>
      <c r="L30" s="597"/>
    </row>
    <row r="31" spans="1:12" s="667" customFormat="1" x14ac:dyDescent="0.2">
      <c r="A31" s="663">
        <v>26</v>
      </c>
      <c r="B31" s="591" t="s">
        <v>453</v>
      </c>
      <c r="C31" s="598" t="s">
        <v>646</v>
      </c>
      <c r="D31" s="586" t="s">
        <v>617</v>
      </c>
      <c r="E31" s="587" t="s">
        <v>616</v>
      </c>
      <c r="F31" s="588" t="s">
        <v>579</v>
      </c>
      <c r="G31" s="664" t="s">
        <v>699</v>
      </c>
      <c r="H31" s="599">
        <v>44583</v>
      </c>
      <c r="I31" s="595">
        <f t="shared" si="0"/>
        <v>670909.09090909082</v>
      </c>
      <c r="J31" s="595">
        <f t="shared" si="1"/>
        <v>67090.909090909088</v>
      </c>
      <c r="K31" s="596">
        <v>738000</v>
      </c>
      <c r="L31" s="597"/>
    </row>
    <row r="32" spans="1:12" s="667" customFormat="1" x14ac:dyDescent="0.2">
      <c r="A32" s="663">
        <v>27</v>
      </c>
      <c r="B32" s="591" t="s">
        <v>454</v>
      </c>
      <c r="C32" s="598" t="s">
        <v>651</v>
      </c>
      <c r="D32" s="586" t="s">
        <v>603</v>
      </c>
      <c r="E32" s="587" t="s">
        <v>608</v>
      </c>
      <c r="F32" s="588" t="s">
        <v>602</v>
      </c>
      <c r="G32" s="664" t="s">
        <v>700</v>
      </c>
      <c r="H32" s="599">
        <v>44585</v>
      </c>
      <c r="I32" s="595">
        <f t="shared" si="0"/>
        <v>10963636.363636363</v>
      </c>
      <c r="J32" s="595">
        <f t="shared" si="1"/>
        <v>1096363.6363636365</v>
      </c>
      <c r="K32" s="596">
        <v>12060000</v>
      </c>
      <c r="L32" s="597"/>
    </row>
    <row r="33" spans="1:12" s="667" customFormat="1" x14ac:dyDescent="0.2">
      <c r="A33" s="663">
        <v>28</v>
      </c>
      <c r="B33" s="591" t="s">
        <v>455</v>
      </c>
      <c r="C33" s="598" t="s">
        <v>652</v>
      </c>
      <c r="D33" s="586" t="s">
        <v>581</v>
      </c>
      <c r="E33" s="593" t="s">
        <v>596</v>
      </c>
      <c r="F33" s="593" t="s">
        <v>579</v>
      </c>
      <c r="G33" s="664" t="s">
        <v>701</v>
      </c>
      <c r="H33" s="599">
        <v>44586</v>
      </c>
      <c r="I33" s="595">
        <f t="shared" si="0"/>
        <v>6542874.5454545449</v>
      </c>
      <c r="J33" s="595">
        <f t="shared" si="1"/>
        <v>654287.45454545459</v>
      </c>
      <c r="K33" s="596">
        <v>7197162</v>
      </c>
      <c r="L33" s="597"/>
    </row>
    <row r="34" spans="1:12" s="667" customFormat="1" x14ac:dyDescent="0.2">
      <c r="A34" s="663">
        <v>29</v>
      </c>
      <c r="B34" s="591" t="s">
        <v>456</v>
      </c>
      <c r="C34" s="598" t="s">
        <v>656</v>
      </c>
      <c r="D34" s="627" t="s">
        <v>424</v>
      </c>
      <c r="E34" s="644" t="s">
        <v>425</v>
      </c>
      <c r="F34" s="645" t="s">
        <v>426</v>
      </c>
      <c r="G34" s="664" t="s">
        <v>702</v>
      </c>
      <c r="H34" s="599">
        <v>44587</v>
      </c>
      <c r="I34" s="595">
        <f t="shared" si="0"/>
        <v>16110818.18181818</v>
      </c>
      <c r="J34" s="595">
        <f t="shared" si="1"/>
        <v>1611081.8181818181</v>
      </c>
      <c r="K34" s="596">
        <v>17721900</v>
      </c>
      <c r="L34" s="597"/>
    </row>
    <row r="35" spans="1:12" s="667" customFormat="1" x14ac:dyDescent="0.2">
      <c r="A35" s="663">
        <v>30</v>
      </c>
      <c r="B35" s="591" t="s">
        <v>457</v>
      </c>
      <c r="C35" s="598" t="s">
        <v>657</v>
      </c>
      <c r="D35" s="586" t="s">
        <v>580</v>
      </c>
      <c r="E35" s="587" t="s">
        <v>595</v>
      </c>
      <c r="F35" s="588" t="s">
        <v>579</v>
      </c>
      <c r="G35" s="664" t="s">
        <v>703</v>
      </c>
      <c r="H35" s="599">
        <v>44587</v>
      </c>
      <c r="I35" s="595">
        <f t="shared" si="0"/>
        <v>9623203.6363636348</v>
      </c>
      <c r="J35" s="595">
        <f t="shared" si="1"/>
        <v>962320.36363636353</v>
      </c>
      <c r="K35" s="596">
        <v>10585524</v>
      </c>
      <c r="L35" s="597"/>
    </row>
    <row r="36" spans="1:12" s="667" customFormat="1" x14ac:dyDescent="0.2">
      <c r="A36" s="663">
        <v>31</v>
      </c>
      <c r="B36" s="591" t="s">
        <v>458</v>
      </c>
      <c r="C36" s="598" t="s">
        <v>664</v>
      </c>
      <c r="D36" s="586" t="s">
        <v>580</v>
      </c>
      <c r="E36" s="587" t="s">
        <v>595</v>
      </c>
      <c r="F36" s="588" t="s">
        <v>579</v>
      </c>
      <c r="G36" s="664" t="s">
        <v>704</v>
      </c>
      <c r="H36" s="599">
        <v>44588</v>
      </c>
      <c r="I36" s="595">
        <f t="shared" si="0"/>
        <v>17266658.18181818</v>
      </c>
      <c r="J36" s="595">
        <f t="shared" si="1"/>
        <v>1726665.8181818181</v>
      </c>
      <c r="K36" s="596">
        <v>18993324</v>
      </c>
      <c r="L36" s="597"/>
    </row>
    <row r="37" spans="1:12" s="667" customFormat="1" x14ac:dyDescent="0.2">
      <c r="A37" s="663">
        <v>32</v>
      </c>
      <c r="B37" s="591" t="s">
        <v>459</v>
      </c>
      <c r="C37" s="598" t="s">
        <v>665</v>
      </c>
      <c r="D37" s="586" t="s">
        <v>581</v>
      </c>
      <c r="E37" s="593" t="s">
        <v>596</v>
      </c>
      <c r="F37" s="593" t="s">
        <v>579</v>
      </c>
      <c r="G37" s="664" t="s">
        <v>705</v>
      </c>
      <c r="H37" s="599">
        <v>44588</v>
      </c>
      <c r="I37" s="595">
        <f t="shared" si="0"/>
        <v>15550775.454545453</v>
      </c>
      <c r="J37" s="595">
        <f t="shared" si="1"/>
        <v>1555077.5454545454</v>
      </c>
      <c r="K37" s="596">
        <v>17105853</v>
      </c>
      <c r="L37" s="597"/>
    </row>
    <row r="38" spans="1:12" s="667" customFormat="1" x14ac:dyDescent="0.2">
      <c r="A38" s="663">
        <v>33</v>
      </c>
      <c r="B38" s="591" t="s">
        <v>460</v>
      </c>
      <c r="C38" s="598" t="s">
        <v>666</v>
      </c>
      <c r="D38" s="586" t="s">
        <v>617</v>
      </c>
      <c r="E38" s="587" t="s">
        <v>616</v>
      </c>
      <c r="F38" s="588" t="s">
        <v>579</v>
      </c>
      <c r="G38" s="664" t="s">
        <v>706</v>
      </c>
      <c r="H38" s="599">
        <v>44588</v>
      </c>
      <c r="I38" s="595">
        <f t="shared" si="0"/>
        <v>3690654.5454545449</v>
      </c>
      <c r="J38" s="595">
        <f t="shared" si="1"/>
        <v>369065.45454545453</v>
      </c>
      <c r="K38" s="596">
        <v>4059720</v>
      </c>
      <c r="L38" s="600"/>
    </row>
    <row r="39" spans="1:12" s="667" customFormat="1" x14ac:dyDescent="0.2">
      <c r="A39" s="663">
        <v>34</v>
      </c>
      <c r="B39" s="591" t="s">
        <v>461</v>
      </c>
      <c r="C39" s="598" t="s">
        <v>667</v>
      </c>
      <c r="D39" s="586" t="s">
        <v>607</v>
      </c>
      <c r="E39" s="587" t="s">
        <v>605</v>
      </c>
      <c r="F39" s="588" t="s">
        <v>606</v>
      </c>
      <c r="G39" s="664" t="s">
        <v>707</v>
      </c>
      <c r="H39" s="599">
        <v>44589</v>
      </c>
      <c r="I39" s="595">
        <f t="shared" si="0"/>
        <v>2886545.4545454541</v>
      </c>
      <c r="J39" s="595">
        <f t="shared" si="1"/>
        <v>288654.54545454541</v>
      </c>
      <c r="K39" s="596">
        <v>3175200</v>
      </c>
      <c r="L39" s="597"/>
    </row>
    <row r="40" spans="1:12" s="667" customFormat="1" x14ac:dyDescent="0.2">
      <c r="A40" s="663">
        <v>35</v>
      </c>
      <c r="B40" s="591" t="s">
        <v>462</v>
      </c>
      <c r="C40" s="598" t="s">
        <v>668</v>
      </c>
      <c r="D40" s="586" t="s">
        <v>581</v>
      </c>
      <c r="E40" s="593" t="s">
        <v>596</v>
      </c>
      <c r="F40" s="593" t="s">
        <v>579</v>
      </c>
      <c r="G40" s="664" t="s">
        <v>708</v>
      </c>
      <c r="H40" s="599">
        <v>44589</v>
      </c>
      <c r="I40" s="595">
        <f t="shared" si="0"/>
        <v>1708363.6363636362</v>
      </c>
      <c r="J40" s="595">
        <f t="shared" si="1"/>
        <v>170836.36363636365</v>
      </c>
      <c r="K40" s="596">
        <v>1879200</v>
      </c>
      <c r="L40" s="597"/>
    </row>
    <row r="41" spans="1:12" s="667" customFormat="1" x14ac:dyDescent="0.2">
      <c r="A41" s="663">
        <v>36</v>
      </c>
      <c r="B41" s="591" t="s">
        <v>463</v>
      </c>
      <c r="C41" s="598" t="s">
        <v>669</v>
      </c>
      <c r="D41" s="586" t="s">
        <v>580</v>
      </c>
      <c r="E41" s="587" t="s">
        <v>595</v>
      </c>
      <c r="F41" s="588" t="s">
        <v>579</v>
      </c>
      <c r="G41" s="664" t="s">
        <v>709</v>
      </c>
      <c r="H41" s="599">
        <v>44589</v>
      </c>
      <c r="I41" s="595">
        <f t="shared" si="0"/>
        <v>1868399.9999999998</v>
      </c>
      <c r="J41" s="595">
        <f t="shared" si="1"/>
        <v>186840</v>
      </c>
      <c r="K41" s="596">
        <v>2055240</v>
      </c>
      <c r="L41" s="597"/>
    </row>
    <row r="42" spans="1:12" s="667" customFormat="1" x14ac:dyDescent="0.2">
      <c r="A42" s="663">
        <v>37</v>
      </c>
      <c r="B42" s="591" t="s">
        <v>464</v>
      </c>
      <c r="C42" s="598" t="s">
        <v>670</v>
      </c>
      <c r="D42" s="586" t="s">
        <v>671</v>
      </c>
      <c r="E42" s="587" t="s">
        <v>672</v>
      </c>
      <c r="F42" s="588" t="s">
        <v>673</v>
      </c>
      <c r="G42" s="664" t="s">
        <v>710</v>
      </c>
      <c r="H42" s="599">
        <v>44589</v>
      </c>
      <c r="I42" s="595">
        <f t="shared" si="0"/>
        <v>139909.09090909091</v>
      </c>
      <c r="J42" s="595">
        <f t="shared" si="1"/>
        <v>13990.909090909092</v>
      </c>
      <c r="K42" s="596">
        <v>153900</v>
      </c>
      <c r="L42" s="597"/>
    </row>
    <row r="43" spans="1:12" s="667" customFormat="1" x14ac:dyDescent="0.2">
      <c r="A43" s="663">
        <v>38</v>
      </c>
      <c r="B43" s="591" t="s">
        <v>466</v>
      </c>
      <c r="C43" s="598" t="s">
        <v>723</v>
      </c>
      <c r="D43" s="586" t="s">
        <v>581</v>
      </c>
      <c r="E43" s="593" t="s">
        <v>596</v>
      </c>
      <c r="F43" s="593" t="s">
        <v>579</v>
      </c>
      <c r="G43" s="664" t="s">
        <v>721</v>
      </c>
      <c r="H43" s="599">
        <v>44592</v>
      </c>
      <c r="I43" s="595">
        <f t="shared" si="0"/>
        <v>7887973.6363636358</v>
      </c>
      <c r="J43" s="595">
        <f t="shared" si="1"/>
        <v>788797.36363636365</v>
      </c>
      <c r="K43" s="596">
        <v>8676771</v>
      </c>
      <c r="L43" s="597"/>
    </row>
    <row r="44" spans="1:12" s="667" customFormat="1" x14ac:dyDescent="0.2">
      <c r="A44" s="663">
        <v>39</v>
      </c>
      <c r="B44" s="591" t="s">
        <v>467</v>
      </c>
      <c r="C44" s="598" t="s">
        <v>725</v>
      </c>
      <c r="D44" s="586" t="s">
        <v>580</v>
      </c>
      <c r="E44" s="587" t="s">
        <v>595</v>
      </c>
      <c r="F44" s="588" t="s">
        <v>579</v>
      </c>
      <c r="G44" s="664" t="s">
        <v>724</v>
      </c>
      <c r="H44" s="599">
        <v>44592</v>
      </c>
      <c r="I44" s="595">
        <f t="shared" ref="I44:I69" si="2">K44/1.1</f>
        <v>6692269.0909090908</v>
      </c>
      <c r="J44" s="595">
        <f t="shared" ref="J44:J69" si="3">I44*10%</f>
        <v>669226.90909090918</v>
      </c>
      <c r="K44" s="596">
        <v>7361496</v>
      </c>
      <c r="L44" s="597"/>
    </row>
    <row r="45" spans="1:12" s="667" customFormat="1" x14ac:dyDescent="0.2">
      <c r="A45" s="663">
        <v>40</v>
      </c>
      <c r="B45" s="591" t="s">
        <v>468</v>
      </c>
      <c r="C45" s="598" t="s">
        <v>737</v>
      </c>
      <c r="D45" s="627" t="s">
        <v>424</v>
      </c>
      <c r="E45" s="644" t="s">
        <v>425</v>
      </c>
      <c r="F45" s="645" t="s">
        <v>426</v>
      </c>
      <c r="G45" s="664" t="s">
        <v>726</v>
      </c>
      <c r="H45" s="599">
        <v>44592</v>
      </c>
      <c r="I45" s="595">
        <f t="shared" si="2"/>
        <v>51081545.454545453</v>
      </c>
      <c r="J45" s="595">
        <f t="shared" si="3"/>
        <v>5108154.5454545459</v>
      </c>
      <c r="K45" s="596">
        <v>56189700</v>
      </c>
      <c r="L45" s="597"/>
    </row>
    <row r="46" spans="1:12" s="667" customFormat="1" x14ac:dyDescent="0.2">
      <c r="A46" s="663">
        <v>41</v>
      </c>
      <c r="B46" s="591" t="s">
        <v>469</v>
      </c>
      <c r="C46" s="598" t="s">
        <v>738</v>
      </c>
      <c r="D46" s="586" t="s">
        <v>581</v>
      </c>
      <c r="E46" s="593" t="s">
        <v>596</v>
      </c>
      <c r="F46" s="593" t="s">
        <v>579</v>
      </c>
      <c r="G46" s="664" t="s">
        <v>743</v>
      </c>
      <c r="H46" s="599">
        <v>44592</v>
      </c>
      <c r="I46" s="595">
        <f t="shared" si="2"/>
        <v>4423554.5454545449</v>
      </c>
      <c r="J46" s="595">
        <f t="shared" si="3"/>
        <v>442355.45454545453</v>
      </c>
      <c r="K46" s="596">
        <v>4865910</v>
      </c>
      <c r="L46" s="597"/>
    </row>
    <row r="47" spans="1:12" s="667" customFormat="1" x14ac:dyDescent="0.2">
      <c r="A47" s="663">
        <v>42</v>
      </c>
      <c r="B47" s="591" t="s">
        <v>470</v>
      </c>
      <c r="C47" s="598" t="s">
        <v>739</v>
      </c>
      <c r="D47" s="586" t="s">
        <v>741</v>
      </c>
      <c r="E47" s="587" t="s">
        <v>740</v>
      </c>
      <c r="F47" s="588" t="s">
        <v>579</v>
      </c>
      <c r="G47" s="664" t="s">
        <v>744</v>
      </c>
      <c r="H47" s="599">
        <v>44592</v>
      </c>
      <c r="I47" s="595">
        <f t="shared" si="2"/>
        <v>1272727.2727272727</v>
      </c>
      <c r="J47" s="595">
        <f t="shared" si="3"/>
        <v>127272.72727272728</v>
      </c>
      <c r="K47" s="596">
        <v>1400000</v>
      </c>
      <c r="L47" s="597"/>
    </row>
    <row r="48" spans="1:12" s="667" customFormat="1" x14ac:dyDescent="0.2">
      <c r="A48" s="663">
        <v>43</v>
      </c>
      <c r="B48" s="591" t="s">
        <v>471</v>
      </c>
      <c r="C48" s="598" t="s">
        <v>742</v>
      </c>
      <c r="D48" s="586" t="s">
        <v>580</v>
      </c>
      <c r="E48" s="587" t="s">
        <v>595</v>
      </c>
      <c r="F48" s="588" t="s">
        <v>579</v>
      </c>
      <c r="G48" s="664" t="s">
        <v>745</v>
      </c>
      <c r="H48" s="599">
        <v>44592</v>
      </c>
      <c r="I48" s="595">
        <f t="shared" si="2"/>
        <v>6337461.8181818174</v>
      </c>
      <c r="J48" s="595">
        <f t="shared" si="3"/>
        <v>633746.18181818177</v>
      </c>
      <c r="K48" s="596">
        <v>6971208</v>
      </c>
      <c r="L48" s="597"/>
    </row>
    <row r="49" spans="1:12" x14ac:dyDescent="0.2">
      <c r="A49" s="316">
        <v>44</v>
      </c>
      <c r="B49" s="591" t="s">
        <v>465</v>
      </c>
      <c r="C49" s="598" t="s">
        <v>720</v>
      </c>
      <c r="D49" s="586" t="s">
        <v>588</v>
      </c>
      <c r="E49" s="587" t="s">
        <v>597</v>
      </c>
      <c r="F49" s="588" t="s">
        <v>587</v>
      </c>
      <c r="G49" s="653" t="s">
        <v>746</v>
      </c>
      <c r="H49" s="599">
        <v>44592</v>
      </c>
      <c r="I49" s="595">
        <f>K49/1.1</f>
        <v>2905134.5454545454</v>
      </c>
      <c r="J49" s="595">
        <f>I49*10%</f>
        <v>290513.45454545453</v>
      </c>
      <c r="K49" s="596">
        <v>3195648</v>
      </c>
      <c r="L49" s="597"/>
    </row>
    <row r="50" spans="1:12" x14ac:dyDescent="0.2">
      <c r="A50" s="316">
        <v>45</v>
      </c>
      <c r="B50" s="591" t="s">
        <v>472</v>
      </c>
      <c r="C50" s="598" t="s">
        <v>967</v>
      </c>
      <c r="D50" s="586"/>
      <c r="E50" s="587" t="s">
        <v>968</v>
      </c>
      <c r="F50" s="588" t="s">
        <v>966</v>
      </c>
      <c r="G50" s="586"/>
      <c r="H50" s="599">
        <v>44563</v>
      </c>
      <c r="I50" s="595">
        <f t="shared" si="2"/>
        <v>340909.09090909088</v>
      </c>
      <c r="J50" s="595">
        <f t="shared" si="3"/>
        <v>34090.909090909088</v>
      </c>
      <c r="K50" s="596">
        <v>375000</v>
      </c>
      <c r="L50" s="597"/>
    </row>
    <row r="51" spans="1:12" x14ac:dyDescent="0.2">
      <c r="A51" s="316">
        <v>46</v>
      </c>
      <c r="B51" s="591" t="s">
        <v>473</v>
      </c>
      <c r="C51" s="598" t="s">
        <v>1310</v>
      </c>
      <c r="D51" s="586"/>
      <c r="E51" s="587" t="s">
        <v>969</v>
      </c>
      <c r="F51" s="588" t="s">
        <v>966</v>
      </c>
      <c r="G51" s="586"/>
      <c r="H51" s="599">
        <v>44563</v>
      </c>
      <c r="I51" s="595">
        <f t="shared" si="2"/>
        <v>7651636.3636363633</v>
      </c>
      <c r="J51" s="595">
        <f t="shared" si="3"/>
        <v>765163.63636363635</v>
      </c>
      <c r="K51" s="596">
        <f>1207500+6037500+1171800</f>
        <v>8416800</v>
      </c>
      <c r="L51" s="597"/>
    </row>
    <row r="52" spans="1:12" x14ac:dyDescent="0.2">
      <c r="A52" s="316">
        <v>47</v>
      </c>
      <c r="B52" s="591" t="s">
        <v>474</v>
      </c>
      <c r="C52" s="598" t="s">
        <v>1102</v>
      </c>
      <c r="D52" s="586"/>
      <c r="E52" s="587" t="s">
        <v>970</v>
      </c>
      <c r="F52" s="588" t="s">
        <v>971</v>
      </c>
      <c r="G52" s="586"/>
      <c r="H52" s="599">
        <v>44563</v>
      </c>
      <c r="I52" s="595">
        <f t="shared" si="2"/>
        <v>11436250</v>
      </c>
      <c r="J52" s="595">
        <f t="shared" si="3"/>
        <v>1143625</v>
      </c>
      <c r="K52" s="596">
        <f>6646500+981750+4951625</f>
        <v>12579875</v>
      </c>
      <c r="L52" s="597"/>
    </row>
    <row r="53" spans="1:12" x14ac:dyDescent="0.2">
      <c r="A53" s="316">
        <v>48</v>
      </c>
      <c r="B53" s="591" t="s">
        <v>475</v>
      </c>
      <c r="C53" s="598" t="s">
        <v>1309</v>
      </c>
      <c r="D53" s="586"/>
      <c r="E53" s="587" t="s">
        <v>972</v>
      </c>
      <c r="F53" s="588" t="s">
        <v>966</v>
      </c>
      <c r="G53" s="586"/>
      <c r="H53" s="599">
        <v>44564</v>
      </c>
      <c r="I53" s="595">
        <f t="shared" si="2"/>
        <v>14917954.545454545</v>
      </c>
      <c r="J53" s="595">
        <f t="shared" si="3"/>
        <v>1491795.4545454546</v>
      </c>
      <c r="K53" s="596">
        <f>2016000+9089325+5304425</f>
        <v>16409750</v>
      </c>
      <c r="L53" s="597"/>
    </row>
    <row r="54" spans="1:12" x14ac:dyDescent="0.2">
      <c r="A54" s="316">
        <v>49</v>
      </c>
      <c r="B54" s="591" t="s">
        <v>476</v>
      </c>
      <c r="C54" s="598" t="s">
        <v>973</v>
      </c>
      <c r="D54" s="586"/>
      <c r="E54" s="587" t="s">
        <v>974</v>
      </c>
      <c r="F54" s="588" t="s">
        <v>975</v>
      </c>
      <c r="G54" s="586"/>
      <c r="H54" s="599">
        <v>44564</v>
      </c>
      <c r="I54" s="595">
        <f t="shared" si="2"/>
        <v>2454545.4545454541</v>
      </c>
      <c r="J54" s="595">
        <f t="shared" si="3"/>
        <v>245454.54545454541</v>
      </c>
      <c r="K54" s="596">
        <v>2700000</v>
      </c>
      <c r="L54" s="597"/>
    </row>
    <row r="55" spans="1:12" x14ac:dyDescent="0.2">
      <c r="A55" s="316">
        <v>50</v>
      </c>
      <c r="B55" s="591" t="s">
        <v>477</v>
      </c>
      <c r="C55" s="598" t="s">
        <v>1045</v>
      </c>
      <c r="D55" s="586"/>
      <c r="E55" s="587" t="s">
        <v>976</v>
      </c>
      <c r="F55" s="588" t="s">
        <v>977</v>
      </c>
      <c r="G55" s="586"/>
      <c r="H55" s="599">
        <v>44564</v>
      </c>
      <c r="I55" s="595">
        <f t="shared" si="2"/>
        <v>8942400</v>
      </c>
      <c r="J55" s="595">
        <f t="shared" si="3"/>
        <v>894240</v>
      </c>
      <c r="K55" s="596">
        <f>810000+2430000+6596640</f>
        <v>9836640</v>
      </c>
      <c r="L55" s="597"/>
    </row>
    <row r="56" spans="1:12" x14ac:dyDescent="0.2">
      <c r="A56" s="316">
        <v>51</v>
      </c>
      <c r="B56" s="591" t="s">
        <v>478</v>
      </c>
      <c r="C56" s="598" t="s">
        <v>1002</v>
      </c>
      <c r="D56" s="586"/>
      <c r="E56" s="587" t="s">
        <v>978</v>
      </c>
      <c r="F56" s="588" t="s">
        <v>590</v>
      </c>
      <c r="G56" s="586"/>
      <c r="H56" s="599">
        <v>44564</v>
      </c>
      <c r="I56" s="595">
        <f t="shared" si="2"/>
        <v>41235403.636363633</v>
      </c>
      <c r="J56" s="595">
        <f t="shared" si="3"/>
        <v>4123540.3636363633</v>
      </c>
      <c r="K56" s="596">
        <f>16939488+24497856+3921600</f>
        <v>45358944</v>
      </c>
      <c r="L56" s="597"/>
    </row>
    <row r="57" spans="1:12" x14ac:dyDescent="0.2">
      <c r="A57" s="316">
        <v>52</v>
      </c>
      <c r="B57" s="591" t="s">
        <v>479</v>
      </c>
      <c r="C57" s="598" t="s">
        <v>1184</v>
      </c>
      <c r="D57" s="586"/>
      <c r="E57" s="587" t="s">
        <v>979</v>
      </c>
      <c r="F57" s="588" t="s">
        <v>980</v>
      </c>
      <c r="G57" s="586"/>
      <c r="H57" s="599">
        <v>44564</v>
      </c>
      <c r="I57" s="595">
        <f t="shared" si="2"/>
        <v>14461134.545454545</v>
      </c>
      <c r="J57" s="595">
        <f t="shared" si="3"/>
        <v>1446113.4545454546</v>
      </c>
      <c r="K57" s="596">
        <f>3219840+8257032+4430376</f>
        <v>15907248</v>
      </c>
      <c r="L57" s="597"/>
    </row>
    <row r="58" spans="1:12" x14ac:dyDescent="0.2">
      <c r="A58" s="316">
        <v>53</v>
      </c>
      <c r="B58" s="591" t="s">
        <v>480</v>
      </c>
      <c r="C58" s="598" t="s">
        <v>1065</v>
      </c>
      <c r="D58" s="586"/>
      <c r="E58" s="593" t="s">
        <v>981</v>
      </c>
      <c r="F58" s="593" t="s">
        <v>980</v>
      </c>
      <c r="G58" s="586"/>
      <c r="H58" s="594">
        <v>44564</v>
      </c>
      <c r="I58" s="595">
        <f t="shared" si="2"/>
        <v>15214963.636363635</v>
      </c>
      <c r="J58" s="595">
        <f t="shared" si="3"/>
        <v>1521496.3636363635</v>
      </c>
      <c r="K58" s="596">
        <f>7374156+2352960+7009344</f>
        <v>16736460</v>
      </c>
      <c r="L58" s="597"/>
    </row>
    <row r="59" spans="1:12" x14ac:dyDescent="0.2">
      <c r="A59" s="316">
        <v>54</v>
      </c>
      <c r="B59" s="591" t="s">
        <v>481</v>
      </c>
      <c r="C59" s="598" t="s">
        <v>982</v>
      </c>
      <c r="D59" s="586"/>
      <c r="E59" s="587" t="s">
        <v>983</v>
      </c>
      <c r="F59" s="588" t="s">
        <v>984</v>
      </c>
      <c r="G59" s="586"/>
      <c r="H59" s="599">
        <v>44564</v>
      </c>
      <c r="I59" s="595">
        <f t="shared" si="2"/>
        <v>250909.09090909088</v>
      </c>
      <c r="J59" s="595">
        <f t="shared" si="3"/>
        <v>25090.909090909088</v>
      </c>
      <c r="K59" s="596">
        <v>276000</v>
      </c>
      <c r="L59" s="597"/>
    </row>
    <row r="60" spans="1:12" x14ac:dyDescent="0.2">
      <c r="A60" s="316">
        <v>55</v>
      </c>
      <c r="B60" s="591" t="s">
        <v>482</v>
      </c>
      <c r="C60" s="598" t="s">
        <v>1229</v>
      </c>
      <c r="D60" s="586"/>
      <c r="E60" s="587" t="s">
        <v>985</v>
      </c>
      <c r="F60" s="588" t="s">
        <v>426</v>
      </c>
      <c r="G60" s="586"/>
      <c r="H60" s="599">
        <v>44564</v>
      </c>
      <c r="I60" s="595">
        <f t="shared" si="2"/>
        <v>39427500</v>
      </c>
      <c r="J60" s="595">
        <f t="shared" si="3"/>
        <v>3942750</v>
      </c>
      <c r="K60" s="596">
        <f>34690600+5544000+3135650</f>
        <v>43370250</v>
      </c>
      <c r="L60" s="597"/>
    </row>
    <row r="61" spans="1:12" x14ac:dyDescent="0.2">
      <c r="A61" s="316">
        <v>56</v>
      </c>
      <c r="B61" s="591" t="s">
        <v>483</v>
      </c>
      <c r="C61" s="598" t="s">
        <v>1133</v>
      </c>
      <c r="D61" s="586"/>
      <c r="E61" s="601" t="s">
        <v>986</v>
      </c>
      <c r="F61" s="588" t="s">
        <v>980</v>
      </c>
      <c r="G61" s="586"/>
      <c r="H61" s="599">
        <v>44564</v>
      </c>
      <c r="I61" s="595">
        <f t="shared" si="2"/>
        <v>5932636.3636363633</v>
      </c>
      <c r="J61" s="595">
        <f t="shared" si="3"/>
        <v>593263.63636363635</v>
      </c>
      <c r="K61" s="596">
        <f>1613520+3032640+1879740</f>
        <v>6525900</v>
      </c>
      <c r="L61" s="597"/>
    </row>
    <row r="62" spans="1:12" x14ac:dyDescent="0.2">
      <c r="A62" s="316">
        <v>57</v>
      </c>
      <c r="B62" s="591" t="s">
        <v>484</v>
      </c>
      <c r="C62" s="598" t="s">
        <v>991</v>
      </c>
      <c r="D62" s="586"/>
      <c r="E62" s="587" t="s">
        <v>1727</v>
      </c>
      <c r="F62" s="588" t="s">
        <v>987</v>
      </c>
      <c r="G62" s="586"/>
      <c r="H62" s="599">
        <v>44565</v>
      </c>
      <c r="I62" s="595">
        <f t="shared" si="2"/>
        <v>2841818.1818181816</v>
      </c>
      <c r="J62" s="595">
        <f t="shared" si="3"/>
        <v>284181.81818181818</v>
      </c>
      <c r="K62" s="596">
        <f>1470000+1656000</f>
        <v>3126000</v>
      </c>
      <c r="L62" s="597"/>
    </row>
    <row r="63" spans="1:12" x14ac:dyDescent="0.2">
      <c r="A63" s="316">
        <v>58</v>
      </c>
      <c r="B63" s="591" t="s">
        <v>485</v>
      </c>
      <c r="C63" s="598" t="s">
        <v>988</v>
      </c>
      <c r="D63" s="586"/>
      <c r="E63" s="587" t="s">
        <v>989</v>
      </c>
      <c r="F63" s="588" t="s">
        <v>990</v>
      </c>
      <c r="G63" s="586"/>
      <c r="H63" s="599">
        <v>44565</v>
      </c>
      <c r="I63" s="595">
        <f t="shared" si="2"/>
        <v>1063190.9090909089</v>
      </c>
      <c r="J63" s="595">
        <f t="shared" si="3"/>
        <v>106319.0909090909</v>
      </c>
      <c r="K63" s="596">
        <v>1169510</v>
      </c>
      <c r="L63" s="597"/>
    </row>
    <row r="64" spans="1:12" x14ac:dyDescent="0.2">
      <c r="A64" s="316">
        <v>59</v>
      </c>
      <c r="B64" s="591" t="s">
        <v>486</v>
      </c>
      <c r="C64" s="598" t="s">
        <v>1000</v>
      </c>
      <c r="D64" s="586"/>
      <c r="E64" s="587" t="s">
        <v>992</v>
      </c>
      <c r="F64" s="588" t="s">
        <v>993</v>
      </c>
      <c r="G64" s="586"/>
      <c r="H64" s="599">
        <v>44565</v>
      </c>
      <c r="I64" s="595">
        <f t="shared" si="2"/>
        <v>11914667.272727272</v>
      </c>
      <c r="J64" s="595">
        <f t="shared" si="3"/>
        <v>1191466.7272727273</v>
      </c>
      <c r="K64" s="596">
        <f>10060815+49305+2996014</f>
        <v>13106134</v>
      </c>
      <c r="L64" s="597"/>
    </row>
    <row r="65" spans="1:12" x14ac:dyDescent="0.2">
      <c r="A65" s="316">
        <v>60</v>
      </c>
      <c r="B65" s="591" t="s">
        <v>487</v>
      </c>
      <c r="C65" s="598" t="s">
        <v>994</v>
      </c>
      <c r="D65" s="586"/>
      <c r="E65" s="587" t="s">
        <v>965</v>
      </c>
      <c r="F65" s="588" t="s">
        <v>966</v>
      </c>
      <c r="G65" s="586"/>
      <c r="H65" s="599">
        <v>44566</v>
      </c>
      <c r="I65" s="595">
        <f t="shared" si="2"/>
        <v>8343602.7272727266</v>
      </c>
      <c r="J65" s="595">
        <f t="shared" si="3"/>
        <v>834360.27272727271</v>
      </c>
      <c r="K65" s="596">
        <f>1929900+4200000+3048063</f>
        <v>9177963</v>
      </c>
      <c r="L65" s="597"/>
    </row>
    <row r="66" spans="1:12" x14ac:dyDescent="0.2">
      <c r="A66" s="316">
        <v>61</v>
      </c>
      <c r="B66" s="591" t="s">
        <v>488</v>
      </c>
      <c r="C66" s="598" t="s">
        <v>1076</v>
      </c>
      <c r="D66" s="586"/>
      <c r="E66" s="587" t="s">
        <v>995</v>
      </c>
      <c r="F66" s="588" t="s">
        <v>996</v>
      </c>
      <c r="G66" s="586"/>
      <c r="H66" s="599">
        <v>44566</v>
      </c>
      <c r="I66" s="595">
        <f t="shared" si="2"/>
        <v>14775454.545454545</v>
      </c>
      <c r="J66" s="595">
        <f t="shared" si="3"/>
        <v>1477545.4545454546</v>
      </c>
      <c r="K66" s="596">
        <f>3753000+12500000</f>
        <v>16253000</v>
      </c>
      <c r="L66" s="597"/>
    </row>
    <row r="67" spans="1:12" x14ac:dyDescent="0.2">
      <c r="A67" s="316">
        <v>62</v>
      </c>
      <c r="B67" s="591" t="s">
        <v>489</v>
      </c>
      <c r="C67" s="598" t="s">
        <v>1212</v>
      </c>
      <c r="D67" s="586"/>
      <c r="E67" s="587" t="s">
        <v>1001</v>
      </c>
      <c r="F67" s="588" t="s">
        <v>590</v>
      </c>
      <c r="G67" s="586"/>
      <c r="H67" s="599">
        <v>44566</v>
      </c>
      <c r="I67" s="595">
        <f t="shared" si="2"/>
        <v>2369945.4545454541</v>
      </c>
      <c r="J67" s="595">
        <f t="shared" si="3"/>
        <v>236994.54545454541</v>
      </c>
      <c r="K67" s="596">
        <f>1193940+1413000</f>
        <v>2606940</v>
      </c>
      <c r="L67" s="597"/>
    </row>
    <row r="68" spans="1:12" x14ac:dyDescent="0.2">
      <c r="A68" s="316">
        <v>63</v>
      </c>
      <c r="B68" s="591" t="s">
        <v>490</v>
      </c>
      <c r="C68" s="598" t="s">
        <v>1116</v>
      </c>
      <c r="D68" s="586"/>
      <c r="E68" s="587" t="s">
        <v>992</v>
      </c>
      <c r="F68" s="588" t="s">
        <v>993</v>
      </c>
      <c r="G68" s="586"/>
      <c r="H68" s="599">
        <v>44567</v>
      </c>
      <c r="I68" s="595">
        <f t="shared" si="2"/>
        <v>10955036.363636363</v>
      </c>
      <c r="J68" s="595">
        <f t="shared" si="3"/>
        <v>1095503.6363636365</v>
      </c>
      <c r="K68" s="596">
        <f>4334688+2415080+5300772</f>
        <v>12050540</v>
      </c>
      <c r="L68" s="597"/>
    </row>
    <row r="69" spans="1:12" x14ac:dyDescent="0.2">
      <c r="A69" s="316">
        <v>64</v>
      </c>
      <c r="B69" s="591" t="s">
        <v>491</v>
      </c>
      <c r="C69" s="598" t="s">
        <v>1074</v>
      </c>
      <c r="D69" s="586"/>
      <c r="E69" s="587" t="s">
        <v>978</v>
      </c>
      <c r="F69" s="588" t="s">
        <v>590</v>
      </c>
      <c r="G69" s="586"/>
      <c r="H69" s="599">
        <v>44567</v>
      </c>
      <c r="I69" s="595">
        <f t="shared" si="2"/>
        <v>11475840</v>
      </c>
      <c r="J69" s="595">
        <f t="shared" si="3"/>
        <v>1147584</v>
      </c>
      <c r="K69" s="596">
        <f>1898880+9436608+1287936</f>
        <v>12623424</v>
      </c>
      <c r="L69" s="597"/>
    </row>
    <row r="70" spans="1:12" x14ac:dyDescent="0.2">
      <c r="A70" s="316">
        <v>65</v>
      </c>
      <c r="B70" s="591" t="s">
        <v>492</v>
      </c>
      <c r="C70" s="598" t="s">
        <v>1185</v>
      </c>
      <c r="D70" s="586"/>
      <c r="E70" s="587" t="s">
        <v>1003</v>
      </c>
      <c r="F70" s="588" t="s">
        <v>984</v>
      </c>
      <c r="G70" s="586"/>
      <c r="H70" s="599">
        <v>44567</v>
      </c>
      <c r="I70" s="595">
        <f t="shared" ref="I70:I101" si="4">K70/1.1</f>
        <v>5972113.6363636358</v>
      </c>
      <c r="J70" s="595">
        <f t="shared" ref="J70:J101" si="5">I70*10%</f>
        <v>597211.36363636365</v>
      </c>
      <c r="K70" s="596">
        <f>2071125+2929500+1568700</f>
        <v>6569325</v>
      </c>
      <c r="L70" s="597"/>
    </row>
    <row r="71" spans="1:12" x14ac:dyDescent="0.2">
      <c r="A71" s="316">
        <v>66</v>
      </c>
      <c r="B71" s="591" t="s">
        <v>493</v>
      </c>
      <c r="C71" s="598" t="s">
        <v>1004</v>
      </c>
      <c r="D71" s="586"/>
      <c r="E71" s="587" t="s">
        <v>1005</v>
      </c>
      <c r="F71" s="588" t="s">
        <v>996</v>
      </c>
      <c r="G71" s="586"/>
      <c r="H71" s="599">
        <v>44567</v>
      </c>
      <c r="I71" s="595">
        <f t="shared" si="4"/>
        <v>116818.18181818181</v>
      </c>
      <c r="J71" s="595">
        <f t="shared" si="5"/>
        <v>11681.818181818182</v>
      </c>
      <c r="K71" s="596">
        <v>128500</v>
      </c>
      <c r="L71" s="597"/>
    </row>
    <row r="72" spans="1:12" x14ac:dyDescent="0.2">
      <c r="A72" s="316">
        <v>67</v>
      </c>
      <c r="B72" s="591" t="s">
        <v>494</v>
      </c>
      <c r="C72" s="598" t="s">
        <v>1048</v>
      </c>
      <c r="D72" s="586"/>
      <c r="E72" s="587" t="s">
        <v>1006</v>
      </c>
      <c r="F72" s="588" t="s">
        <v>984</v>
      </c>
      <c r="G72" s="586"/>
      <c r="H72" s="599">
        <v>44567</v>
      </c>
      <c r="I72" s="595">
        <f t="shared" si="4"/>
        <v>10045000</v>
      </c>
      <c r="J72" s="595">
        <f t="shared" si="5"/>
        <v>1004500</v>
      </c>
      <c r="K72" s="596">
        <f>5127500+1260000+4662000</f>
        <v>11049500</v>
      </c>
      <c r="L72" s="597"/>
    </row>
    <row r="73" spans="1:12" x14ac:dyDescent="0.2">
      <c r="A73" s="316">
        <v>68</v>
      </c>
      <c r="B73" s="591" t="s">
        <v>495</v>
      </c>
      <c r="C73" s="598" t="s">
        <v>1044</v>
      </c>
      <c r="D73" s="586"/>
      <c r="E73" s="587" t="s">
        <v>1007</v>
      </c>
      <c r="F73" s="588" t="s">
        <v>1008</v>
      </c>
      <c r="G73" s="586"/>
      <c r="H73" s="599">
        <v>44567</v>
      </c>
      <c r="I73" s="595">
        <f t="shared" si="4"/>
        <v>3188554.5454545454</v>
      </c>
      <c r="J73" s="595">
        <f t="shared" si="5"/>
        <v>318855.45454545459</v>
      </c>
      <c r="K73" s="596">
        <f>334800+2943650+228960</f>
        <v>3507410</v>
      </c>
      <c r="L73" s="597"/>
    </row>
    <row r="74" spans="1:12" x14ac:dyDescent="0.2">
      <c r="A74" s="316">
        <v>69</v>
      </c>
      <c r="B74" s="591" t="s">
        <v>496</v>
      </c>
      <c r="C74" s="598" t="s">
        <v>1091</v>
      </c>
      <c r="D74" s="586"/>
      <c r="E74" s="587" t="s">
        <v>1009</v>
      </c>
      <c r="F74" s="588" t="s">
        <v>1008</v>
      </c>
      <c r="G74" s="586"/>
      <c r="H74" s="599">
        <v>44567</v>
      </c>
      <c r="I74" s="595">
        <f t="shared" si="4"/>
        <v>11406805.454545453</v>
      </c>
      <c r="J74" s="595">
        <f t="shared" si="5"/>
        <v>1140680.5454545454</v>
      </c>
      <c r="K74" s="596">
        <f>7979510+2368784+2199192</f>
        <v>12547486</v>
      </c>
      <c r="L74" s="597"/>
    </row>
    <row r="75" spans="1:12" x14ac:dyDescent="0.2">
      <c r="A75" s="316">
        <v>70</v>
      </c>
      <c r="B75" s="591" t="s">
        <v>497</v>
      </c>
      <c r="C75" s="598" t="s">
        <v>1292</v>
      </c>
      <c r="D75" s="586"/>
      <c r="E75" s="587" t="s">
        <v>1010</v>
      </c>
      <c r="F75" s="588" t="s">
        <v>984</v>
      </c>
      <c r="G75" s="586"/>
      <c r="H75" s="599">
        <v>44567</v>
      </c>
      <c r="I75" s="595">
        <f t="shared" si="4"/>
        <v>2018454.5454545452</v>
      </c>
      <c r="J75" s="595">
        <f t="shared" si="5"/>
        <v>201845.45454545453</v>
      </c>
      <c r="K75" s="596">
        <f>1995300+225000</f>
        <v>2220300</v>
      </c>
      <c r="L75" s="597"/>
    </row>
    <row r="76" spans="1:12" x14ac:dyDescent="0.2">
      <c r="A76" s="316">
        <v>71</v>
      </c>
      <c r="B76" s="591" t="s">
        <v>498</v>
      </c>
      <c r="C76" s="598" t="s">
        <v>1302</v>
      </c>
      <c r="D76" s="586"/>
      <c r="E76" s="587" t="s">
        <v>992</v>
      </c>
      <c r="F76" s="588" t="s">
        <v>583</v>
      </c>
      <c r="G76" s="586"/>
      <c r="H76" s="599">
        <v>44568</v>
      </c>
      <c r="I76" s="595">
        <f t="shared" si="4"/>
        <v>2482036.3636363633</v>
      </c>
      <c r="J76" s="595">
        <f t="shared" si="5"/>
        <v>248203.63636363635</v>
      </c>
      <c r="K76" s="596">
        <f>777600+1555200+397440</f>
        <v>2730240</v>
      </c>
      <c r="L76" s="597"/>
    </row>
    <row r="77" spans="1:12" x14ac:dyDescent="0.2">
      <c r="A77" s="316">
        <v>72</v>
      </c>
      <c r="B77" s="591" t="s">
        <v>499</v>
      </c>
      <c r="C77" s="598" t="s">
        <v>1011</v>
      </c>
      <c r="D77" s="586"/>
      <c r="E77" s="587" t="s">
        <v>1012</v>
      </c>
      <c r="F77" s="588" t="s">
        <v>1013</v>
      </c>
      <c r="G77" s="586"/>
      <c r="H77" s="599">
        <v>44568</v>
      </c>
      <c r="I77" s="595">
        <f t="shared" si="4"/>
        <v>1576148.1818181816</v>
      </c>
      <c r="J77" s="595">
        <f t="shared" si="5"/>
        <v>157614.81818181818</v>
      </c>
      <c r="K77" s="596">
        <v>1733763</v>
      </c>
      <c r="L77" s="597"/>
    </row>
    <row r="78" spans="1:12" x14ac:dyDescent="0.2">
      <c r="A78" s="316">
        <v>73</v>
      </c>
      <c r="B78" s="591" t="s">
        <v>500</v>
      </c>
      <c r="C78" s="598" t="s">
        <v>1110</v>
      </c>
      <c r="D78" s="586"/>
      <c r="E78" s="593" t="s">
        <v>1014</v>
      </c>
      <c r="F78" s="593" t="s">
        <v>1015</v>
      </c>
      <c r="G78" s="586"/>
      <c r="H78" s="594">
        <v>44569</v>
      </c>
      <c r="I78" s="595">
        <f t="shared" si="4"/>
        <v>3843081.8181818179</v>
      </c>
      <c r="J78" s="595">
        <f t="shared" si="5"/>
        <v>384308.18181818182</v>
      </c>
      <c r="K78" s="596">
        <f>2352240+1166400+708750</f>
        <v>4227390</v>
      </c>
      <c r="L78" s="597"/>
    </row>
    <row r="79" spans="1:12" x14ac:dyDescent="0.2">
      <c r="A79" s="316">
        <v>74</v>
      </c>
      <c r="B79" s="591" t="s">
        <v>501</v>
      </c>
      <c r="C79" s="598" t="s">
        <v>1039</v>
      </c>
      <c r="D79" s="586" t="s">
        <v>1687</v>
      </c>
      <c r="E79" s="587" t="s">
        <v>976</v>
      </c>
      <c r="F79" s="588" t="s">
        <v>977</v>
      </c>
      <c r="G79" s="586"/>
      <c r="H79" s="599">
        <v>44569</v>
      </c>
      <c r="I79" s="595">
        <f t="shared" si="4"/>
        <v>981818.18181818177</v>
      </c>
      <c r="J79" s="595">
        <f t="shared" si="5"/>
        <v>98181.818181818177</v>
      </c>
      <c r="K79" s="596">
        <f>432000+648000</f>
        <v>1080000</v>
      </c>
      <c r="L79" s="597"/>
    </row>
    <row r="80" spans="1:12" x14ac:dyDescent="0.2">
      <c r="A80" s="316">
        <v>75</v>
      </c>
      <c r="B80" s="591" t="s">
        <v>502</v>
      </c>
      <c r="C80" s="598" t="s">
        <v>1113</v>
      </c>
      <c r="D80" s="586"/>
      <c r="E80" s="587" t="s">
        <v>1016</v>
      </c>
      <c r="F80" s="588" t="s">
        <v>1017</v>
      </c>
      <c r="G80" s="586"/>
      <c r="H80" s="599">
        <v>44569</v>
      </c>
      <c r="I80" s="595">
        <f t="shared" si="4"/>
        <v>8498954.5454545449</v>
      </c>
      <c r="J80" s="595">
        <f t="shared" si="5"/>
        <v>849895.45454545459</v>
      </c>
      <c r="K80" s="596">
        <f>3573675+1355725+4419450</f>
        <v>9348850</v>
      </c>
      <c r="L80" s="597"/>
    </row>
    <row r="81" spans="1:12" x14ac:dyDescent="0.2">
      <c r="A81" s="316">
        <v>76</v>
      </c>
      <c r="B81" s="591" t="s">
        <v>503</v>
      </c>
      <c r="C81" s="598" t="s">
        <v>1215</v>
      </c>
      <c r="D81" s="586"/>
      <c r="E81" s="587" t="s">
        <v>1018</v>
      </c>
      <c r="F81" s="588" t="s">
        <v>1019</v>
      </c>
      <c r="G81" s="586"/>
      <c r="H81" s="599">
        <v>44569</v>
      </c>
      <c r="I81" s="595">
        <f t="shared" si="4"/>
        <v>9708218.1818181816</v>
      </c>
      <c r="J81" s="595">
        <f t="shared" si="5"/>
        <v>970821.81818181823</v>
      </c>
      <c r="K81" s="596">
        <f>3032640+6577200+1069200</f>
        <v>10679040</v>
      </c>
      <c r="L81" s="597"/>
    </row>
    <row r="82" spans="1:12" x14ac:dyDescent="0.2">
      <c r="A82" s="316">
        <v>77</v>
      </c>
      <c r="B82" s="591" t="s">
        <v>504</v>
      </c>
      <c r="C82" s="598" t="s">
        <v>1114</v>
      </c>
      <c r="D82" s="586"/>
      <c r="E82" s="587" t="s">
        <v>1020</v>
      </c>
      <c r="F82" s="588" t="s">
        <v>984</v>
      </c>
      <c r="G82" s="586"/>
      <c r="H82" s="599">
        <v>44568</v>
      </c>
      <c r="I82" s="595">
        <f t="shared" si="4"/>
        <v>2239727.2727272725</v>
      </c>
      <c r="J82" s="595">
        <f t="shared" si="5"/>
        <v>223972.72727272726</v>
      </c>
      <c r="K82" s="596">
        <f>895700+1055000+513000</f>
        <v>2463700</v>
      </c>
      <c r="L82" s="597"/>
    </row>
    <row r="83" spans="1:12" x14ac:dyDescent="0.2">
      <c r="A83" s="316">
        <v>78</v>
      </c>
      <c r="B83" s="591" t="s">
        <v>505</v>
      </c>
      <c r="C83" s="598" t="s">
        <v>1067</v>
      </c>
      <c r="D83" s="586"/>
      <c r="E83" s="587" t="s">
        <v>1021</v>
      </c>
      <c r="F83" s="588" t="s">
        <v>1022</v>
      </c>
      <c r="G83" s="586"/>
      <c r="H83" s="599">
        <v>44569</v>
      </c>
      <c r="I83" s="595">
        <f t="shared" si="4"/>
        <v>3771818.1818181816</v>
      </c>
      <c r="J83" s="595">
        <f t="shared" si="5"/>
        <v>377181.81818181818</v>
      </c>
      <c r="K83" s="596">
        <f>699840+2664000+785160</f>
        <v>4149000</v>
      </c>
      <c r="L83" s="597"/>
    </row>
    <row r="84" spans="1:12" x14ac:dyDescent="0.2">
      <c r="A84" s="316">
        <v>79</v>
      </c>
      <c r="B84" s="591" t="s">
        <v>506</v>
      </c>
      <c r="C84" s="598" t="s">
        <v>1024</v>
      </c>
      <c r="D84" s="586"/>
      <c r="E84" s="587" t="s">
        <v>1023</v>
      </c>
      <c r="F84" s="588" t="s">
        <v>1025</v>
      </c>
      <c r="G84" s="586"/>
      <c r="H84" s="599">
        <v>44569</v>
      </c>
      <c r="I84" s="595">
        <f t="shared" si="4"/>
        <v>535500</v>
      </c>
      <c r="J84" s="595">
        <f t="shared" si="5"/>
        <v>53550</v>
      </c>
      <c r="K84" s="596">
        <v>589050</v>
      </c>
      <c r="L84" s="597"/>
    </row>
    <row r="85" spans="1:12" x14ac:dyDescent="0.2">
      <c r="A85" s="316">
        <v>80</v>
      </c>
      <c r="B85" s="591" t="s">
        <v>507</v>
      </c>
      <c r="C85" s="598" t="s">
        <v>1027</v>
      </c>
      <c r="D85" s="586"/>
      <c r="E85" s="587" t="s">
        <v>1026</v>
      </c>
      <c r="F85" s="588" t="s">
        <v>579</v>
      </c>
      <c r="G85" s="586"/>
      <c r="H85" s="599">
        <v>44569</v>
      </c>
      <c r="I85" s="595">
        <f t="shared" si="4"/>
        <v>1443272.7272727271</v>
      </c>
      <c r="J85" s="595">
        <f t="shared" si="5"/>
        <v>144327.27272727271</v>
      </c>
      <c r="K85" s="596">
        <v>1587600</v>
      </c>
      <c r="L85" s="597"/>
    </row>
    <row r="86" spans="1:12" x14ac:dyDescent="0.2">
      <c r="A86" s="316">
        <v>81</v>
      </c>
      <c r="B86" s="591" t="s">
        <v>508</v>
      </c>
      <c r="C86" s="598" t="s">
        <v>1028</v>
      </c>
      <c r="D86" s="586"/>
      <c r="E86" s="587" t="s">
        <v>965</v>
      </c>
      <c r="F86" s="588" t="s">
        <v>966</v>
      </c>
      <c r="G86" s="586"/>
      <c r="H86" s="599">
        <v>44571</v>
      </c>
      <c r="I86" s="595">
        <f t="shared" si="4"/>
        <v>8282590.9090909082</v>
      </c>
      <c r="J86" s="595">
        <f t="shared" si="5"/>
        <v>828259.09090909082</v>
      </c>
      <c r="K86" s="596">
        <f>1134000+4026750+3950100</f>
        <v>9110850</v>
      </c>
      <c r="L86" s="597"/>
    </row>
    <row r="87" spans="1:12" x14ac:dyDescent="0.2">
      <c r="A87" s="316">
        <v>82</v>
      </c>
      <c r="B87" s="591" t="s">
        <v>509</v>
      </c>
      <c r="C87" s="598" t="s">
        <v>1308</v>
      </c>
      <c r="D87" s="586"/>
      <c r="E87" s="587" t="s">
        <v>965</v>
      </c>
      <c r="F87" s="588" t="s">
        <v>966</v>
      </c>
      <c r="G87" s="586"/>
      <c r="H87" s="599">
        <v>44571</v>
      </c>
      <c r="I87" s="595">
        <f t="shared" si="4"/>
        <v>18315340.909090906</v>
      </c>
      <c r="J87" s="595">
        <f t="shared" si="5"/>
        <v>1831534.0909090908</v>
      </c>
      <c r="K87" s="596">
        <f>3876600+15136275+1134000</f>
        <v>20146875</v>
      </c>
      <c r="L87" s="597"/>
    </row>
    <row r="88" spans="1:12" x14ac:dyDescent="0.2">
      <c r="A88" s="316">
        <v>83</v>
      </c>
      <c r="B88" s="591" t="s">
        <v>510</v>
      </c>
      <c r="C88" s="598" t="s">
        <v>1320</v>
      </c>
      <c r="D88" s="586"/>
      <c r="E88" s="587" t="s">
        <v>1029</v>
      </c>
      <c r="F88" s="588" t="s">
        <v>966</v>
      </c>
      <c r="G88" s="586"/>
      <c r="H88" s="599">
        <v>44571</v>
      </c>
      <c r="I88" s="595">
        <f t="shared" si="4"/>
        <v>36473818.18181818</v>
      </c>
      <c r="J88" s="595">
        <f t="shared" si="5"/>
        <v>3647381.8181818184</v>
      </c>
      <c r="K88" s="596">
        <f>2268000+33754000+4099200</f>
        <v>40121200</v>
      </c>
      <c r="L88" s="597"/>
    </row>
    <row r="89" spans="1:12" x14ac:dyDescent="0.2">
      <c r="A89" s="316">
        <v>84</v>
      </c>
      <c r="B89" s="591" t="s">
        <v>511</v>
      </c>
      <c r="C89" s="598" t="s">
        <v>1030</v>
      </c>
      <c r="D89" s="586"/>
      <c r="E89" s="593" t="s">
        <v>1031</v>
      </c>
      <c r="F89" s="593" t="s">
        <v>984</v>
      </c>
      <c r="G89" s="586"/>
      <c r="H89" s="594">
        <v>44571</v>
      </c>
      <c r="I89" s="595">
        <f t="shared" si="4"/>
        <v>212272.72727272726</v>
      </c>
      <c r="J89" s="595">
        <f t="shared" si="5"/>
        <v>21227.272727272728</v>
      </c>
      <c r="K89" s="596">
        <v>233500</v>
      </c>
      <c r="L89" s="597"/>
    </row>
    <row r="90" spans="1:12" x14ac:dyDescent="0.2">
      <c r="A90" s="316">
        <v>85</v>
      </c>
      <c r="B90" s="591" t="s">
        <v>512</v>
      </c>
      <c r="C90" s="598" t="s">
        <v>1240</v>
      </c>
      <c r="D90" s="586"/>
      <c r="E90" s="593" t="s">
        <v>1032</v>
      </c>
      <c r="F90" s="593" t="s">
        <v>1033</v>
      </c>
      <c r="G90" s="586"/>
      <c r="H90" s="594">
        <v>44571</v>
      </c>
      <c r="I90" s="595">
        <f t="shared" si="4"/>
        <v>9199090.9090909082</v>
      </c>
      <c r="J90" s="595">
        <f t="shared" si="5"/>
        <v>919909.09090909082</v>
      </c>
      <c r="K90" s="596">
        <f>7875000+2244000</f>
        <v>10119000</v>
      </c>
      <c r="L90" s="597"/>
    </row>
    <row r="91" spans="1:12" x14ac:dyDescent="0.2">
      <c r="A91" s="316">
        <v>86</v>
      </c>
      <c r="B91" s="591" t="s">
        <v>513</v>
      </c>
      <c r="C91" s="598" t="s">
        <v>1209</v>
      </c>
      <c r="D91" s="586"/>
      <c r="E91" s="587" t="s">
        <v>992</v>
      </c>
      <c r="F91" s="588" t="s">
        <v>673</v>
      </c>
      <c r="G91" s="586"/>
      <c r="H91" s="599">
        <v>44571</v>
      </c>
      <c r="I91" s="595">
        <f t="shared" si="4"/>
        <v>13142181.818181816</v>
      </c>
      <c r="J91" s="595">
        <f t="shared" si="5"/>
        <v>1314218.1818181816</v>
      </c>
      <c r="K91" s="596">
        <f>1108800+7257600+6090000</f>
        <v>14456400</v>
      </c>
      <c r="L91" s="597"/>
    </row>
    <row r="92" spans="1:12" x14ac:dyDescent="0.2">
      <c r="A92" s="316">
        <v>87</v>
      </c>
      <c r="B92" s="591" t="s">
        <v>514</v>
      </c>
      <c r="C92" s="598" t="s">
        <v>1035</v>
      </c>
      <c r="D92" s="586"/>
      <c r="E92" s="587" t="s">
        <v>1034</v>
      </c>
      <c r="F92" s="588" t="s">
        <v>984</v>
      </c>
      <c r="G92" s="586"/>
      <c r="H92" s="599">
        <v>44571</v>
      </c>
      <c r="I92" s="595">
        <f t="shared" si="4"/>
        <v>4070372.7272727271</v>
      </c>
      <c r="J92" s="595">
        <f t="shared" si="5"/>
        <v>407037.27272727271</v>
      </c>
      <c r="K92" s="596">
        <f>3025890+1451520</f>
        <v>4477410</v>
      </c>
      <c r="L92" s="597"/>
    </row>
    <row r="93" spans="1:12" x14ac:dyDescent="0.2">
      <c r="A93" s="316">
        <v>88</v>
      </c>
      <c r="B93" s="591" t="s">
        <v>515</v>
      </c>
      <c r="C93" s="598" t="s">
        <v>1213</v>
      </c>
      <c r="D93" s="586"/>
      <c r="E93" s="587" t="s">
        <v>1036</v>
      </c>
      <c r="F93" s="588" t="s">
        <v>1008</v>
      </c>
      <c r="G93" s="586"/>
      <c r="H93" s="599">
        <v>44571</v>
      </c>
      <c r="I93" s="595">
        <f t="shared" si="4"/>
        <v>6774610.9090909082</v>
      </c>
      <c r="J93" s="595">
        <f t="shared" si="5"/>
        <v>677461.09090909082</v>
      </c>
      <c r="K93" s="596">
        <f>1416936+3083616+2951520</f>
        <v>7452072</v>
      </c>
      <c r="L93" s="597"/>
    </row>
    <row r="94" spans="1:12" x14ac:dyDescent="0.2">
      <c r="A94" s="316">
        <v>89</v>
      </c>
      <c r="B94" s="591" t="s">
        <v>516</v>
      </c>
      <c r="C94" s="598" t="s">
        <v>1118</v>
      </c>
      <c r="D94" s="586"/>
      <c r="E94" s="587" t="s">
        <v>1037</v>
      </c>
      <c r="F94" s="588" t="s">
        <v>1038</v>
      </c>
      <c r="G94" s="586"/>
      <c r="H94" s="599">
        <v>44571</v>
      </c>
      <c r="I94" s="595">
        <f t="shared" si="4"/>
        <v>797527.27272727271</v>
      </c>
      <c r="J94" s="595">
        <f t="shared" si="5"/>
        <v>79752.727272727279</v>
      </c>
      <c r="K94" s="596">
        <f>224600+652680</f>
        <v>877280</v>
      </c>
      <c r="L94" s="597"/>
    </row>
    <row r="95" spans="1:12" x14ac:dyDescent="0.2">
      <c r="A95" s="316">
        <v>90</v>
      </c>
      <c r="B95" s="591" t="s">
        <v>517</v>
      </c>
      <c r="C95" s="598" t="s">
        <v>1289</v>
      </c>
      <c r="D95" s="586"/>
      <c r="E95" s="587" t="s">
        <v>1040</v>
      </c>
      <c r="F95" s="588" t="s">
        <v>1019</v>
      </c>
      <c r="G95" s="586"/>
      <c r="H95" s="599">
        <v>44585</v>
      </c>
      <c r="I95" s="595">
        <f t="shared" si="4"/>
        <v>9292281.8181818184</v>
      </c>
      <c r="J95" s="595">
        <f t="shared" si="5"/>
        <v>929228.18181818188</v>
      </c>
      <c r="K95" s="596">
        <f>7251150+2970360</f>
        <v>10221510</v>
      </c>
      <c r="L95" s="597"/>
    </row>
    <row r="96" spans="1:12" x14ac:dyDescent="0.2">
      <c r="A96" s="316">
        <v>91</v>
      </c>
      <c r="B96" s="591" t="s">
        <v>518</v>
      </c>
      <c r="C96" s="598" t="s">
        <v>1066</v>
      </c>
      <c r="D96" s="586"/>
      <c r="E96" s="587" t="s">
        <v>1041</v>
      </c>
      <c r="F96" s="588" t="s">
        <v>1042</v>
      </c>
      <c r="G96" s="586"/>
      <c r="H96" s="599">
        <v>44572</v>
      </c>
      <c r="I96" s="595">
        <f t="shared" si="4"/>
        <v>5227549.0909090908</v>
      </c>
      <c r="J96" s="595">
        <f t="shared" si="5"/>
        <v>522754.90909090912</v>
      </c>
      <c r="K96" s="596">
        <f>3075360+2674944</f>
        <v>5750304</v>
      </c>
      <c r="L96" s="597"/>
    </row>
    <row r="97" spans="1:12" x14ac:dyDescent="0.2">
      <c r="A97" s="316">
        <v>92</v>
      </c>
      <c r="B97" s="591" t="s">
        <v>519</v>
      </c>
      <c r="C97" s="598" t="s">
        <v>1134</v>
      </c>
      <c r="D97" s="586"/>
      <c r="E97" s="587" t="s">
        <v>1043</v>
      </c>
      <c r="F97" s="588" t="s">
        <v>620</v>
      </c>
      <c r="G97" s="586"/>
      <c r="H97" s="599">
        <v>44572</v>
      </c>
      <c r="I97" s="595">
        <f t="shared" si="4"/>
        <v>994122.72727272718</v>
      </c>
      <c r="J97" s="595">
        <f t="shared" si="5"/>
        <v>99412.272727272721</v>
      </c>
      <c r="K97" s="596">
        <f>254375+839160</f>
        <v>1093535</v>
      </c>
      <c r="L97" s="597"/>
    </row>
    <row r="98" spans="1:12" x14ac:dyDescent="0.2">
      <c r="A98" s="316">
        <v>93</v>
      </c>
      <c r="B98" s="591" t="s">
        <v>520</v>
      </c>
      <c r="C98" s="598" t="s">
        <v>1077</v>
      </c>
      <c r="D98" s="586"/>
      <c r="E98" s="587" t="s">
        <v>1046</v>
      </c>
      <c r="F98" s="588" t="s">
        <v>1047</v>
      </c>
      <c r="G98" s="586"/>
      <c r="H98" s="599">
        <v>44572</v>
      </c>
      <c r="I98" s="595">
        <f t="shared" si="4"/>
        <v>8200145.4545454541</v>
      </c>
      <c r="J98" s="595">
        <f t="shared" si="5"/>
        <v>820014.54545454541</v>
      </c>
      <c r="K98" s="596">
        <f>6350400+2669760</f>
        <v>9020160</v>
      </c>
      <c r="L98" s="597"/>
    </row>
    <row r="99" spans="1:12" x14ac:dyDescent="0.2">
      <c r="A99" s="316">
        <v>94</v>
      </c>
      <c r="B99" s="591" t="s">
        <v>521</v>
      </c>
      <c r="C99" s="598" t="s">
        <v>1049</v>
      </c>
      <c r="D99" s="586"/>
      <c r="E99" s="587" t="s">
        <v>1050</v>
      </c>
      <c r="F99" s="588" t="s">
        <v>984</v>
      </c>
      <c r="G99" s="586"/>
      <c r="H99" s="599">
        <v>44572</v>
      </c>
      <c r="I99" s="595">
        <f t="shared" si="4"/>
        <v>2474181.8181818179</v>
      </c>
      <c r="J99" s="595">
        <f t="shared" si="5"/>
        <v>247418.18181818179</v>
      </c>
      <c r="K99" s="596">
        <v>2721600</v>
      </c>
      <c r="L99" s="597"/>
    </row>
    <row r="100" spans="1:12" x14ac:dyDescent="0.2">
      <c r="A100" s="316">
        <v>95</v>
      </c>
      <c r="B100" s="591" t="s">
        <v>522</v>
      </c>
      <c r="C100" s="598" t="s">
        <v>1051</v>
      </c>
      <c r="D100" s="586"/>
      <c r="E100" s="587" t="s">
        <v>1052</v>
      </c>
      <c r="F100" s="588" t="s">
        <v>1017</v>
      </c>
      <c r="G100" s="586"/>
      <c r="H100" s="599">
        <v>44572</v>
      </c>
      <c r="I100" s="595">
        <f t="shared" si="4"/>
        <v>582272.72727272718</v>
      </c>
      <c r="J100" s="595">
        <f t="shared" si="5"/>
        <v>58227.272727272721</v>
      </c>
      <c r="K100" s="596">
        <v>640500</v>
      </c>
      <c r="L100" s="597"/>
    </row>
    <row r="101" spans="1:12" x14ac:dyDescent="0.2">
      <c r="A101" s="316">
        <v>96</v>
      </c>
      <c r="B101" s="591" t="s">
        <v>523</v>
      </c>
      <c r="C101" s="602" t="s">
        <v>1198</v>
      </c>
      <c r="D101" s="603"/>
      <c r="E101" s="604" t="s">
        <v>1053</v>
      </c>
      <c r="F101" s="605" t="s">
        <v>620</v>
      </c>
      <c r="G101" s="654"/>
      <c r="H101" s="606">
        <v>44572</v>
      </c>
      <c r="I101" s="607">
        <f t="shared" si="4"/>
        <v>2898177.2727272725</v>
      </c>
      <c r="J101" s="607">
        <f t="shared" si="5"/>
        <v>289817.72727272724</v>
      </c>
      <c r="K101" s="596">
        <f>1637250+1296000+254745</f>
        <v>3187995</v>
      </c>
      <c r="L101" s="597"/>
    </row>
    <row r="102" spans="1:12" x14ac:dyDescent="0.2">
      <c r="A102" s="316">
        <v>97</v>
      </c>
      <c r="B102" s="591" t="s">
        <v>524</v>
      </c>
      <c r="C102" s="598" t="s">
        <v>1182</v>
      </c>
      <c r="D102" s="586"/>
      <c r="E102" s="593" t="s">
        <v>1054</v>
      </c>
      <c r="F102" s="593" t="s">
        <v>1055</v>
      </c>
      <c r="G102" s="586"/>
      <c r="H102" s="599">
        <v>44572</v>
      </c>
      <c r="I102" s="595">
        <f t="shared" ref="I102:I198" si="6">K102/1.1</f>
        <v>8137636.3636363633</v>
      </c>
      <c r="J102" s="595">
        <f t="shared" ref="J102:J198" si="7">I102*10%</f>
        <v>813763.63636363635</v>
      </c>
      <c r="K102" s="596">
        <f>3547800+4206600+1197000</f>
        <v>8951400</v>
      </c>
      <c r="L102" s="597"/>
    </row>
    <row r="103" spans="1:12" x14ac:dyDescent="0.2">
      <c r="A103" s="316">
        <v>98</v>
      </c>
      <c r="B103" s="591" t="s">
        <v>525</v>
      </c>
      <c r="C103" s="598" t="s">
        <v>1056</v>
      </c>
      <c r="D103" s="586"/>
      <c r="E103" s="587" t="s">
        <v>1057</v>
      </c>
      <c r="F103" s="588" t="s">
        <v>1058</v>
      </c>
      <c r="G103" s="586"/>
      <c r="H103" s="599">
        <v>44572</v>
      </c>
      <c r="I103" s="595">
        <f t="shared" si="6"/>
        <v>2978181.8181818179</v>
      </c>
      <c r="J103" s="595">
        <f t="shared" si="7"/>
        <v>297818.18181818182</v>
      </c>
      <c r="K103" s="596">
        <v>3276000</v>
      </c>
      <c r="L103" s="597"/>
    </row>
    <row r="104" spans="1:12" x14ac:dyDescent="0.2">
      <c r="A104" s="316">
        <v>99</v>
      </c>
      <c r="B104" s="591" t="s">
        <v>526</v>
      </c>
      <c r="C104" s="598" t="s">
        <v>1059</v>
      </c>
      <c r="D104" s="586"/>
      <c r="E104" s="587" t="s">
        <v>1060</v>
      </c>
      <c r="F104" s="588" t="s">
        <v>1061</v>
      </c>
      <c r="G104" s="586"/>
      <c r="H104" s="599">
        <v>44572</v>
      </c>
      <c r="I104" s="595">
        <f t="shared" si="6"/>
        <v>1570909.0909090908</v>
      </c>
      <c r="J104" s="595">
        <f t="shared" si="7"/>
        <v>157090.90909090909</v>
      </c>
      <c r="K104" s="596">
        <v>1728000</v>
      </c>
      <c r="L104" s="597"/>
    </row>
    <row r="105" spans="1:12" x14ac:dyDescent="0.2">
      <c r="A105" s="316">
        <v>100</v>
      </c>
      <c r="B105" s="591" t="s">
        <v>527</v>
      </c>
      <c r="C105" s="598" t="s">
        <v>1307</v>
      </c>
      <c r="D105" s="586"/>
      <c r="E105" s="587" t="s">
        <v>1062</v>
      </c>
      <c r="F105" s="588" t="s">
        <v>966</v>
      </c>
      <c r="G105" s="586"/>
      <c r="H105" s="599">
        <v>44573</v>
      </c>
      <c r="I105" s="595">
        <f t="shared" si="6"/>
        <v>20028272.727272727</v>
      </c>
      <c r="J105" s="595">
        <f t="shared" si="7"/>
        <v>2002827.2727272727</v>
      </c>
      <c r="K105" s="596">
        <f>6381900+14347200+1302000</f>
        <v>22031100</v>
      </c>
      <c r="L105" s="597"/>
    </row>
    <row r="106" spans="1:12" x14ac:dyDescent="0.2">
      <c r="A106" s="316">
        <v>101</v>
      </c>
      <c r="B106" s="591" t="s">
        <v>528</v>
      </c>
      <c r="C106" s="598" t="s">
        <v>1291</v>
      </c>
      <c r="D106" s="586"/>
      <c r="E106" s="587" t="s">
        <v>1063</v>
      </c>
      <c r="F106" s="588" t="s">
        <v>993</v>
      </c>
      <c r="G106" s="586"/>
      <c r="H106" s="599">
        <v>44573</v>
      </c>
      <c r="I106" s="595">
        <f t="shared" si="6"/>
        <v>6277090.9090909082</v>
      </c>
      <c r="J106" s="595">
        <f t="shared" si="7"/>
        <v>627709.09090909082</v>
      </c>
      <c r="K106" s="596">
        <f>2721600+1512000+2671200</f>
        <v>6904800</v>
      </c>
      <c r="L106" s="597"/>
    </row>
    <row r="107" spans="1:12" x14ac:dyDescent="0.2">
      <c r="A107" s="316">
        <v>102</v>
      </c>
      <c r="B107" s="591" t="s">
        <v>529</v>
      </c>
      <c r="C107" s="598" t="s">
        <v>1070</v>
      </c>
      <c r="D107" s="586"/>
      <c r="E107" s="587" t="s">
        <v>1053</v>
      </c>
      <c r="F107" s="588" t="s">
        <v>1064</v>
      </c>
      <c r="G107" s="586"/>
      <c r="H107" s="599">
        <v>44572</v>
      </c>
      <c r="I107" s="595">
        <f t="shared" si="6"/>
        <v>1970181.8181818181</v>
      </c>
      <c r="J107" s="595">
        <f t="shared" si="7"/>
        <v>197018.18181818182</v>
      </c>
      <c r="K107" s="596">
        <f>1289400+877800</f>
        <v>2167200</v>
      </c>
      <c r="L107" s="597"/>
    </row>
    <row r="108" spans="1:12" x14ac:dyDescent="0.2">
      <c r="A108" s="316">
        <v>103</v>
      </c>
      <c r="B108" s="591" t="s">
        <v>530</v>
      </c>
      <c r="C108" s="598" t="s">
        <v>1069</v>
      </c>
      <c r="D108" s="586"/>
      <c r="E108" s="587" t="s">
        <v>1068</v>
      </c>
      <c r="F108" s="588" t="s">
        <v>1058</v>
      </c>
      <c r="G108" s="586"/>
      <c r="H108" s="599">
        <v>44573</v>
      </c>
      <c r="I108" s="595">
        <f t="shared" si="6"/>
        <v>9123545.4545454532</v>
      </c>
      <c r="J108" s="595">
        <f t="shared" si="7"/>
        <v>912354.54545454541</v>
      </c>
      <c r="K108" s="596">
        <v>10035900</v>
      </c>
      <c r="L108" s="597"/>
    </row>
    <row r="109" spans="1:12" x14ac:dyDescent="0.2">
      <c r="A109" s="316">
        <v>104</v>
      </c>
      <c r="B109" s="591" t="s">
        <v>531</v>
      </c>
      <c r="C109" s="598" t="s">
        <v>1071</v>
      </c>
      <c r="D109" s="586"/>
      <c r="E109" s="587" t="s">
        <v>1072</v>
      </c>
      <c r="F109" s="588" t="s">
        <v>1058</v>
      </c>
      <c r="G109" s="586"/>
      <c r="H109" s="599">
        <v>44573</v>
      </c>
      <c r="I109" s="595">
        <f t="shared" si="6"/>
        <v>6811690.9090909082</v>
      </c>
      <c r="J109" s="595">
        <f t="shared" si="7"/>
        <v>681169.09090909082</v>
      </c>
      <c r="K109" s="596">
        <v>7492860</v>
      </c>
      <c r="L109" s="597"/>
    </row>
    <row r="110" spans="1:12" x14ac:dyDescent="0.2">
      <c r="A110" s="316">
        <v>105</v>
      </c>
      <c r="B110" s="591" t="s">
        <v>532</v>
      </c>
      <c r="C110" s="598" t="s">
        <v>1073</v>
      </c>
      <c r="D110" s="586"/>
      <c r="E110" s="587" t="s">
        <v>1006</v>
      </c>
      <c r="F110" s="588" t="s">
        <v>984</v>
      </c>
      <c r="G110" s="586"/>
      <c r="H110" s="599">
        <v>44573</v>
      </c>
      <c r="I110" s="595">
        <f t="shared" si="6"/>
        <v>797999.99999999988</v>
      </c>
      <c r="J110" s="595">
        <f t="shared" si="7"/>
        <v>79800</v>
      </c>
      <c r="K110" s="596">
        <v>877800</v>
      </c>
      <c r="L110" s="597"/>
    </row>
    <row r="111" spans="1:12" x14ac:dyDescent="0.2">
      <c r="A111" s="316">
        <v>106</v>
      </c>
      <c r="B111" s="591" t="s">
        <v>533</v>
      </c>
      <c r="C111" s="598" t="s">
        <v>1111</v>
      </c>
      <c r="D111" s="586"/>
      <c r="E111" s="587" t="s">
        <v>992</v>
      </c>
      <c r="F111" s="588" t="s">
        <v>1075</v>
      </c>
      <c r="G111" s="586"/>
      <c r="H111" s="599">
        <v>44573</v>
      </c>
      <c r="I111" s="595">
        <f t="shared" si="6"/>
        <v>37686709.090909086</v>
      </c>
      <c r="J111" s="595">
        <f t="shared" si="7"/>
        <v>3768670.9090909087</v>
      </c>
      <c r="K111" s="596">
        <f>15201300+23281920+2972160</f>
        <v>41455380</v>
      </c>
      <c r="L111" s="597"/>
    </row>
    <row r="112" spans="1:12" x14ac:dyDescent="0.2">
      <c r="A112" s="316">
        <v>107</v>
      </c>
      <c r="B112" s="591" t="s">
        <v>534</v>
      </c>
      <c r="C112" s="602" t="s">
        <v>1183</v>
      </c>
      <c r="D112" s="603"/>
      <c r="E112" s="604" t="s">
        <v>1078</v>
      </c>
      <c r="F112" s="605" t="s">
        <v>1061</v>
      </c>
      <c r="G112" s="654"/>
      <c r="H112" s="606">
        <v>44573</v>
      </c>
      <c r="I112" s="607">
        <f t="shared" si="6"/>
        <v>5551200</v>
      </c>
      <c r="J112" s="607">
        <f t="shared" si="7"/>
        <v>555120</v>
      </c>
      <c r="K112" s="596">
        <f>1419120+4687200</f>
        <v>6106320</v>
      </c>
      <c r="L112" s="597"/>
    </row>
    <row r="113" spans="1:12" x14ac:dyDescent="0.2">
      <c r="A113" s="316">
        <v>108</v>
      </c>
      <c r="B113" s="591" t="s">
        <v>535</v>
      </c>
      <c r="C113" s="598" t="s">
        <v>1080</v>
      </c>
      <c r="D113" s="586"/>
      <c r="E113" s="593" t="s">
        <v>1079</v>
      </c>
      <c r="F113" s="593" t="s">
        <v>1081</v>
      </c>
      <c r="G113" s="586"/>
      <c r="H113" s="599">
        <v>44573</v>
      </c>
      <c r="I113" s="595">
        <f t="shared" si="6"/>
        <v>196363.63636363635</v>
      </c>
      <c r="J113" s="595">
        <f t="shared" si="7"/>
        <v>19636.363636363636</v>
      </c>
      <c r="K113" s="596">
        <v>216000</v>
      </c>
      <c r="L113" s="597"/>
    </row>
    <row r="114" spans="1:12" x14ac:dyDescent="0.2">
      <c r="A114" s="316">
        <v>109</v>
      </c>
      <c r="B114" s="591" t="s">
        <v>536</v>
      </c>
      <c r="C114" s="598" t="s">
        <v>1117</v>
      </c>
      <c r="D114" s="586"/>
      <c r="E114" s="587" t="s">
        <v>1082</v>
      </c>
      <c r="F114" s="588" t="s">
        <v>1058</v>
      </c>
      <c r="G114" s="586"/>
      <c r="H114" s="599">
        <v>44573</v>
      </c>
      <c r="I114" s="595">
        <f t="shared" si="6"/>
        <v>7313249.9999999991</v>
      </c>
      <c r="J114" s="595">
        <f t="shared" si="7"/>
        <v>731325</v>
      </c>
      <c r="K114" s="596">
        <f>6955200+1089375</f>
        <v>8044575</v>
      </c>
      <c r="L114" s="597"/>
    </row>
    <row r="115" spans="1:12" x14ac:dyDescent="0.2">
      <c r="A115" s="316">
        <v>110</v>
      </c>
      <c r="B115" s="591" t="s">
        <v>537</v>
      </c>
      <c r="C115" s="598" t="s">
        <v>1284</v>
      </c>
      <c r="D115" s="586"/>
      <c r="E115" s="587" t="s">
        <v>1083</v>
      </c>
      <c r="F115" s="588" t="s">
        <v>1084</v>
      </c>
      <c r="G115" s="586"/>
      <c r="H115" s="599">
        <v>44573</v>
      </c>
      <c r="I115" s="595">
        <f t="shared" si="6"/>
        <v>1321112.7272727271</v>
      </c>
      <c r="J115" s="595">
        <f t="shared" si="7"/>
        <v>132111.27272727271</v>
      </c>
      <c r="K115" s="596">
        <f>525000+928224</f>
        <v>1453224</v>
      </c>
      <c r="L115" s="597"/>
    </row>
    <row r="116" spans="1:12" x14ac:dyDescent="0.2">
      <c r="A116" s="316">
        <v>111</v>
      </c>
      <c r="B116" s="591" t="s">
        <v>538</v>
      </c>
      <c r="C116" s="598" t="s">
        <v>1112</v>
      </c>
      <c r="D116" s="586"/>
      <c r="E116" s="587" t="s">
        <v>1085</v>
      </c>
      <c r="F116" s="588" t="s">
        <v>1047</v>
      </c>
      <c r="G116" s="586"/>
      <c r="H116" s="599">
        <v>44573</v>
      </c>
      <c r="I116" s="595">
        <f t="shared" si="6"/>
        <v>3447818.1818181816</v>
      </c>
      <c r="J116" s="595">
        <f t="shared" si="7"/>
        <v>344781.81818181818</v>
      </c>
      <c r="K116" s="596">
        <f>1864800+1927800</f>
        <v>3792600</v>
      </c>
      <c r="L116" s="597"/>
    </row>
    <row r="117" spans="1:12" x14ac:dyDescent="0.2">
      <c r="A117" s="316">
        <v>112</v>
      </c>
      <c r="B117" s="591" t="s">
        <v>539</v>
      </c>
      <c r="C117" s="598" t="s">
        <v>1086</v>
      </c>
      <c r="D117" s="586"/>
      <c r="E117" s="587" t="s">
        <v>1087</v>
      </c>
      <c r="F117" s="588" t="s">
        <v>1047</v>
      </c>
      <c r="G117" s="586"/>
      <c r="H117" s="599">
        <v>44574</v>
      </c>
      <c r="I117" s="595">
        <f t="shared" ref="I117:I127" si="8">K117/1.1</f>
        <v>1030909.0909090908</v>
      </c>
      <c r="J117" s="595">
        <f t="shared" ref="J117:J127" si="9">I117*10%</f>
        <v>103090.90909090909</v>
      </c>
      <c r="K117" s="596">
        <v>1134000</v>
      </c>
      <c r="L117" s="597"/>
    </row>
    <row r="118" spans="1:12" x14ac:dyDescent="0.2">
      <c r="A118" s="316">
        <v>113</v>
      </c>
      <c r="B118" s="591" t="s">
        <v>540</v>
      </c>
      <c r="C118" s="598" t="s">
        <v>1088</v>
      </c>
      <c r="D118" s="586"/>
      <c r="E118" s="587" t="s">
        <v>1089</v>
      </c>
      <c r="F118" s="588" t="s">
        <v>1055</v>
      </c>
      <c r="G118" s="586"/>
      <c r="H118" s="599">
        <v>44574</v>
      </c>
      <c r="I118" s="595">
        <f t="shared" si="8"/>
        <v>45654.545454545449</v>
      </c>
      <c r="J118" s="595">
        <f t="shared" si="9"/>
        <v>4565.454545454545</v>
      </c>
      <c r="K118" s="596">
        <v>50220</v>
      </c>
      <c r="L118" s="597"/>
    </row>
    <row r="119" spans="1:12" x14ac:dyDescent="0.2">
      <c r="A119" s="316">
        <v>114</v>
      </c>
      <c r="B119" s="591" t="s">
        <v>541</v>
      </c>
      <c r="C119" s="598" t="s">
        <v>1281</v>
      </c>
      <c r="D119" s="586"/>
      <c r="E119" s="587" t="s">
        <v>1090</v>
      </c>
      <c r="F119" s="588" t="s">
        <v>606</v>
      </c>
      <c r="G119" s="586"/>
      <c r="H119" s="599">
        <v>44574</v>
      </c>
      <c r="I119" s="595">
        <f t="shared" si="8"/>
        <v>13516840.909090908</v>
      </c>
      <c r="J119" s="595">
        <f t="shared" si="9"/>
        <v>1351684.0909090908</v>
      </c>
      <c r="K119" s="596">
        <f>4518675+4300800+6049050</f>
        <v>14868525</v>
      </c>
      <c r="L119" s="597"/>
    </row>
    <row r="120" spans="1:12" x14ac:dyDescent="0.2">
      <c r="A120" s="316">
        <v>115</v>
      </c>
      <c r="B120" s="591" t="s">
        <v>542</v>
      </c>
      <c r="C120" s="598" t="s">
        <v>1092</v>
      </c>
      <c r="D120" s="586"/>
      <c r="E120" s="587" t="s">
        <v>1093</v>
      </c>
      <c r="F120" s="588" t="s">
        <v>1094</v>
      </c>
      <c r="G120" s="586"/>
      <c r="H120" s="599">
        <v>44575</v>
      </c>
      <c r="I120" s="595">
        <f t="shared" si="8"/>
        <v>956909.09090909082</v>
      </c>
      <c r="J120" s="595">
        <f t="shared" si="9"/>
        <v>95690.909090909088</v>
      </c>
      <c r="K120" s="596">
        <v>1052600</v>
      </c>
      <c r="L120" s="597"/>
    </row>
    <row r="121" spans="1:12" x14ac:dyDescent="0.2">
      <c r="A121" s="316">
        <v>116</v>
      </c>
      <c r="B121" s="591" t="s">
        <v>543</v>
      </c>
      <c r="C121" s="598" t="s">
        <v>1115</v>
      </c>
      <c r="D121" s="586"/>
      <c r="E121" s="587" t="s">
        <v>1007</v>
      </c>
      <c r="F121" s="588" t="s">
        <v>1008</v>
      </c>
      <c r="G121" s="586"/>
      <c r="H121" s="599">
        <v>44575</v>
      </c>
      <c r="I121" s="595">
        <f t="shared" si="8"/>
        <v>1770054.5454545454</v>
      </c>
      <c r="J121" s="595">
        <f t="shared" si="9"/>
        <v>177005.45454545456</v>
      </c>
      <c r="K121" s="596">
        <f>1501560+445500</f>
        <v>1947060</v>
      </c>
      <c r="L121" s="597"/>
    </row>
    <row r="122" spans="1:12" x14ac:dyDescent="0.2">
      <c r="A122" s="316">
        <v>117</v>
      </c>
      <c r="B122" s="591" t="s">
        <v>544</v>
      </c>
      <c r="C122" s="598" t="s">
        <v>1230</v>
      </c>
      <c r="D122" s="586"/>
      <c r="E122" s="587" t="s">
        <v>1095</v>
      </c>
      <c r="F122" s="588" t="s">
        <v>1096</v>
      </c>
      <c r="G122" s="586"/>
      <c r="H122" s="599">
        <v>44575</v>
      </c>
      <c r="I122" s="595">
        <f t="shared" si="8"/>
        <v>18090545.454545453</v>
      </c>
      <c r="J122" s="595">
        <f t="shared" si="9"/>
        <v>1809054.5454545454</v>
      </c>
      <c r="K122" s="596">
        <f>7350000+9412200+3137400</f>
        <v>19899600</v>
      </c>
      <c r="L122" s="597"/>
    </row>
    <row r="123" spans="1:12" x14ac:dyDescent="0.2">
      <c r="A123" s="316">
        <v>118</v>
      </c>
      <c r="B123" s="591" t="s">
        <v>545</v>
      </c>
      <c r="C123" s="602" t="s">
        <v>1098</v>
      </c>
      <c r="D123" s="603"/>
      <c r="E123" s="604" t="s">
        <v>1097</v>
      </c>
      <c r="F123" s="605" t="s">
        <v>1099</v>
      </c>
      <c r="G123" s="654"/>
      <c r="H123" s="606">
        <v>44575</v>
      </c>
      <c r="I123" s="607">
        <f t="shared" si="8"/>
        <v>6049963.6363636358</v>
      </c>
      <c r="J123" s="607">
        <f t="shared" si="9"/>
        <v>604996.36363636365</v>
      </c>
      <c r="K123" s="596">
        <v>6654960</v>
      </c>
      <c r="L123" s="597"/>
    </row>
    <row r="124" spans="1:12" x14ac:dyDescent="0.2">
      <c r="A124" s="316">
        <v>119</v>
      </c>
      <c r="B124" s="591" t="s">
        <v>546</v>
      </c>
      <c r="C124" s="598" t="s">
        <v>1181</v>
      </c>
      <c r="D124" s="586"/>
      <c r="E124" s="593" t="s">
        <v>1100</v>
      </c>
      <c r="F124" s="593" t="s">
        <v>1101</v>
      </c>
      <c r="G124" s="586"/>
      <c r="H124" s="599">
        <v>44575</v>
      </c>
      <c r="I124" s="595">
        <f t="shared" si="8"/>
        <v>1969199.9999999998</v>
      </c>
      <c r="J124" s="595">
        <f t="shared" si="9"/>
        <v>196920</v>
      </c>
      <c r="K124" s="596">
        <f>1679040+487080</f>
        <v>2166120</v>
      </c>
      <c r="L124" s="597"/>
    </row>
    <row r="125" spans="1:12" x14ac:dyDescent="0.2">
      <c r="A125" s="316">
        <v>120</v>
      </c>
      <c r="B125" s="591" t="s">
        <v>547</v>
      </c>
      <c r="C125" s="598" t="s">
        <v>1236</v>
      </c>
      <c r="D125" s="586"/>
      <c r="E125" s="587" t="s">
        <v>1103</v>
      </c>
      <c r="F125" s="588" t="s">
        <v>1104</v>
      </c>
      <c r="G125" s="586"/>
      <c r="H125" s="599">
        <v>44576</v>
      </c>
      <c r="I125" s="595">
        <f t="shared" si="8"/>
        <v>10808159.09090909</v>
      </c>
      <c r="J125" s="595">
        <f t="shared" si="9"/>
        <v>1080815.9090909089</v>
      </c>
      <c r="K125" s="596">
        <f>1379700+7233275+3276000</f>
        <v>11888975</v>
      </c>
      <c r="L125" s="597"/>
    </row>
    <row r="126" spans="1:12" x14ac:dyDescent="0.2">
      <c r="A126" s="316">
        <v>121</v>
      </c>
      <c r="B126" s="591" t="s">
        <v>548</v>
      </c>
      <c r="C126" s="598" t="s">
        <v>1231</v>
      </c>
      <c r="D126" s="586"/>
      <c r="E126" s="587" t="s">
        <v>976</v>
      </c>
      <c r="F126" s="588" t="s">
        <v>977</v>
      </c>
      <c r="G126" s="586"/>
      <c r="H126" s="599">
        <v>44576</v>
      </c>
      <c r="I126" s="595">
        <f t="shared" si="8"/>
        <v>10921718.181818182</v>
      </c>
      <c r="J126" s="595">
        <f t="shared" si="9"/>
        <v>1092171.8181818181</v>
      </c>
      <c r="K126" s="596">
        <f>6454080+2332800+3227010</f>
        <v>12013890</v>
      </c>
      <c r="L126" s="597"/>
    </row>
    <row r="127" spans="1:12" x14ac:dyDescent="0.2">
      <c r="A127" s="316">
        <v>122</v>
      </c>
      <c r="B127" s="591" t="s">
        <v>549</v>
      </c>
      <c r="C127" s="598" t="s">
        <v>1106</v>
      </c>
      <c r="D127" s="586"/>
      <c r="E127" s="587" t="s">
        <v>1105</v>
      </c>
      <c r="F127" s="588" t="s">
        <v>1104</v>
      </c>
      <c r="G127" s="586"/>
      <c r="H127" s="599">
        <v>44578</v>
      </c>
      <c r="I127" s="595">
        <f t="shared" si="8"/>
        <v>931818.18181818177</v>
      </c>
      <c r="J127" s="595">
        <f t="shared" si="9"/>
        <v>93181.818181818177</v>
      </c>
      <c r="K127" s="596">
        <v>1025000</v>
      </c>
      <c r="L127" s="597"/>
    </row>
    <row r="128" spans="1:12" x14ac:dyDescent="0.2">
      <c r="A128" s="316">
        <v>123</v>
      </c>
      <c r="B128" s="591" t="s">
        <v>550</v>
      </c>
      <c r="C128" s="598" t="s">
        <v>1107</v>
      </c>
      <c r="D128" s="586"/>
      <c r="E128" s="587" t="s">
        <v>1108</v>
      </c>
      <c r="F128" s="588" t="s">
        <v>1109</v>
      </c>
      <c r="G128" s="586"/>
      <c r="H128" s="599">
        <v>44578</v>
      </c>
      <c r="I128" s="595">
        <f t="shared" ref="I128:I138" si="10">K128/1.1</f>
        <v>834545.45454545447</v>
      </c>
      <c r="J128" s="595">
        <f t="shared" ref="J128:J138" si="11">I128*10%</f>
        <v>83454.545454545456</v>
      </c>
      <c r="K128" s="596">
        <v>918000</v>
      </c>
      <c r="L128" s="597"/>
    </row>
    <row r="129" spans="1:12" x14ac:dyDescent="0.2">
      <c r="A129" s="316">
        <v>124</v>
      </c>
      <c r="B129" s="591" t="s">
        <v>551</v>
      </c>
      <c r="C129" s="598" t="s">
        <v>1207</v>
      </c>
      <c r="D129" s="586"/>
      <c r="E129" s="587" t="s">
        <v>1009</v>
      </c>
      <c r="F129" s="588" t="s">
        <v>1008</v>
      </c>
      <c r="G129" s="586"/>
      <c r="H129" s="599">
        <v>44579</v>
      </c>
      <c r="I129" s="595">
        <f t="shared" si="10"/>
        <v>4229792.7272727266</v>
      </c>
      <c r="J129" s="595">
        <f t="shared" si="11"/>
        <v>422979.27272727271</v>
      </c>
      <c r="K129" s="596">
        <f>1366884+1469568+1816320</f>
        <v>4652772</v>
      </c>
      <c r="L129" s="597"/>
    </row>
    <row r="130" spans="1:12" x14ac:dyDescent="0.2">
      <c r="A130" s="316">
        <v>125</v>
      </c>
      <c r="B130" s="591" t="s">
        <v>552</v>
      </c>
      <c r="C130" s="598" t="s">
        <v>1119</v>
      </c>
      <c r="D130" s="586"/>
      <c r="E130" s="587" t="s">
        <v>1120</v>
      </c>
      <c r="F130" s="588" t="s">
        <v>1099</v>
      </c>
      <c r="G130" s="586"/>
      <c r="H130" s="599">
        <v>44580</v>
      </c>
      <c r="I130" s="595">
        <f t="shared" si="10"/>
        <v>4467272.7272727266</v>
      </c>
      <c r="J130" s="595">
        <f t="shared" si="11"/>
        <v>446727.27272727271</v>
      </c>
      <c r="K130" s="596">
        <v>4914000</v>
      </c>
      <c r="L130" s="597"/>
    </row>
    <row r="131" spans="1:12" x14ac:dyDescent="0.2">
      <c r="A131" s="316">
        <v>126</v>
      </c>
      <c r="B131" s="591" t="s">
        <v>553</v>
      </c>
      <c r="C131" s="598" t="s">
        <v>1203</v>
      </c>
      <c r="D131" s="586"/>
      <c r="E131" s="587" t="s">
        <v>992</v>
      </c>
      <c r="F131" s="588" t="s">
        <v>1075</v>
      </c>
      <c r="G131" s="586"/>
      <c r="H131" s="599">
        <v>44580</v>
      </c>
      <c r="I131" s="595">
        <f t="shared" si="10"/>
        <v>30866181.818181816</v>
      </c>
      <c r="J131" s="595">
        <f t="shared" si="11"/>
        <v>3086618.1818181816</v>
      </c>
      <c r="K131" s="596">
        <f>5820480+7760640+20371680</f>
        <v>33952800</v>
      </c>
      <c r="L131" s="597"/>
    </row>
    <row r="132" spans="1:12" x14ac:dyDescent="0.2">
      <c r="A132" s="316">
        <v>127</v>
      </c>
      <c r="B132" s="591" t="s">
        <v>554</v>
      </c>
      <c r="C132" s="598" t="s">
        <v>1121</v>
      </c>
      <c r="D132" s="586"/>
      <c r="E132" s="587" t="s">
        <v>1122</v>
      </c>
      <c r="F132" s="588" t="s">
        <v>1123</v>
      </c>
      <c r="G132" s="586"/>
      <c r="H132" s="599">
        <v>44580</v>
      </c>
      <c r="I132" s="595">
        <f t="shared" si="10"/>
        <v>4323927.2727272725</v>
      </c>
      <c r="J132" s="595">
        <f t="shared" si="11"/>
        <v>432392.72727272729</v>
      </c>
      <c r="K132" s="596">
        <v>4756320</v>
      </c>
      <c r="L132" s="597"/>
    </row>
    <row r="133" spans="1:12" x14ac:dyDescent="0.2">
      <c r="A133" s="316">
        <v>128</v>
      </c>
      <c r="B133" s="591" t="s">
        <v>555</v>
      </c>
      <c r="C133" s="598" t="s">
        <v>1125</v>
      </c>
      <c r="D133" s="586"/>
      <c r="E133" s="587" t="s">
        <v>1124</v>
      </c>
      <c r="F133" s="588" t="s">
        <v>599</v>
      </c>
      <c r="G133" s="586"/>
      <c r="H133" s="599">
        <v>44580</v>
      </c>
      <c r="I133" s="595">
        <f t="shared" si="10"/>
        <v>2061818.1818181816</v>
      </c>
      <c r="J133" s="595">
        <f t="shared" si="11"/>
        <v>206181.81818181818</v>
      </c>
      <c r="K133" s="596">
        <v>2268000</v>
      </c>
      <c r="L133" s="597"/>
    </row>
    <row r="134" spans="1:12" x14ac:dyDescent="0.2">
      <c r="A134" s="316">
        <v>129</v>
      </c>
      <c r="B134" s="591" t="s">
        <v>556</v>
      </c>
      <c r="C134" s="602" t="s">
        <v>1186</v>
      </c>
      <c r="D134" s="603"/>
      <c r="E134" s="604" t="s">
        <v>981</v>
      </c>
      <c r="F134" s="605" t="s">
        <v>980</v>
      </c>
      <c r="G134" s="654"/>
      <c r="H134" s="606">
        <v>44580</v>
      </c>
      <c r="I134" s="607">
        <f t="shared" si="10"/>
        <v>13803781.818181816</v>
      </c>
      <c r="J134" s="607">
        <f t="shared" si="11"/>
        <v>1380378.1818181816</v>
      </c>
      <c r="K134" s="596">
        <f>10366784+2179584+2637792</f>
        <v>15184160</v>
      </c>
      <c r="L134" s="597"/>
    </row>
    <row r="135" spans="1:12" x14ac:dyDescent="0.2">
      <c r="A135" s="316">
        <v>130</v>
      </c>
      <c r="B135" s="591" t="s">
        <v>557</v>
      </c>
      <c r="C135" s="598" t="s">
        <v>1214</v>
      </c>
      <c r="D135" s="586"/>
      <c r="E135" s="593" t="s">
        <v>1126</v>
      </c>
      <c r="F135" s="593" t="s">
        <v>1127</v>
      </c>
      <c r="G135" s="586"/>
      <c r="H135" s="599">
        <v>44580</v>
      </c>
      <c r="I135" s="595">
        <f t="shared" si="10"/>
        <v>6933863.6363636358</v>
      </c>
      <c r="J135" s="595">
        <f t="shared" si="11"/>
        <v>693386.36363636365</v>
      </c>
      <c r="K135" s="596">
        <f>2476250+5151000</f>
        <v>7627250</v>
      </c>
      <c r="L135" s="597"/>
    </row>
    <row r="136" spans="1:12" x14ac:dyDescent="0.2">
      <c r="A136" s="316">
        <v>131</v>
      </c>
      <c r="B136" s="591" t="s">
        <v>558</v>
      </c>
      <c r="C136" s="598" t="s">
        <v>1128</v>
      </c>
      <c r="D136" s="586"/>
      <c r="E136" s="587" t="s">
        <v>1129</v>
      </c>
      <c r="F136" s="588" t="s">
        <v>1130</v>
      </c>
      <c r="G136" s="586"/>
      <c r="H136" s="599">
        <v>44580</v>
      </c>
      <c r="I136" s="595">
        <f t="shared" si="10"/>
        <v>688581.81818181812</v>
      </c>
      <c r="J136" s="595">
        <f t="shared" si="11"/>
        <v>68858.181818181809</v>
      </c>
      <c r="K136" s="596">
        <v>757440</v>
      </c>
      <c r="L136" s="597"/>
    </row>
    <row r="137" spans="1:12" x14ac:dyDescent="0.2">
      <c r="A137" s="316">
        <v>132</v>
      </c>
      <c r="B137" s="591" t="s">
        <v>559</v>
      </c>
      <c r="C137" s="598" t="s">
        <v>1132</v>
      </c>
      <c r="D137" s="586"/>
      <c r="E137" s="587" t="s">
        <v>1131</v>
      </c>
      <c r="F137" s="588" t="s">
        <v>1042</v>
      </c>
      <c r="G137" s="586"/>
      <c r="H137" s="599">
        <v>44580</v>
      </c>
      <c r="I137" s="595">
        <f t="shared" si="10"/>
        <v>785454.54545454541</v>
      </c>
      <c r="J137" s="595">
        <f t="shared" si="11"/>
        <v>78545.454545454544</v>
      </c>
      <c r="K137" s="596">
        <v>864000</v>
      </c>
      <c r="L137" s="597"/>
    </row>
    <row r="138" spans="1:12" x14ac:dyDescent="0.2">
      <c r="A138" s="316">
        <v>133</v>
      </c>
      <c r="B138" s="591" t="s">
        <v>560</v>
      </c>
      <c r="C138" s="598" t="s">
        <v>1239</v>
      </c>
      <c r="D138" s="586"/>
      <c r="E138" s="587" t="s">
        <v>1016</v>
      </c>
      <c r="F138" s="588" t="s">
        <v>1017</v>
      </c>
      <c r="G138" s="586"/>
      <c r="H138" s="599">
        <v>44581</v>
      </c>
      <c r="I138" s="595">
        <f t="shared" si="10"/>
        <v>3173863.6363636362</v>
      </c>
      <c r="J138" s="595">
        <f t="shared" si="11"/>
        <v>317386.36363636365</v>
      </c>
      <c r="K138" s="596">
        <f>170625+2467500+853125</f>
        <v>3491250</v>
      </c>
      <c r="L138" s="597"/>
    </row>
    <row r="139" spans="1:12" x14ac:dyDescent="0.2">
      <c r="A139" s="316">
        <v>134</v>
      </c>
      <c r="B139" s="591" t="s">
        <v>561</v>
      </c>
      <c r="C139" s="598" t="s">
        <v>1136</v>
      </c>
      <c r="D139" s="586"/>
      <c r="E139" s="587" t="s">
        <v>1135</v>
      </c>
      <c r="F139" s="588" t="s">
        <v>620</v>
      </c>
      <c r="G139" s="586"/>
      <c r="H139" s="599">
        <v>44581</v>
      </c>
      <c r="I139" s="595">
        <f t="shared" si="6"/>
        <v>301636.36363636359</v>
      </c>
      <c r="J139" s="595">
        <f t="shared" si="7"/>
        <v>30163.63636363636</v>
      </c>
      <c r="K139" s="596">
        <v>331800</v>
      </c>
      <c r="L139" s="597"/>
    </row>
    <row r="140" spans="1:12" x14ac:dyDescent="0.2">
      <c r="A140" s="316">
        <v>135</v>
      </c>
      <c r="B140" s="591" t="s">
        <v>562</v>
      </c>
      <c r="C140" s="598" t="s">
        <v>1137</v>
      </c>
      <c r="D140" s="586"/>
      <c r="E140" s="587" t="s">
        <v>986</v>
      </c>
      <c r="F140" s="588" t="s">
        <v>980</v>
      </c>
      <c r="G140" s="586"/>
      <c r="H140" s="599">
        <v>44582</v>
      </c>
      <c r="I140" s="595">
        <f t="shared" si="6"/>
        <v>565527.27272727271</v>
      </c>
      <c r="J140" s="595">
        <f t="shared" si="7"/>
        <v>56552.727272727272</v>
      </c>
      <c r="K140" s="596">
        <v>622080</v>
      </c>
      <c r="L140" s="597"/>
    </row>
    <row r="141" spans="1:12" x14ac:dyDescent="0.2">
      <c r="A141" s="316">
        <v>136</v>
      </c>
      <c r="B141" s="591" t="s">
        <v>563</v>
      </c>
      <c r="C141" s="598" t="s">
        <v>1208</v>
      </c>
      <c r="D141" s="586"/>
      <c r="E141" s="587" t="s">
        <v>992</v>
      </c>
      <c r="F141" s="588" t="s">
        <v>993</v>
      </c>
      <c r="G141" s="586"/>
      <c r="H141" s="599">
        <v>44581</v>
      </c>
      <c r="I141" s="595">
        <f t="shared" si="6"/>
        <v>4402771.8181818174</v>
      </c>
      <c r="J141" s="595">
        <f t="shared" si="7"/>
        <v>440277.18181818177</v>
      </c>
      <c r="K141" s="596">
        <f>4064116+662158+116775</f>
        <v>4843049</v>
      </c>
      <c r="L141" s="597"/>
    </row>
    <row r="142" spans="1:12" x14ac:dyDescent="0.2">
      <c r="A142" s="316">
        <v>137</v>
      </c>
      <c r="B142" s="591" t="s">
        <v>564</v>
      </c>
      <c r="C142" s="598" t="s">
        <v>1187</v>
      </c>
      <c r="D142" s="586"/>
      <c r="E142" s="587" t="s">
        <v>1188</v>
      </c>
      <c r="F142" s="588" t="s">
        <v>1042</v>
      </c>
      <c r="G142" s="586"/>
      <c r="H142" s="599">
        <v>44581</v>
      </c>
      <c r="I142" s="595">
        <f t="shared" si="6"/>
        <v>1823999.9999999998</v>
      </c>
      <c r="J142" s="595">
        <f t="shared" si="7"/>
        <v>182400</v>
      </c>
      <c r="K142" s="596">
        <v>2006400</v>
      </c>
      <c r="L142" s="597"/>
    </row>
    <row r="143" spans="1:12" x14ac:dyDescent="0.2">
      <c r="A143" s="316">
        <v>138</v>
      </c>
      <c r="B143" s="591" t="s">
        <v>565</v>
      </c>
      <c r="C143" s="598" t="s">
        <v>1190</v>
      </c>
      <c r="D143" s="586"/>
      <c r="E143" s="587" t="s">
        <v>1189</v>
      </c>
      <c r="F143" s="588" t="s">
        <v>1191</v>
      </c>
      <c r="G143" s="586"/>
      <c r="H143" s="599">
        <v>44581</v>
      </c>
      <c r="I143" s="595">
        <f t="shared" si="6"/>
        <v>1025454.5454545454</v>
      </c>
      <c r="J143" s="595">
        <f t="shared" si="7"/>
        <v>102545.45454545454</v>
      </c>
      <c r="K143" s="596">
        <v>1128000</v>
      </c>
      <c r="L143" s="597"/>
    </row>
    <row r="144" spans="1:12" x14ac:dyDescent="0.2">
      <c r="A144" s="316">
        <v>139</v>
      </c>
      <c r="B144" s="591" t="s">
        <v>566</v>
      </c>
      <c r="C144" s="598" t="s">
        <v>1192</v>
      </c>
      <c r="D144" s="586"/>
      <c r="E144" s="587" t="s">
        <v>1193</v>
      </c>
      <c r="F144" s="588" t="s">
        <v>620</v>
      </c>
      <c r="G144" s="586"/>
      <c r="H144" s="599">
        <v>44582</v>
      </c>
      <c r="I144" s="595">
        <f t="shared" si="6"/>
        <v>816136.36363636353</v>
      </c>
      <c r="J144" s="595">
        <f t="shared" si="7"/>
        <v>81613.636363636353</v>
      </c>
      <c r="K144" s="596">
        <v>897750</v>
      </c>
      <c r="L144" s="597"/>
    </row>
    <row r="145" spans="1:12" x14ac:dyDescent="0.2">
      <c r="A145" s="316">
        <v>140</v>
      </c>
      <c r="B145" s="591" t="s">
        <v>567</v>
      </c>
      <c r="C145" s="602" t="s">
        <v>1195</v>
      </c>
      <c r="D145" s="603"/>
      <c r="E145" s="604" t="s">
        <v>1194</v>
      </c>
      <c r="F145" s="605" t="s">
        <v>620</v>
      </c>
      <c r="G145" s="654"/>
      <c r="H145" s="606">
        <v>44582</v>
      </c>
      <c r="I145" s="607">
        <f t="shared" si="6"/>
        <v>732363.63636363635</v>
      </c>
      <c r="J145" s="607">
        <f t="shared" si="7"/>
        <v>73236.363636363632</v>
      </c>
      <c r="K145" s="596">
        <v>805600</v>
      </c>
      <c r="L145" s="597"/>
    </row>
    <row r="146" spans="1:12" x14ac:dyDescent="0.2">
      <c r="A146" s="316">
        <v>141</v>
      </c>
      <c r="B146" s="591" t="s">
        <v>568</v>
      </c>
      <c r="C146" s="598" t="s">
        <v>1196</v>
      </c>
      <c r="D146" s="586"/>
      <c r="E146" s="587" t="s">
        <v>1197</v>
      </c>
      <c r="F146" s="588" t="s">
        <v>620</v>
      </c>
      <c r="G146" s="586"/>
      <c r="H146" s="599">
        <v>44582</v>
      </c>
      <c r="I146" s="595">
        <f t="shared" si="6"/>
        <v>250909.09090909088</v>
      </c>
      <c r="J146" s="595">
        <f t="shared" si="7"/>
        <v>25090.909090909088</v>
      </c>
      <c r="K146" s="596">
        <v>276000</v>
      </c>
      <c r="L146" s="597"/>
    </row>
    <row r="147" spans="1:12" x14ac:dyDescent="0.2">
      <c r="A147" s="316">
        <v>142</v>
      </c>
      <c r="B147" s="591" t="s">
        <v>569</v>
      </c>
      <c r="C147" s="598" t="s">
        <v>1199</v>
      </c>
      <c r="D147" s="586"/>
      <c r="E147" s="587" t="s">
        <v>1200</v>
      </c>
      <c r="F147" s="588" t="s">
        <v>971</v>
      </c>
      <c r="G147" s="586"/>
      <c r="H147" s="599">
        <v>44583</v>
      </c>
      <c r="I147" s="595">
        <f t="shared" si="6"/>
        <v>494181.81818181812</v>
      </c>
      <c r="J147" s="595">
        <f t="shared" si="7"/>
        <v>49418.181818181816</v>
      </c>
      <c r="K147" s="596">
        <v>543600</v>
      </c>
      <c r="L147" s="597"/>
    </row>
    <row r="148" spans="1:12" x14ac:dyDescent="0.2">
      <c r="A148" s="316">
        <v>143</v>
      </c>
      <c r="B148" s="591" t="s">
        <v>570</v>
      </c>
      <c r="C148" s="598" t="s">
        <v>1202</v>
      </c>
      <c r="D148" s="586"/>
      <c r="E148" s="587" t="s">
        <v>1201</v>
      </c>
      <c r="F148" s="588" t="s">
        <v>1099</v>
      </c>
      <c r="G148" s="586"/>
      <c r="H148" s="599">
        <v>44583</v>
      </c>
      <c r="I148" s="595">
        <f t="shared" si="6"/>
        <v>10982990.909090908</v>
      </c>
      <c r="J148" s="595">
        <f t="shared" si="7"/>
        <v>1098299.0909090908</v>
      </c>
      <c r="K148" s="596">
        <v>12081290</v>
      </c>
      <c r="L148" s="597"/>
    </row>
    <row r="149" spans="1:12" x14ac:dyDescent="0.2">
      <c r="A149" s="316">
        <v>144</v>
      </c>
      <c r="B149" s="591" t="s">
        <v>571</v>
      </c>
      <c r="C149" s="598" t="s">
        <v>1204</v>
      </c>
      <c r="D149" s="586"/>
      <c r="E149" s="587" t="s">
        <v>2713</v>
      </c>
      <c r="F149" s="588" t="s">
        <v>620</v>
      </c>
      <c r="G149" s="586"/>
      <c r="H149" s="599">
        <v>44583</v>
      </c>
      <c r="I149" s="595">
        <f t="shared" si="6"/>
        <v>821454.54545454541</v>
      </c>
      <c r="J149" s="595">
        <f t="shared" si="7"/>
        <v>82145.454545454544</v>
      </c>
      <c r="K149" s="596">
        <v>903600</v>
      </c>
      <c r="L149" s="597"/>
    </row>
    <row r="150" spans="1:12" x14ac:dyDescent="0.2">
      <c r="A150" s="316">
        <v>145</v>
      </c>
      <c r="B150" s="591" t="s">
        <v>572</v>
      </c>
      <c r="C150" s="602" t="s">
        <v>1294</v>
      </c>
      <c r="D150" s="603"/>
      <c r="E150" s="604" t="s">
        <v>1205</v>
      </c>
      <c r="F150" s="605" t="s">
        <v>1206</v>
      </c>
      <c r="G150" s="654"/>
      <c r="H150" s="606">
        <v>44583</v>
      </c>
      <c r="I150" s="607">
        <f t="shared" si="6"/>
        <v>2867272.7272727271</v>
      </c>
      <c r="J150" s="607">
        <f t="shared" si="7"/>
        <v>286727.27272727271</v>
      </c>
      <c r="K150" s="596">
        <f>2656000+498000</f>
        <v>3154000</v>
      </c>
      <c r="L150" s="597"/>
    </row>
    <row r="151" spans="1:12" x14ac:dyDescent="0.2">
      <c r="A151" s="316">
        <v>146</v>
      </c>
      <c r="B151" s="591" t="s">
        <v>573</v>
      </c>
      <c r="C151" s="598" t="s">
        <v>1233</v>
      </c>
      <c r="D151" s="586"/>
      <c r="E151" s="587" t="s">
        <v>1210</v>
      </c>
      <c r="F151" s="588" t="s">
        <v>1127</v>
      </c>
      <c r="G151" s="586"/>
      <c r="H151" s="599">
        <v>44585</v>
      </c>
      <c r="I151" s="595">
        <f t="shared" si="6"/>
        <v>6265636.3636363633</v>
      </c>
      <c r="J151" s="595">
        <f t="shared" si="7"/>
        <v>626563.63636363635</v>
      </c>
      <c r="K151" s="596">
        <f>3137400+1071000+2683800</f>
        <v>6892200</v>
      </c>
      <c r="L151" s="597"/>
    </row>
    <row r="152" spans="1:12" x14ac:dyDescent="0.2">
      <c r="A152" s="316">
        <v>147</v>
      </c>
      <c r="B152" s="591" t="s">
        <v>574</v>
      </c>
      <c r="C152" s="598" t="s">
        <v>1219</v>
      </c>
      <c r="D152" s="586"/>
      <c r="E152" s="587" t="s">
        <v>1021</v>
      </c>
      <c r="F152" s="588" t="s">
        <v>1022</v>
      </c>
      <c r="G152" s="586"/>
      <c r="H152" s="599">
        <v>44585</v>
      </c>
      <c r="I152" s="595">
        <f t="shared" si="6"/>
        <v>5822509.0909090908</v>
      </c>
      <c r="J152" s="595">
        <f t="shared" si="7"/>
        <v>582250.90909090906</v>
      </c>
      <c r="K152" s="596">
        <f>738000+2799360+2867400</f>
        <v>6404760</v>
      </c>
      <c r="L152" s="597"/>
    </row>
    <row r="153" spans="1:12" x14ac:dyDescent="0.2">
      <c r="A153" s="316">
        <v>148</v>
      </c>
      <c r="B153" s="591" t="s">
        <v>575</v>
      </c>
      <c r="C153" s="598" t="s">
        <v>1211</v>
      </c>
      <c r="D153" s="586"/>
      <c r="E153" s="587" t="s">
        <v>1053</v>
      </c>
      <c r="F153" s="588" t="s">
        <v>1042</v>
      </c>
      <c r="G153" s="586"/>
      <c r="H153" s="599">
        <v>44585</v>
      </c>
      <c r="I153" s="595">
        <f t="shared" si="6"/>
        <v>1449163.6363636362</v>
      </c>
      <c r="J153" s="595">
        <f t="shared" si="7"/>
        <v>144916.36363636362</v>
      </c>
      <c r="K153" s="596">
        <v>1594080</v>
      </c>
      <c r="L153" s="597"/>
    </row>
    <row r="154" spans="1:12" x14ac:dyDescent="0.2">
      <c r="A154" s="316">
        <v>149</v>
      </c>
      <c r="B154" s="591" t="s">
        <v>576</v>
      </c>
      <c r="C154" s="598" t="s">
        <v>1232</v>
      </c>
      <c r="D154" s="586"/>
      <c r="E154" s="587" t="s">
        <v>992</v>
      </c>
      <c r="F154" s="588" t="s">
        <v>673</v>
      </c>
      <c r="G154" s="586"/>
      <c r="H154" s="599">
        <v>44586</v>
      </c>
      <c r="I154" s="595">
        <f t="shared" si="6"/>
        <v>28161909.09090909</v>
      </c>
      <c r="J154" s="595">
        <f t="shared" si="7"/>
        <v>2816190.9090909092</v>
      </c>
      <c r="K154" s="596">
        <f>20762700+144000+10071400</f>
        <v>30978100</v>
      </c>
      <c r="L154" s="597"/>
    </row>
    <row r="155" spans="1:12" x14ac:dyDescent="0.2">
      <c r="A155" s="316">
        <v>150</v>
      </c>
      <c r="B155" s="591" t="s">
        <v>577</v>
      </c>
      <c r="C155" s="598" t="s">
        <v>1216</v>
      </c>
      <c r="D155" s="586"/>
      <c r="E155" s="587" t="s">
        <v>1217</v>
      </c>
      <c r="F155" s="588" t="s">
        <v>1218</v>
      </c>
      <c r="G155" s="586"/>
      <c r="H155" s="599">
        <v>44586</v>
      </c>
      <c r="I155" s="595">
        <f t="shared" ref="I155:I178" si="12">K155/1.1</f>
        <v>1245681.8181818181</v>
      </c>
      <c r="J155" s="595">
        <f t="shared" ref="J155:J178" si="13">I155*10%</f>
        <v>124568.18181818182</v>
      </c>
      <c r="K155" s="596">
        <v>1370250</v>
      </c>
      <c r="L155" s="597"/>
    </row>
    <row r="156" spans="1:12" x14ac:dyDescent="0.2">
      <c r="A156" s="316">
        <v>151</v>
      </c>
      <c r="B156" s="591" t="s">
        <v>1138</v>
      </c>
      <c r="C156" s="598" t="s">
        <v>1278</v>
      </c>
      <c r="D156" s="586"/>
      <c r="E156" s="587" t="s">
        <v>978</v>
      </c>
      <c r="F156" s="588" t="s">
        <v>590</v>
      </c>
      <c r="G156" s="586"/>
      <c r="H156" s="599">
        <v>44586</v>
      </c>
      <c r="I156" s="595">
        <f t="shared" si="12"/>
        <v>14366596.363636363</v>
      </c>
      <c r="J156" s="595">
        <f t="shared" si="13"/>
        <v>1436659.6363636365</v>
      </c>
      <c r="K156" s="596">
        <f>8656536+2043360+5103360</f>
        <v>15803256</v>
      </c>
      <c r="L156" s="597"/>
    </row>
    <row r="157" spans="1:12" x14ac:dyDescent="0.2">
      <c r="A157" s="316">
        <v>152</v>
      </c>
      <c r="B157" s="591" t="s">
        <v>1139</v>
      </c>
      <c r="C157" s="598" t="s">
        <v>1303</v>
      </c>
      <c r="D157" s="586"/>
      <c r="E157" s="587" t="s">
        <v>1220</v>
      </c>
      <c r="F157" s="588" t="s">
        <v>1221</v>
      </c>
      <c r="G157" s="586"/>
      <c r="H157" s="599">
        <v>44586</v>
      </c>
      <c r="I157" s="595">
        <f t="shared" si="12"/>
        <v>11207127.272727272</v>
      </c>
      <c r="J157" s="595">
        <f t="shared" si="13"/>
        <v>1120712.7272727273</v>
      </c>
      <c r="K157" s="596">
        <f>1080000+10527840+720000</f>
        <v>12327840</v>
      </c>
      <c r="L157" s="597"/>
    </row>
    <row r="158" spans="1:12" x14ac:dyDescent="0.2">
      <c r="A158" s="316">
        <v>153</v>
      </c>
      <c r="B158" s="591" t="s">
        <v>1140</v>
      </c>
      <c r="C158" s="602" t="s">
        <v>1223</v>
      </c>
      <c r="D158" s="603"/>
      <c r="E158" s="604" t="s">
        <v>1222</v>
      </c>
      <c r="F158" s="605" t="s">
        <v>620</v>
      </c>
      <c r="G158" s="654"/>
      <c r="H158" s="606">
        <v>44587</v>
      </c>
      <c r="I158" s="607">
        <f t="shared" si="12"/>
        <v>714545.45454545447</v>
      </c>
      <c r="J158" s="607">
        <f t="shared" si="13"/>
        <v>71454.545454545456</v>
      </c>
      <c r="K158" s="596">
        <v>786000</v>
      </c>
      <c r="L158" s="597"/>
    </row>
    <row r="159" spans="1:12" x14ac:dyDescent="0.2">
      <c r="A159" s="316">
        <v>154</v>
      </c>
      <c r="B159" s="591" t="s">
        <v>1141</v>
      </c>
      <c r="C159" s="598" t="s">
        <v>1224</v>
      </c>
      <c r="D159" s="586"/>
      <c r="E159" s="587" t="s">
        <v>1225</v>
      </c>
      <c r="F159" s="588" t="s">
        <v>1206</v>
      </c>
      <c r="G159" s="586"/>
      <c r="H159" s="599">
        <v>44587</v>
      </c>
      <c r="I159" s="595">
        <f t="shared" si="12"/>
        <v>874090.90909090906</v>
      </c>
      <c r="J159" s="595">
        <f t="shared" si="13"/>
        <v>87409.090909090912</v>
      </c>
      <c r="K159" s="596">
        <v>961500</v>
      </c>
      <c r="L159" s="597"/>
    </row>
    <row r="160" spans="1:12" x14ac:dyDescent="0.2">
      <c r="A160" s="316">
        <v>155</v>
      </c>
      <c r="B160" s="591" t="s">
        <v>1142</v>
      </c>
      <c r="C160" s="598" t="s">
        <v>1301</v>
      </c>
      <c r="D160" s="586"/>
      <c r="E160" s="587" t="s">
        <v>1226</v>
      </c>
      <c r="F160" s="588" t="s">
        <v>1127</v>
      </c>
      <c r="G160" s="586"/>
      <c r="H160" s="599">
        <v>44587</v>
      </c>
      <c r="I160" s="595">
        <f t="shared" si="12"/>
        <v>4495636.3636363633</v>
      </c>
      <c r="J160" s="595">
        <f t="shared" si="13"/>
        <v>449563.63636363635</v>
      </c>
      <c r="K160" s="596">
        <f>1648200+3297000</f>
        <v>4945200</v>
      </c>
      <c r="L160" s="597"/>
    </row>
    <row r="161" spans="1:12" x14ac:dyDescent="0.2">
      <c r="A161" s="316">
        <v>156</v>
      </c>
      <c r="B161" s="591" t="s">
        <v>1143</v>
      </c>
      <c r="C161" s="598" t="s">
        <v>1227</v>
      </c>
      <c r="D161" s="586"/>
      <c r="E161" s="587" t="s">
        <v>1228</v>
      </c>
      <c r="F161" s="588" t="s">
        <v>1025</v>
      </c>
      <c r="G161" s="586"/>
      <c r="H161" s="599">
        <v>44587</v>
      </c>
      <c r="I161" s="595">
        <f t="shared" si="12"/>
        <v>1399090.9090909089</v>
      </c>
      <c r="J161" s="595">
        <f t="shared" si="13"/>
        <v>139909.09090909091</v>
      </c>
      <c r="K161" s="596">
        <v>1539000</v>
      </c>
      <c r="L161" s="597"/>
    </row>
    <row r="162" spans="1:12" x14ac:dyDescent="0.2">
      <c r="A162" s="316">
        <v>157</v>
      </c>
      <c r="B162" s="591" t="s">
        <v>1144</v>
      </c>
      <c r="C162" s="598" t="s">
        <v>1247</v>
      </c>
      <c r="D162" s="586"/>
      <c r="E162" s="587" t="s">
        <v>970</v>
      </c>
      <c r="F162" s="588" t="s">
        <v>971</v>
      </c>
      <c r="G162" s="586"/>
      <c r="H162" s="599">
        <v>44587</v>
      </c>
      <c r="I162" s="595">
        <f t="shared" si="12"/>
        <v>7923522.7272727266</v>
      </c>
      <c r="J162" s="595">
        <f t="shared" si="13"/>
        <v>792352.27272727271</v>
      </c>
      <c r="K162" s="596">
        <f>7182875+745500+787500</f>
        <v>8715875</v>
      </c>
      <c r="L162" s="597"/>
    </row>
    <row r="163" spans="1:12" x14ac:dyDescent="0.2">
      <c r="A163" s="316">
        <v>158</v>
      </c>
      <c r="B163" s="591" t="s">
        <v>1145</v>
      </c>
      <c r="C163" s="602" t="s">
        <v>1245</v>
      </c>
      <c r="D163" s="603"/>
      <c r="E163" s="604" t="s">
        <v>979</v>
      </c>
      <c r="F163" s="605" t="s">
        <v>980</v>
      </c>
      <c r="G163" s="654"/>
      <c r="H163" s="606">
        <v>44587</v>
      </c>
      <c r="I163" s="607">
        <f t="shared" si="12"/>
        <v>8409861.8181818184</v>
      </c>
      <c r="J163" s="607">
        <f t="shared" si="13"/>
        <v>840986.18181818188</v>
      </c>
      <c r="K163" s="596">
        <f>3083616+6167232</f>
        <v>9250848</v>
      </c>
      <c r="L163" s="597"/>
    </row>
    <row r="164" spans="1:12" x14ac:dyDescent="0.2">
      <c r="A164" s="316">
        <v>159</v>
      </c>
      <c r="B164" s="591" t="s">
        <v>1146</v>
      </c>
      <c r="C164" s="598" t="s">
        <v>1234</v>
      </c>
      <c r="D164" s="586"/>
      <c r="E164" s="587" t="s">
        <v>1235</v>
      </c>
      <c r="F164" s="588" t="s">
        <v>1104</v>
      </c>
      <c r="G164" s="586"/>
      <c r="H164" s="599">
        <v>44587</v>
      </c>
      <c r="I164" s="595">
        <f t="shared" si="12"/>
        <v>2978181.8181818179</v>
      </c>
      <c r="J164" s="595">
        <f t="shared" si="13"/>
        <v>297818.18181818182</v>
      </c>
      <c r="K164" s="596">
        <v>3276000</v>
      </c>
      <c r="L164" s="597"/>
    </row>
    <row r="165" spans="1:12" x14ac:dyDescent="0.2">
      <c r="A165" s="316">
        <v>160</v>
      </c>
      <c r="B165" s="591" t="s">
        <v>1147</v>
      </c>
      <c r="C165" s="598" t="s">
        <v>1237</v>
      </c>
      <c r="D165" s="586"/>
      <c r="E165" s="587" t="s">
        <v>1238</v>
      </c>
      <c r="F165" s="588" t="s">
        <v>1042</v>
      </c>
      <c r="G165" s="586"/>
      <c r="H165" s="599">
        <v>44588</v>
      </c>
      <c r="I165" s="595">
        <f t="shared" ref="I165:I175" si="14">K165/1.1</f>
        <v>2886545.4545454541</v>
      </c>
      <c r="J165" s="595">
        <f t="shared" ref="J165:J175" si="15">I165*10%</f>
        <v>288654.54545454541</v>
      </c>
      <c r="K165" s="596">
        <v>3175200</v>
      </c>
      <c r="L165" s="597"/>
    </row>
    <row r="166" spans="1:12" x14ac:dyDescent="0.2">
      <c r="A166" s="316">
        <v>161</v>
      </c>
      <c r="B166" s="591" t="s">
        <v>1148</v>
      </c>
      <c r="C166" s="598" t="s">
        <v>1280</v>
      </c>
      <c r="D166" s="586"/>
      <c r="E166" s="587" t="s">
        <v>976</v>
      </c>
      <c r="F166" s="588" t="s">
        <v>977</v>
      </c>
      <c r="G166" s="586"/>
      <c r="H166" s="599">
        <v>44588</v>
      </c>
      <c r="I166" s="595">
        <f t="shared" si="14"/>
        <v>4877672.7272727266</v>
      </c>
      <c r="J166" s="595">
        <f t="shared" si="15"/>
        <v>487767.27272727271</v>
      </c>
      <c r="K166" s="596">
        <f>2138400+3227040</f>
        <v>5365440</v>
      </c>
      <c r="L166" s="597"/>
    </row>
    <row r="167" spans="1:12" x14ac:dyDescent="0.2">
      <c r="A167" s="316">
        <v>162</v>
      </c>
      <c r="B167" s="591" t="s">
        <v>1149</v>
      </c>
      <c r="C167" s="598" t="s">
        <v>1241</v>
      </c>
      <c r="D167" s="586"/>
      <c r="E167" s="587" t="s">
        <v>992</v>
      </c>
      <c r="F167" s="588" t="s">
        <v>993</v>
      </c>
      <c r="G167" s="586"/>
      <c r="H167" s="599">
        <v>44588</v>
      </c>
      <c r="I167" s="595">
        <f t="shared" si="14"/>
        <v>700178.18181818177</v>
      </c>
      <c r="J167" s="595">
        <f t="shared" si="15"/>
        <v>70017.818181818177</v>
      </c>
      <c r="K167" s="596">
        <v>770196</v>
      </c>
      <c r="L167" s="597"/>
    </row>
    <row r="168" spans="1:12" x14ac:dyDescent="0.2">
      <c r="A168" s="316">
        <v>163</v>
      </c>
      <c r="B168" s="591" t="s">
        <v>1150</v>
      </c>
      <c r="C168" s="598" t="s">
        <v>1275</v>
      </c>
      <c r="D168" s="586"/>
      <c r="E168" s="587" t="s">
        <v>992</v>
      </c>
      <c r="F168" s="588" t="s">
        <v>673</v>
      </c>
      <c r="G168" s="586"/>
      <c r="H168" s="599">
        <v>44588</v>
      </c>
      <c r="I168" s="595">
        <f t="shared" si="14"/>
        <v>6219818.1818181816</v>
      </c>
      <c r="J168" s="595">
        <f t="shared" si="15"/>
        <v>621981.81818181823</v>
      </c>
      <c r="K168" s="596">
        <f>2079000+2683800+2079000</f>
        <v>6841800</v>
      </c>
      <c r="L168" s="597"/>
    </row>
    <row r="169" spans="1:12" x14ac:dyDescent="0.2">
      <c r="A169" s="316">
        <v>164</v>
      </c>
      <c r="B169" s="591" t="s">
        <v>1151</v>
      </c>
      <c r="C169" s="598" t="s">
        <v>1242</v>
      </c>
      <c r="D169" s="586"/>
      <c r="E169" s="587" t="s">
        <v>1243</v>
      </c>
      <c r="F169" s="588" t="s">
        <v>1244</v>
      </c>
      <c r="G169" s="586"/>
      <c r="H169" s="599">
        <v>44589</v>
      </c>
      <c r="I169" s="595">
        <f t="shared" si="14"/>
        <v>3361254.5454545454</v>
      </c>
      <c r="J169" s="595">
        <f t="shared" si="15"/>
        <v>336125.45454545459</v>
      </c>
      <c r="K169" s="596">
        <v>3697380</v>
      </c>
      <c r="L169" s="597"/>
    </row>
    <row r="170" spans="1:12" x14ac:dyDescent="0.2">
      <c r="A170" s="316">
        <v>165</v>
      </c>
      <c r="B170" s="591" t="s">
        <v>1152</v>
      </c>
      <c r="C170" s="598" t="s">
        <v>1300</v>
      </c>
      <c r="D170" s="586"/>
      <c r="E170" s="587" t="s">
        <v>1246</v>
      </c>
      <c r="F170" s="588" t="s">
        <v>579</v>
      </c>
      <c r="G170" s="586"/>
      <c r="H170" s="599">
        <v>44589</v>
      </c>
      <c r="I170" s="595">
        <f t="shared" si="14"/>
        <v>5038690.9090909082</v>
      </c>
      <c r="J170" s="595">
        <f t="shared" si="15"/>
        <v>503869.09090909082</v>
      </c>
      <c r="K170" s="596">
        <f>4921560+621000</f>
        <v>5542560</v>
      </c>
      <c r="L170" s="597"/>
    </row>
    <row r="171" spans="1:12" x14ac:dyDescent="0.2">
      <c r="A171" s="316">
        <v>166</v>
      </c>
      <c r="B171" s="591" t="s">
        <v>1153</v>
      </c>
      <c r="C171" s="602" t="s">
        <v>1248</v>
      </c>
      <c r="D171" s="603"/>
      <c r="E171" s="604" t="s">
        <v>992</v>
      </c>
      <c r="F171" s="605" t="s">
        <v>1127</v>
      </c>
      <c r="G171" s="654"/>
      <c r="H171" s="606">
        <v>44592</v>
      </c>
      <c r="I171" s="607">
        <f t="shared" si="14"/>
        <v>4415727.2727272725</v>
      </c>
      <c r="J171" s="607">
        <f t="shared" si="15"/>
        <v>441572.72727272729</v>
      </c>
      <c r="K171" s="596">
        <v>4857300</v>
      </c>
      <c r="L171" s="597"/>
    </row>
    <row r="172" spans="1:12" x14ac:dyDescent="0.2">
      <c r="A172" s="316">
        <v>167</v>
      </c>
      <c r="B172" s="591" t="s">
        <v>1154</v>
      </c>
      <c r="C172" s="598" t="s">
        <v>1249</v>
      </c>
      <c r="D172" s="586"/>
      <c r="E172" s="587" t="s">
        <v>1009</v>
      </c>
      <c r="F172" s="588" t="s">
        <v>1008</v>
      </c>
      <c r="G172" s="586"/>
      <c r="H172" s="599">
        <v>44589</v>
      </c>
      <c r="I172" s="595">
        <f t="shared" si="14"/>
        <v>2598763.6363636362</v>
      </c>
      <c r="J172" s="595">
        <f t="shared" si="15"/>
        <v>259876.36363636365</v>
      </c>
      <c r="K172" s="596">
        <v>2858640</v>
      </c>
      <c r="L172" s="597"/>
    </row>
    <row r="173" spans="1:12" x14ac:dyDescent="0.2">
      <c r="A173" s="316">
        <v>168</v>
      </c>
      <c r="B173" s="591" t="s">
        <v>1155</v>
      </c>
      <c r="C173" s="598" t="s">
        <v>1283</v>
      </c>
      <c r="D173" s="586"/>
      <c r="E173" s="587" t="s">
        <v>1016</v>
      </c>
      <c r="F173" s="588" t="s">
        <v>1017</v>
      </c>
      <c r="G173" s="586"/>
      <c r="H173" s="599">
        <v>44589</v>
      </c>
      <c r="I173" s="595">
        <f t="shared" si="14"/>
        <v>1386000</v>
      </c>
      <c r="J173" s="595">
        <f t="shared" si="15"/>
        <v>138600</v>
      </c>
      <c r="K173" s="596">
        <f>1052100+472500</f>
        <v>1524600</v>
      </c>
      <c r="L173" s="597"/>
    </row>
    <row r="174" spans="1:12" x14ac:dyDescent="0.2">
      <c r="A174" s="316">
        <v>169</v>
      </c>
      <c r="B174" s="591" t="s">
        <v>1156</v>
      </c>
      <c r="C174" s="598" t="s">
        <v>1293</v>
      </c>
      <c r="D174" s="586"/>
      <c r="E174" s="587" t="s">
        <v>1021</v>
      </c>
      <c r="F174" s="588" t="s">
        <v>1022</v>
      </c>
      <c r="G174" s="586"/>
      <c r="H174" s="599">
        <v>44589</v>
      </c>
      <c r="I174" s="595">
        <f t="shared" si="14"/>
        <v>1773654.5454545454</v>
      </c>
      <c r="J174" s="595">
        <f t="shared" si="15"/>
        <v>177365.45454545456</v>
      </c>
      <c r="K174" s="596">
        <f>1446120+504900</f>
        <v>1951020</v>
      </c>
      <c r="L174" s="597"/>
    </row>
    <row r="175" spans="1:12" x14ac:dyDescent="0.2">
      <c r="A175" s="316">
        <v>170</v>
      </c>
      <c r="B175" s="591" t="s">
        <v>1157</v>
      </c>
      <c r="C175" s="598" t="s">
        <v>1276</v>
      </c>
      <c r="D175" s="586"/>
      <c r="E175" s="587" t="s">
        <v>1277</v>
      </c>
      <c r="F175" s="588" t="s">
        <v>1019</v>
      </c>
      <c r="G175" s="586"/>
      <c r="H175" s="599">
        <v>44589</v>
      </c>
      <c r="I175" s="595">
        <f t="shared" si="14"/>
        <v>220909.09090909088</v>
      </c>
      <c r="J175" s="595">
        <f t="shared" si="15"/>
        <v>22090.909090909088</v>
      </c>
      <c r="K175" s="596">
        <v>243000</v>
      </c>
      <c r="L175" s="597"/>
    </row>
    <row r="176" spans="1:12" x14ac:dyDescent="0.2">
      <c r="A176" s="316">
        <v>171</v>
      </c>
      <c r="B176" s="591" t="s">
        <v>1158</v>
      </c>
      <c r="C176" s="598" t="s">
        <v>1279</v>
      </c>
      <c r="D176" s="586"/>
      <c r="E176" s="587" t="s">
        <v>981</v>
      </c>
      <c r="F176" s="588" t="s">
        <v>980</v>
      </c>
      <c r="G176" s="586"/>
      <c r="H176" s="599">
        <v>44589</v>
      </c>
      <c r="I176" s="595">
        <f t="shared" si="12"/>
        <v>7723112.7272727266</v>
      </c>
      <c r="J176" s="595">
        <f t="shared" si="13"/>
        <v>772311.27272727271</v>
      </c>
      <c r="K176" s="596">
        <v>8495424</v>
      </c>
      <c r="L176" s="597"/>
    </row>
    <row r="177" spans="1:12" x14ac:dyDescent="0.2">
      <c r="A177" s="316">
        <v>172</v>
      </c>
      <c r="B177" s="591" t="s">
        <v>1159</v>
      </c>
      <c r="C177" s="598" t="s">
        <v>1282</v>
      </c>
      <c r="D177" s="586"/>
      <c r="E177" s="587" t="s">
        <v>985</v>
      </c>
      <c r="F177" s="588" t="s">
        <v>426</v>
      </c>
      <c r="G177" s="586"/>
      <c r="H177" s="599">
        <v>44590</v>
      </c>
      <c r="I177" s="595">
        <f t="shared" si="12"/>
        <v>9541636.3636363633</v>
      </c>
      <c r="J177" s="595">
        <f t="shared" si="13"/>
        <v>954163.63636363635</v>
      </c>
      <c r="K177" s="596">
        <v>10495800</v>
      </c>
      <c r="L177" s="597"/>
    </row>
    <row r="178" spans="1:12" x14ac:dyDescent="0.2">
      <c r="A178" s="316">
        <v>173</v>
      </c>
      <c r="B178" s="591" t="s">
        <v>1160</v>
      </c>
      <c r="C178" s="598" t="s">
        <v>1285</v>
      </c>
      <c r="D178" s="586"/>
      <c r="E178" s="587" t="s">
        <v>1286</v>
      </c>
      <c r="F178" s="588" t="s">
        <v>996</v>
      </c>
      <c r="G178" s="586"/>
      <c r="H178" s="599">
        <v>44590</v>
      </c>
      <c r="I178" s="595">
        <f t="shared" si="12"/>
        <v>9600000</v>
      </c>
      <c r="J178" s="595">
        <f t="shared" si="13"/>
        <v>960000</v>
      </c>
      <c r="K178" s="596">
        <v>10560000</v>
      </c>
      <c r="L178" s="597"/>
    </row>
    <row r="179" spans="1:12" x14ac:dyDescent="0.2">
      <c r="A179" s="316">
        <v>174</v>
      </c>
      <c r="B179" s="591" t="s">
        <v>1161</v>
      </c>
      <c r="C179" s="598" t="s">
        <v>1287</v>
      </c>
      <c r="D179" s="586"/>
      <c r="E179" s="587" t="s">
        <v>1288</v>
      </c>
      <c r="F179" s="588" t="s">
        <v>1221</v>
      </c>
      <c r="G179" s="586"/>
      <c r="H179" s="599">
        <v>44592</v>
      </c>
      <c r="I179" s="595">
        <f t="shared" ref="I179:I191" si="16">K179/1.1</f>
        <v>3063272.7272727271</v>
      </c>
      <c r="J179" s="595">
        <f t="shared" ref="J179:J191" si="17">I179*10%</f>
        <v>306327.27272727271</v>
      </c>
      <c r="K179" s="596">
        <v>3369600</v>
      </c>
      <c r="L179" s="597"/>
    </row>
    <row r="180" spans="1:12" x14ac:dyDescent="0.2">
      <c r="A180" s="316">
        <v>175</v>
      </c>
      <c r="B180" s="591" t="s">
        <v>1162</v>
      </c>
      <c r="C180" s="598" t="s">
        <v>1290</v>
      </c>
      <c r="D180" s="586"/>
      <c r="E180" s="587" t="s">
        <v>992</v>
      </c>
      <c r="F180" s="588" t="s">
        <v>1075</v>
      </c>
      <c r="G180" s="586"/>
      <c r="H180" s="599">
        <v>44592</v>
      </c>
      <c r="I180" s="595">
        <f t="shared" si="16"/>
        <v>8818909.0909090899</v>
      </c>
      <c r="J180" s="595">
        <f t="shared" si="17"/>
        <v>881890.90909090906</v>
      </c>
      <c r="K180" s="596">
        <v>9700800</v>
      </c>
      <c r="L180" s="597"/>
    </row>
    <row r="181" spans="1:12" x14ac:dyDescent="0.2">
      <c r="A181" s="316">
        <v>176</v>
      </c>
      <c r="B181" s="591" t="s">
        <v>1163</v>
      </c>
      <c r="C181" s="598" t="s">
        <v>1295</v>
      </c>
      <c r="D181" s="586"/>
      <c r="E181" s="587" t="s">
        <v>1296</v>
      </c>
      <c r="F181" s="588" t="s">
        <v>1033</v>
      </c>
      <c r="G181" s="586"/>
      <c r="H181" s="599">
        <v>44592</v>
      </c>
      <c r="I181" s="595">
        <f t="shared" si="16"/>
        <v>530636.36363636365</v>
      </c>
      <c r="J181" s="595">
        <f t="shared" si="17"/>
        <v>53063.636363636368</v>
      </c>
      <c r="K181" s="596">
        <v>583700</v>
      </c>
      <c r="L181" s="597"/>
    </row>
    <row r="182" spans="1:12" x14ac:dyDescent="0.2">
      <c r="A182" s="316">
        <v>177</v>
      </c>
      <c r="B182" s="591" t="s">
        <v>1164</v>
      </c>
      <c r="C182" s="602" t="s">
        <v>1297</v>
      </c>
      <c r="D182" s="603"/>
      <c r="E182" s="604" t="s">
        <v>1298</v>
      </c>
      <c r="F182" s="605" t="s">
        <v>426</v>
      </c>
      <c r="G182" s="654"/>
      <c r="H182" s="606">
        <v>44592</v>
      </c>
      <c r="I182" s="607">
        <f t="shared" si="16"/>
        <v>559118.18181818177</v>
      </c>
      <c r="J182" s="607">
        <f t="shared" si="17"/>
        <v>55911.818181818177</v>
      </c>
      <c r="K182" s="596">
        <v>615030</v>
      </c>
      <c r="L182" s="597"/>
    </row>
    <row r="183" spans="1:12" x14ac:dyDescent="0.2">
      <c r="A183" s="316">
        <v>178</v>
      </c>
      <c r="B183" s="591" t="s">
        <v>1165</v>
      </c>
      <c r="C183" s="598" t="s">
        <v>1299</v>
      </c>
      <c r="D183" s="586"/>
      <c r="E183" s="587" t="s">
        <v>992</v>
      </c>
      <c r="F183" s="588" t="s">
        <v>673</v>
      </c>
      <c r="G183" s="586"/>
      <c r="H183" s="599">
        <v>44592</v>
      </c>
      <c r="I183" s="595">
        <f t="shared" si="16"/>
        <v>10537704.545454545</v>
      </c>
      <c r="J183" s="595">
        <f t="shared" si="17"/>
        <v>1053770.4545454546</v>
      </c>
      <c r="K183" s="596">
        <v>11591475</v>
      </c>
      <c r="L183" s="597"/>
    </row>
    <row r="184" spans="1:12" x14ac:dyDescent="0.2">
      <c r="A184" s="316">
        <v>179</v>
      </c>
      <c r="B184" s="591" t="s">
        <v>1166</v>
      </c>
      <c r="C184" s="598" t="s">
        <v>1304</v>
      </c>
      <c r="D184" s="586"/>
      <c r="E184" s="587" t="s">
        <v>1090</v>
      </c>
      <c r="F184" s="588" t="s">
        <v>606</v>
      </c>
      <c r="G184" s="586"/>
      <c r="H184" s="599">
        <v>44592</v>
      </c>
      <c r="I184" s="595">
        <f t="shared" si="16"/>
        <v>14144454.545454545</v>
      </c>
      <c r="J184" s="595">
        <f t="shared" si="17"/>
        <v>1414445.4545454546</v>
      </c>
      <c r="K184" s="596">
        <f>10841775+4717125</f>
        <v>15558900</v>
      </c>
      <c r="L184" s="597"/>
    </row>
    <row r="185" spans="1:12" x14ac:dyDescent="0.2">
      <c r="A185" s="316">
        <v>180</v>
      </c>
      <c r="B185" s="591" t="s">
        <v>1167</v>
      </c>
      <c r="C185" s="598" t="s">
        <v>1305</v>
      </c>
      <c r="D185" s="586"/>
      <c r="E185" s="587" t="s">
        <v>1306</v>
      </c>
      <c r="F185" s="588" t="s">
        <v>984</v>
      </c>
      <c r="G185" s="586"/>
      <c r="H185" s="599">
        <v>44592</v>
      </c>
      <c r="I185" s="595">
        <f t="shared" si="16"/>
        <v>141818.18181818179</v>
      </c>
      <c r="J185" s="595">
        <f t="shared" si="17"/>
        <v>14181.81818181818</v>
      </c>
      <c r="K185" s="596">
        <v>156000</v>
      </c>
      <c r="L185" s="597"/>
    </row>
    <row r="186" spans="1:12" x14ac:dyDescent="0.2">
      <c r="A186" s="316">
        <v>181</v>
      </c>
      <c r="B186" s="591" t="s">
        <v>1168</v>
      </c>
      <c r="C186" s="598" t="s">
        <v>1311</v>
      </c>
      <c r="D186" s="586"/>
      <c r="E186" s="587" t="s">
        <v>965</v>
      </c>
      <c r="F186" s="588" t="s">
        <v>966</v>
      </c>
      <c r="G186" s="586"/>
      <c r="H186" s="599">
        <v>44568</v>
      </c>
      <c r="I186" s="595">
        <f t="shared" si="16"/>
        <v>25369654.545454543</v>
      </c>
      <c r="J186" s="595">
        <f t="shared" si="17"/>
        <v>2536965.4545454546</v>
      </c>
      <c r="K186" s="596">
        <f>1238125+7820575+18847920</f>
        <v>27906620</v>
      </c>
      <c r="L186" s="597"/>
    </row>
    <row r="187" spans="1:12" x14ac:dyDescent="0.2">
      <c r="A187" s="316">
        <v>182</v>
      </c>
      <c r="B187" s="591" t="s">
        <v>1169</v>
      </c>
      <c r="C187" s="602" t="s">
        <v>1312</v>
      </c>
      <c r="D187" s="603"/>
      <c r="E187" s="604" t="s">
        <v>1062</v>
      </c>
      <c r="F187" s="605" t="s">
        <v>966</v>
      </c>
      <c r="G187" s="654"/>
      <c r="H187" s="606">
        <v>44569</v>
      </c>
      <c r="I187" s="607">
        <f t="shared" si="16"/>
        <v>15084522.727272727</v>
      </c>
      <c r="J187" s="607">
        <f t="shared" si="17"/>
        <v>1508452.2727272727</v>
      </c>
      <c r="K187" s="596">
        <f>215250+3786125+12591600</f>
        <v>16592975</v>
      </c>
      <c r="L187" s="597"/>
    </row>
    <row r="188" spans="1:12" x14ac:dyDescent="0.2">
      <c r="A188" s="316">
        <v>183</v>
      </c>
      <c r="B188" s="591" t="s">
        <v>1170</v>
      </c>
      <c r="C188" s="598" t="s">
        <v>1313</v>
      </c>
      <c r="D188" s="586"/>
      <c r="E188" s="587" t="s">
        <v>969</v>
      </c>
      <c r="F188" s="588" t="s">
        <v>966</v>
      </c>
      <c r="G188" s="586"/>
      <c r="H188" s="599">
        <v>44569</v>
      </c>
      <c r="I188" s="595">
        <f t="shared" si="16"/>
        <v>30188586.36363636</v>
      </c>
      <c r="J188" s="595">
        <f t="shared" si="17"/>
        <v>3018858.6363636362</v>
      </c>
      <c r="K188" s="596">
        <f>22687525+6765120+3754800</f>
        <v>33207445</v>
      </c>
      <c r="L188" s="597"/>
    </row>
    <row r="189" spans="1:12" x14ac:dyDescent="0.2">
      <c r="A189" s="316">
        <v>184</v>
      </c>
      <c r="B189" s="591" t="s">
        <v>1171</v>
      </c>
      <c r="C189" s="598" t="s">
        <v>1316</v>
      </c>
      <c r="D189" s="586"/>
      <c r="E189" s="587" t="s">
        <v>965</v>
      </c>
      <c r="F189" s="588" t="s">
        <v>966</v>
      </c>
      <c r="G189" s="586"/>
      <c r="H189" s="599">
        <v>44569</v>
      </c>
      <c r="I189" s="595">
        <f t="shared" si="16"/>
        <v>18936590.909090906</v>
      </c>
      <c r="J189" s="595">
        <f t="shared" si="17"/>
        <v>1893659.0909090908</v>
      </c>
      <c r="K189" s="596">
        <f>12590900+8239350</f>
        <v>20830250</v>
      </c>
      <c r="L189" s="597"/>
    </row>
    <row r="190" spans="1:12" x14ac:dyDescent="0.2">
      <c r="A190" s="316">
        <v>185</v>
      </c>
      <c r="B190" s="591" t="s">
        <v>1172</v>
      </c>
      <c r="C190" s="598" t="s">
        <v>1314</v>
      </c>
      <c r="D190" s="586"/>
      <c r="E190" s="587" t="s">
        <v>1315</v>
      </c>
      <c r="F190" s="588" t="s">
        <v>966</v>
      </c>
      <c r="G190" s="586"/>
      <c r="H190" s="599">
        <v>44575</v>
      </c>
      <c r="I190" s="595">
        <f t="shared" si="16"/>
        <v>2544872.7272727271</v>
      </c>
      <c r="J190" s="595">
        <f t="shared" si="17"/>
        <v>254487.27272727271</v>
      </c>
      <c r="K190" s="596">
        <v>2799360</v>
      </c>
      <c r="L190" s="597"/>
    </row>
    <row r="191" spans="1:12" x14ac:dyDescent="0.2">
      <c r="A191" s="316">
        <v>186</v>
      </c>
      <c r="B191" s="591" t="s">
        <v>1173</v>
      </c>
      <c r="C191" s="598" t="s">
        <v>1321</v>
      </c>
      <c r="D191" s="586"/>
      <c r="E191" s="587" t="s">
        <v>969</v>
      </c>
      <c r="F191" s="588" t="s">
        <v>966</v>
      </c>
      <c r="G191" s="586"/>
      <c r="H191" s="599">
        <v>44576</v>
      </c>
      <c r="I191" s="595">
        <f t="shared" si="16"/>
        <v>62421227.272727266</v>
      </c>
      <c r="J191" s="595">
        <f t="shared" si="17"/>
        <v>6242122.7272727266</v>
      </c>
      <c r="K191" s="596">
        <f>7560000+53585350+7518000</f>
        <v>68663350</v>
      </c>
      <c r="L191" s="597"/>
    </row>
    <row r="192" spans="1:12" x14ac:dyDescent="0.2">
      <c r="A192" s="316">
        <v>187</v>
      </c>
      <c r="B192" s="591" t="s">
        <v>1174</v>
      </c>
      <c r="C192" s="598" t="s">
        <v>1318</v>
      </c>
      <c r="D192" s="586"/>
      <c r="E192" s="587" t="s">
        <v>1317</v>
      </c>
      <c r="F192" s="588" t="s">
        <v>966</v>
      </c>
      <c r="G192" s="586"/>
      <c r="H192" s="599">
        <v>44579</v>
      </c>
      <c r="I192" s="595">
        <f t="shared" si="6"/>
        <v>8042363.6363636358</v>
      </c>
      <c r="J192" s="595">
        <f t="shared" si="7"/>
        <v>804236.36363636365</v>
      </c>
      <c r="K192" s="596">
        <f>2912000+2608200+3326400</f>
        <v>8846600</v>
      </c>
      <c r="L192" s="597"/>
    </row>
    <row r="193" spans="1:12" x14ac:dyDescent="0.2">
      <c r="A193" s="316">
        <v>188</v>
      </c>
      <c r="B193" s="591" t="s">
        <v>1175</v>
      </c>
      <c r="C193" s="598" t="s">
        <v>1323</v>
      </c>
      <c r="D193" s="586"/>
      <c r="E193" s="587" t="s">
        <v>972</v>
      </c>
      <c r="F193" s="588" t="s">
        <v>966</v>
      </c>
      <c r="G193" s="586"/>
      <c r="H193" s="599">
        <v>44580</v>
      </c>
      <c r="I193" s="595">
        <f t="shared" si="6"/>
        <v>17936181.818181816</v>
      </c>
      <c r="J193" s="595">
        <f t="shared" si="7"/>
        <v>1793618.1818181816</v>
      </c>
      <c r="K193" s="596">
        <f>15817500+3912300</f>
        <v>19729800</v>
      </c>
      <c r="L193" s="597"/>
    </row>
    <row r="194" spans="1:12" x14ac:dyDescent="0.2">
      <c r="A194" s="316">
        <v>189</v>
      </c>
      <c r="B194" s="591" t="s">
        <v>1176</v>
      </c>
      <c r="C194" s="598" t="s">
        <v>1322</v>
      </c>
      <c r="D194" s="586"/>
      <c r="E194" s="587" t="s">
        <v>965</v>
      </c>
      <c r="F194" s="588" t="s">
        <v>966</v>
      </c>
      <c r="G194" s="586"/>
      <c r="H194" s="599">
        <v>44580</v>
      </c>
      <c r="I194" s="595">
        <f t="shared" si="6"/>
        <v>21058309.09090909</v>
      </c>
      <c r="J194" s="595">
        <f t="shared" si="7"/>
        <v>2105830.9090909092</v>
      </c>
      <c r="K194" s="596">
        <f>18948300+4215840</f>
        <v>23164140</v>
      </c>
      <c r="L194" s="597"/>
    </row>
    <row r="195" spans="1:12" x14ac:dyDescent="0.2">
      <c r="A195" s="316">
        <v>190</v>
      </c>
      <c r="B195" s="591" t="s">
        <v>1177</v>
      </c>
      <c r="C195" s="602" t="s">
        <v>1319</v>
      </c>
      <c r="D195" s="603"/>
      <c r="E195" s="604" t="s">
        <v>1062</v>
      </c>
      <c r="F195" s="605" t="s">
        <v>966</v>
      </c>
      <c r="G195" s="654"/>
      <c r="H195" s="606">
        <v>44581</v>
      </c>
      <c r="I195" s="607">
        <f t="shared" si="6"/>
        <v>5041431.8181818174</v>
      </c>
      <c r="J195" s="607">
        <f t="shared" si="7"/>
        <v>504143.18181818177</v>
      </c>
      <c r="K195" s="596">
        <v>5545575</v>
      </c>
      <c r="L195" s="597"/>
    </row>
    <row r="196" spans="1:12" x14ac:dyDescent="0.2">
      <c r="A196" s="316">
        <v>191</v>
      </c>
      <c r="B196" s="591" t="s">
        <v>1178</v>
      </c>
      <c r="C196" s="598" t="s">
        <v>1324</v>
      </c>
      <c r="D196" s="586"/>
      <c r="E196" s="587" t="s">
        <v>1325</v>
      </c>
      <c r="F196" s="588" t="s">
        <v>971</v>
      </c>
      <c r="G196" s="586"/>
      <c r="H196" s="599">
        <v>44590</v>
      </c>
      <c r="I196" s="595">
        <f t="shared" si="6"/>
        <v>810909.09090909082</v>
      </c>
      <c r="J196" s="595">
        <f t="shared" si="7"/>
        <v>81090.909090909088</v>
      </c>
      <c r="K196" s="596">
        <v>892000</v>
      </c>
      <c r="L196" s="597"/>
    </row>
    <row r="197" spans="1:12" x14ac:dyDescent="0.2">
      <c r="A197" s="316">
        <v>192</v>
      </c>
      <c r="B197" s="591" t="s">
        <v>1179</v>
      </c>
      <c r="C197" s="598" t="s">
        <v>1327</v>
      </c>
      <c r="D197" s="586"/>
      <c r="E197" s="587" t="s">
        <v>1326</v>
      </c>
      <c r="F197" s="588" t="s">
        <v>1328</v>
      </c>
      <c r="G197" s="586"/>
      <c r="H197" s="599">
        <v>44592</v>
      </c>
      <c r="I197" s="595">
        <f t="shared" si="6"/>
        <v>1366690.9090909089</v>
      </c>
      <c r="J197" s="595">
        <f t="shared" si="7"/>
        <v>136669.09090909091</v>
      </c>
      <c r="K197" s="596">
        <v>1503360</v>
      </c>
      <c r="L197" s="597"/>
    </row>
    <row r="198" spans="1:12" x14ac:dyDescent="0.2">
      <c r="A198" s="316">
        <v>193</v>
      </c>
      <c r="B198" s="591" t="s">
        <v>1180</v>
      </c>
      <c r="C198" s="598" t="s">
        <v>1329</v>
      </c>
      <c r="D198" s="586"/>
      <c r="E198" s="587" t="s">
        <v>1325</v>
      </c>
      <c r="F198" s="588" t="s">
        <v>673</v>
      </c>
      <c r="G198" s="586"/>
      <c r="H198" s="599">
        <v>44592</v>
      </c>
      <c r="I198" s="595">
        <f t="shared" si="6"/>
        <v>654545.45454545447</v>
      </c>
      <c r="J198" s="595">
        <f t="shared" si="7"/>
        <v>65454.545454545449</v>
      </c>
      <c r="K198" s="596">
        <v>720000</v>
      </c>
      <c r="L198" s="597"/>
    </row>
    <row r="199" spans="1:12" x14ac:dyDescent="0.2">
      <c r="B199" s="692"/>
      <c r="C199" s="693"/>
      <c r="D199" s="694"/>
      <c r="E199" s="695"/>
      <c r="F199" s="696"/>
      <c r="G199" s="694"/>
      <c r="H199" s="697"/>
      <c r="I199" s="698"/>
      <c r="J199" s="698"/>
      <c r="K199" s="699"/>
      <c r="L199" s="700"/>
    </row>
    <row r="200" spans="1:12" ht="18" x14ac:dyDescent="0.25">
      <c r="B200" s="630" t="s">
        <v>236</v>
      </c>
      <c r="C200" s="631"/>
      <c r="D200" s="632"/>
      <c r="E200" s="633"/>
      <c r="F200" s="634"/>
      <c r="G200" s="656"/>
      <c r="H200" s="635"/>
      <c r="I200" s="636">
        <f>SUM(I6:I198)</f>
        <v>1511612066.3636353</v>
      </c>
      <c r="J200" s="636">
        <f>SUM(J6:J198)</f>
        <v>151161206.6363636</v>
      </c>
      <c r="K200" s="637">
        <f>SUM(K6:K198)</f>
        <v>1662773273</v>
      </c>
      <c r="L200" s="638"/>
    </row>
    <row r="201" spans="1:12" s="429" customFormat="1" ht="20.25" x14ac:dyDescent="0.3">
      <c r="A201" s="316"/>
      <c r="B201" s="639" t="s">
        <v>99</v>
      </c>
      <c r="C201" s="626"/>
      <c r="D201" s="627"/>
      <c r="E201" s="627"/>
      <c r="F201" s="627"/>
      <c r="G201" s="627"/>
      <c r="H201" s="640"/>
      <c r="I201" s="641"/>
      <c r="J201" s="641"/>
      <c r="K201" s="642"/>
      <c r="L201" s="643"/>
    </row>
    <row r="202" spans="1:12" s="429" customFormat="1" x14ac:dyDescent="0.2">
      <c r="A202" s="316">
        <v>1</v>
      </c>
      <c r="B202" s="591" t="s">
        <v>813</v>
      </c>
      <c r="C202" s="598" t="s">
        <v>1407</v>
      </c>
      <c r="D202" s="586" t="s">
        <v>580</v>
      </c>
      <c r="E202" s="587" t="s">
        <v>595</v>
      </c>
      <c r="F202" s="588" t="s">
        <v>579</v>
      </c>
      <c r="G202" s="653" t="s">
        <v>1451</v>
      </c>
      <c r="H202" s="594">
        <v>44596</v>
      </c>
      <c r="I202" s="595">
        <f t="shared" ref="I202:I264" si="18">K202/1.1</f>
        <v>1002141.8181818181</v>
      </c>
      <c r="J202" s="595">
        <f t="shared" ref="J202:J264" si="19">I202*10%</f>
        <v>100214.18181818182</v>
      </c>
      <c r="K202" s="596">
        <f>[1]Invoice!$K$38</f>
        <v>1102356</v>
      </c>
      <c r="L202" s="759"/>
    </row>
    <row r="203" spans="1:12" s="429" customFormat="1" x14ac:dyDescent="0.2">
      <c r="A203" s="316">
        <v>2</v>
      </c>
      <c r="B203" s="591" t="s">
        <v>821</v>
      </c>
      <c r="C203" s="592" t="s">
        <v>1408</v>
      </c>
      <c r="D203" s="586" t="s">
        <v>600</v>
      </c>
      <c r="E203" s="593" t="s">
        <v>598</v>
      </c>
      <c r="F203" s="593" t="s">
        <v>599</v>
      </c>
      <c r="G203" s="653" t="s">
        <v>1452</v>
      </c>
      <c r="H203" s="594">
        <v>44597</v>
      </c>
      <c r="I203" s="595">
        <f t="shared" si="18"/>
        <v>13527272.727272727</v>
      </c>
      <c r="J203" s="595">
        <f t="shared" si="19"/>
        <v>1352727.2727272727</v>
      </c>
      <c r="K203" s="596">
        <f>[1]Invoice!$K$158</f>
        <v>14880000</v>
      </c>
      <c r="L203" s="597"/>
    </row>
    <row r="204" spans="1:12" s="429" customFormat="1" x14ac:dyDescent="0.2">
      <c r="A204" s="316">
        <v>3</v>
      </c>
      <c r="B204" s="591" t="s">
        <v>814</v>
      </c>
      <c r="C204" s="598" t="s">
        <v>1409</v>
      </c>
      <c r="D204" s="586" t="s">
        <v>1410</v>
      </c>
      <c r="E204" s="593" t="s">
        <v>1411</v>
      </c>
      <c r="F204" s="593" t="s">
        <v>426</v>
      </c>
      <c r="G204" s="653" t="s">
        <v>1453</v>
      </c>
      <c r="H204" s="594">
        <v>44599</v>
      </c>
      <c r="I204" s="595">
        <f t="shared" si="18"/>
        <v>6652227.2727272725</v>
      </c>
      <c r="J204" s="595">
        <f t="shared" si="19"/>
        <v>665222.72727272729</v>
      </c>
      <c r="K204" s="596">
        <f>[1]Invoice!$K$278</f>
        <v>7317450</v>
      </c>
      <c r="L204" s="597"/>
    </row>
    <row r="205" spans="1:12" s="429" customFormat="1" x14ac:dyDescent="0.2">
      <c r="A205" s="316">
        <v>4</v>
      </c>
      <c r="B205" s="591" t="s">
        <v>815</v>
      </c>
      <c r="C205" s="598" t="s">
        <v>1412</v>
      </c>
      <c r="D205" s="586" t="s">
        <v>617</v>
      </c>
      <c r="E205" s="587" t="s">
        <v>616</v>
      </c>
      <c r="F205" s="588" t="s">
        <v>579</v>
      </c>
      <c r="G205" s="653" t="s">
        <v>1454</v>
      </c>
      <c r="H205" s="594">
        <v>44599</v>
      </c>
      <c r="I205" s="595">
        <f t="shared" si="18"/>
        <v>1513309.0909090908</v>
      </c>
      <c r="J205" s="595">
        <f t="shared" si="19"/>
        <v>151330.90909090909</v>
      </c>
      <c r="K205" s="596">
        <f>[1]Invoice!$K$398</f>
        <v>1664640</v>
      </c>
      <c r="L205" s="597"/>
    </row>
    <row r="206" spans="1:12" s="429" customFormat="1" x14ac:dyDescent="0.2">
      <c r="A206" s="316">
        <v>5</v>
      </c>
      <c r="B206" s="591" t="s">
        <v>816</v>
      </c>
      <c r="C206" s="598" t="s">
        <v>1413</v>
      </c>
      <c r="D206" s="652" t="s">
        <v>591</v>
      </c>
      <c r="E206" s="587" t="s">
        <v>777</v>
      </c>
      <c r="F206" s="651" t="s">
        <v>590</v>
      </c>
      <c r="G206" s="653" t="s">
        <v>1455</v>
      </c>
      <c r="H206" s="594">
        <v>44599</v>
      </c>
      <c r="I206" s="595">
        <f t="shared" si="18"/>
        <v>1487945.4545454544</v>
      </c>
      <c r="J206" s="595">
        <f t="shared" si="19"/>
        <v>148794.54545454544</v>
      </c>
      <c r="K206" s="596">
        <f>[1]Invoice!$K$518</f>
        <v>1636740</v>
      </c>
      <c r="L206" s="597"/>
    </row>
    <row r="207" spans="1:12" s="429" customFormat="1" x14ac:dyDescent="0.2">
      <c r="A207" s="316">
        <v>6</v>
      </c>
      <c r="B207" s="591" t="s">
        <v>817</v>
      </c>
      <c r="C207" s="598" t="s">
        <v>1414</v>
      </c>
      <c r="D207" s="586" t="s">
        <v>584</v>
      </c>
      <c r="E207" s="587" t="s">
        <v>582</v>
      </c>
      <c r="F207" s="588" t="s">
        <v>583</v>
      </c>
      <c r="G207" s="653" t="s">
        <v>1456</v>
      </c>
      <c r="H207" s="599">
        <v>44599</v>
      </c>
      <c r="I207" s="595">
        <f t="shared" si="18"/>
        <v>4076018.1818181816</v>
      </c>
      <c r="J207" s="595">
        <f t="shared" si="19"/>
        <v>407601.81818181818</v>
      </c>
      <c r="K207" s="596">
        <f>[1]Invoice!$K$638</f>
        <v>4483620</v>
      </c>
      <c r="L207" s="597"/>
    </row>
    <row r="208" spans="1:12" s="429" customFormat="1" x14ac:dyDescent="0.2">
      <c r="A208" s="316">
        <v>7</v>
      </c>
      <c r="B208" s="591" t="s">
        <v>818</v>
      </c>
      <c r="C208" s="598" t="s">
        <v>1415</v>
      </c>
      <c r="D208" s="586" t="s">
        <v>584</v>
      </c>
      <c r="E208" s="587" t="s">
        <v>582</v>
      </c>
      <c r="F208" s="588" t="s">
        <v>583</v>
      </c>
      <c r="G208" s="653" t="s">
        <v>1457</v>
      </c>
      <c r="H208" s="599">
        <v>44600</v>
      </c>
      <c r="I208" s="595">
        <f t="shared" si="18"/>
        <v>1072636.3636363635</v>
      </c>
      <c r="J208" s="595">
        <f t="shared" si="19"/>
        <v>107263.63636363635</v>
      </c>
      <c r="K208" s="596">
        <f>[1]Invoice!$K$758</f>
        <v>1179900</v>
      </c>
      <c r="L208" s="597"/>
    </row>
    <row r="209" spans="1:12" s="429" customFormat="1" x14ac:dyDescent="0.2">
      <c r="A209" s="316">
        <v>8</v>
      </c>
      <c r="B209" s="591" t="s">
        <v>819</v>
      </c>
      <c r="C209" s="598" t="s">
        <v>1416</v>
      </c>
      <c r="D209" s="627" t="s">
        <v>424</v>
      </c>
      <c r="E209" s="644" t="s">
        <v>425</v>
      </c>
      <c r="F209" s="645" t="s">
        <v>426</v>
      </c>
      <c r="G209" s="653" t="s">
        <v>1458</v>
      </c>
      <c r="H209" s="599">
        <v>44600</v>
      </c>
      <c r="I209" s="595">
        <f t="shared" si="18"/>
        <v>58488818.18181818</v>
      </c>
      <c r="J209" s="595">
        <f t="shared" si="19"/>
        <v>5848881.8181818184</v>
      </c>
      <c r="K209" s="596">
        <f>[1]Invoice!$K$878</f>
        <v>64337700</v>
      </c>
      <c r="L209" s="597"/>
    </row>
    <row r="210" spans="1:12" s="429" customFormat="1" x14ac:dyDescent="0.2">
      <c r="A210" s="316">
        <v>9</v>
      </c>
      <c r="B210" s="591" t="s">
        <v>820</v>
      </c>
      <c r="C210" s="598" t="s">
        <v>1417</v>
      </c>
      <c r="D210" s="627" t="s">
        <v>424</v>
      </c>
      <c r="E210" s="644" t="s">
        <v>425</v>
      </c>
      <c r="F210" s="645" t="s">
        <v>426</v>
      </c>
      <c r="G210" s="653" t="s">
        <v>1459</v>
      </c>
      <c r="H210" s="599">
        <v>44600</v>
      </c>
      <c r="I210" s="595">
        <f t="shared" si="18"/>
        <v>47123204.545454539</v>
      </c>
      <c r="J210" s="595">
        <f t="shared" si="19"/>
        <v>4712320.4545454541</v>
      </c>
      <c r="K210" s="596">
        <f>[1]Invoice!$K$998</f>
        <v>51835525</v>
      </c>
      <c r="L210" s="597"/>
    </row>
    <row r="211" spans="1:12" s="429" customFormat="1" x14ac:dyDescent="0.2">
      <c r="A211" s="316">
        <v>10</v>
      </c>
      <c r="B211" s="591" t="s">
        <v>822</v>
      </c>
      <c r="C211" s="598" t="s">
        <v>1418</v>
      </c>
      <c r="D211" s="627" t="s">
        <v>424</v>
      </c>
      <c r="E211" s="644" t="s">
        <v>425</v>
      </c>
      <c r="F211" s="645" t="s">
        <v>426</v>
      </c>
      <c r="G211" s="653" t="s">
        <v>1460</v>
      </c>
      <c r="H211" s="599">
        <v>44600</v>
      </c>
      <c r="I211" s="595">
        <f t="shared" si="18"/>
        <v>11683636.363636363</v>
      </c>
      <c r="J211" s="595">
        <f t="shared" si="19"/>
        <v>1168363.6363636365</v>
      </c>
      <c r="K211" s="596">
        <f>[1]Invoice!$K$1118</f>
        <v>12852000</v>
      </c>
      <c r="L211" s="597"/>
    </row>
    <row r="212" spans="1:12" s="429" customFormat="1" x14ac:dyDescent="0.2">
      <c r="A212" s="316">
        <v>11</v>
      </c>
      <c r="B212" s="591" t="s">
        <v>823</v>
      </c>
      <c r="C212" s="598" t="s">
        <v>1419</v>
      </c>
      <c r="D212" s="586" t="s">
        <v>1410</v>
      </c>
      <c r="E212" s="593" t="s">
        <v>1411</v>
      </c>
      <c r="F212" s="593" t="s">
        <v>426</v>
      </c>
      <c r="G212" s="653" t="s">
        <v>1461</v>
      </c>
      <c r="H212" s="599">
        <v>44600</v>
      </c>
      <c r="I212" s="595">
        <f t="shared" si="18"/>
        <v>11884090.909090908</v>
      </c>
      <c r="J212" s="595">
        <f t="shared" si="19"/>
        <v>1188409.0909090908</v>
      </c>
      <c r="K212" s="596">
        <f>[1]Invoice!$K$1238</f>
        <v>13072500</v>
      </c>
      <c r="L212" s="597"/>
    </row>
    <row r="213" spans="1:12" s="429" customFormat="1" x14ac:dyDescent="0.2">
      <c r="A213" s="316">
        <v>12</v>
      </c>
      <c r="B213" s="591" t="s">
        <v>824</v>
      </c>
      <c r="C213" s="598" t="s">
        <v>1420</v>
      </c>
      <c r="D213" s="586" t="s">
        <v>580</v>
      </c>
      <c r="E213" s="587" t="s">
        <v>595</v>
      </c>
      <c r="F213" s="588" t="s">
        <v>579</v>
      </c>
      <c r="G213" s="653" t="s">
        <v>1462</v>
      </c>
      <c r="H213" s="599">
        <v>44600</v>
      </c>
      <c r="I213" s="595">
        <f t="shared" si="18"/>
        <v>2387400</v>
      </c>
      <c r="J213" s="595">
        <f t="shared" si="19"/>
        <v>238740</v>
      </c>
      <c r="K213" s="596">
        <f>[1]Invoice!$K$1358</f>
        <v>2626140</v>
      </c>
      <c r="L213" s="597"/>
    </row>
    <row r="214" spans="1:12" s="429" customFormat="1" x14ac:dyDescent="0.2">
      <c r="A214" s="316">
        <v>13</v>
      </c>
      <c r="B214" s="591" t="s">
        <v>825</v>
      </c>
      <c r="C214" s="598" t="s">
        <v>1421</v>
      </c>
      <c r="D214" s="586" t="s">
        <v>607</v>
      </c>
      <c r="E214" s="587" t="s">
        <v>605</v>
      </c>
      <c r="F214" s="588" t="s">
        <v>606</v>
      </c>
      <c r="G214" s="653" t="s">
        <v>1463</v>
      </c>
      <c r="H214" s="599">
        <v>44600</v>
      </c>
      <c r="I214" s="595">
        <f t="shared" si="18"/>
        <v>6483272.7272727266</v>
      </c>
      <c r="J214" s="595">
        <f t="shared" si="19"/>
        <v>648327.27272727271</v>
      </c>
      <c r="K214" s="596">
        <f>[1]Invoice!$K$1478</f>
        <v>7131600</v>
      </c>
      <c r="L214" s="597"/>
    </row>
    <row r="215" spans="1:12" s="429" customFormat="1" x14ac:dyDescent="0.2">
      <c r="A215" s="316">
        <v>14</v>
      </c>
      <c r="B215" s="591" t="s">
        <v>826</v>
      </c>
      <c r="C215" s="598" t="s">
        <v>1422</v>
      </c>
      <c r="D215" s="586" t="s">
        <v>581</v>
      </c>
      <c r="E215" s="593" t="s">
        <v>596</v>
      </c>
      <c r="F215" s="593" t="s">
        <v>579</v>
      </c>
      <c r="G215" s="653" t="s">
        <v>1464</v>
      </c>
      <c r="H215" s="599">
        <v>44600</v>
      </c>
      <c r="I215" s="595">
        <f t="shared" si="18"/>
        <v>8319651.8181818174</v>
      </c>
      <c r="J215" s="595">
        <f t="shared" si="19"/>
        <v>831965.18181818177</v>
      </c>
      <c r="K215" s="596">
        <f>[1]Invoice!$K$1598</f>
        <v>9151617</v>
      </c>
      <c r="L215" s="597"/>
    </row>
    <row r="216" spans="1:12" s="429" customFormat="1" x14ac:dyDescent="0.2">
      <c r="A216" s="316">
        <v>15</v>
      </c>
      <c r="B216" s="591" t="s">
        <v>827</v>
      </c>
      <c r="C216" s="598" t="s">
        <v>1423</v>
      </c>
      <c r="D216" s="627" t="s">
        <v>424</v>
      </c>
      <c r="E216" s="644" t="s">
        <v>425</v>
      </c>
      <c r="F216" s="645" t="s">
        <v>426</v>
      </c>
      <c r="G216" s="653" t="s">
        <v>1465</v>
      </c>
      <c r="H216" s="599">
        <v>44601</v>
      </c>
      <c r="I216" s="595">
        <f t="shared" si="18"/>
        <v>6815454.5454545449</v>
      </c>
      <c r="J216" s="595">
        <f t="shared" si="19"/>
        <v>681545.45454545459</v>
      </c>
      <c r="K216" s="596">
        <f>[1]Invoice!$K$1718</f>
        <v>7497000</v>
      </c>
      <c r="L216" s="597"/>
    </row>
    <row r="217" spans="1:12" s="429" customFormat="1" x14ac:dyDescent="0.2">
      <c r="A217" s="316">
        <v>16</v>
      </c>
      <c r="B217" s="591" t="s">
        <v>828</v>
      </c>
      <c r="C217" s="598" t="s">
        <v>1424</v>
      </c>
      <c r="D217" s="586" t="s">
        <v>1410</v>
      </c>
      <c r="E217" s="593" t="s">
        <v>1411</v>
      </c>
      <c r="F217" s="593" t="s">
        <v>426</v>
      </c>
      <c r="G217" s="653" t="s">
        <v>1466</v>
      </c>
      <c r="H217" s="599">
        <v>44602</v>
      </c>
      <c r="I217" s="595">
        <f t="shared" si="18"/>
        <v>5236363.6363636358</v>
      </c>
      <c r="J217" s="595">
        <f t="shared" si="19"/>
        <v>523636.36363636359</v>
      </c>
      <c r="K217" s="596">
        <f>[1]Invoice!$K$1838</f>
        <v>5760000</v>
      </c>
      <c r="L217" s="597"/>
    </row>
    <row r="218" spans="1:12" s="429" customFormat="1" x14ac:dyDescent="0.2">
      <c r="A218" s="316">
        <v>17</v>
      </c>
      <c r="B218" s="591" t="s">
        <v>829</v>
      </c>
      <c r="C218" s="598" t="s">
        <v>1425</v>
      </c>
      <c r="D218" s="627" t="s">
        <v>424</v>
      </c>
      <c r="E218" s="644" t="s">
        <v>425</v>
      </c>
      <c r="F218" s="645" t="s">
        <v>426</v>
      </c>
      <c r="G218" s="653" t="s">
        <v>1467</v>
      </c>
      <c r="H218" s="599">
        <v>44602</v>
      </c>
      <c r="I218" s="595">
        <f t="shared" si="18"/>
        <v>30052272.727272727</v>
      </c>
      <c r="J218" s="595">
        <f t="shared" si="19"/>
        <v>3005227.2727272729</v>
      </c>
      <c r="K218" s="596">
        <f>[1]Invoice!$K$1958</f>
        <v>33057500</v>
      </c>
      <c r="L218" s="597"/>
    </row>
    <row r="219" spans="1:12" s="429" customFormat="1" x14ac:dyDescent="0.2">
      <c r="A219" s="316">
        <v>18</v>
      </c>
      <c r="B219" s="591" t="s">
        <v>830</v>
      </c>
      <c r="C219" s="598" t="s">
        <v>1426</v>
      </c>
      <c r="D219" s="627" t="s">
        <v>1427</v>
      </c>
      <c r="E219" s="644" t="s">
        <v>425</v>
      </c>
      <c r="F219" s="645" t="s">
        <v>426</v>
      </c>
      <c r="G219" s="653" t="s">
        <v>1468</v>
      </c>
      <c r="H219" s="599">
        <v>44606</v>
      </c>
      <c r="I219" s="595">
        <f t="shared" si="18"/>
        <v>8298818.1818181807</v>
      </c>
      <c r="J219" s="595">
        <f t="shared" si="19"/>
        <v>829881.81818181812</v>
      </c>
      <c r="K219" s="596">
        <f>[1]Invoice!$K$2078</f>
        <v>9128700</v>
      </c>
      <c r="L219" s="597"/>
    </row>
    <row r="220" spans="1:12" s="429" customFormat="1" x14ac:dyDescent="0.2">
      <c r="A220" s="316">
        <v>19</v>
      </c>
      <c r="B220" s="591" t="s">
        <v>831</v>
      </c>
      <c r="C220" s="598" t="s">
        <v>1428</v>
      </c>
      <c r="D220" s="586" t="s">
        <v>581</v>
      </c>
      <c r="E220" s="593" t="s">
        <v>596</v>
      </c>
      <c r="F220" s="593" t="s">
        <v>579</v>
      </c>
      <c r="G220" s="653" t="s">
        <v>1469</v>
      </c>
      <c r="H220" s="599">
        <v>44606</v>
      </c>
      <c r="I220" s="595">
        <f t="shared" si="18"/>
        <v>2989636.3636363633</v>
      </c>
      <c r="J220" s="595">
        <f t="shared" si="19"/>
        <v>298963.63636363635</v>
      </c>
      <c r="K220" s="596">
        <f>[1]Invoice!$K$2198</f>
        <v>3288600</v>
      </c>
      <c r="L220" s="597"/>
    </row>
    <row r="221" spans="1:12" s="429" customFormat="1" x14ac:dyDescent="0.2">
      <c r="A221" s="316">
        <v>20</v>
      </c>
      <c r="B221" s="591" t="s">
        <v>832</v>
      </c>
      <c r="C221" s="598" t="s">
        <v>1429</v>
      </c>
      <c r="D221" s="627" t="s">
        <v>1427</v>
      </c>
      <c r="E221" s="644" t="s">
        <v>425</v>
      </c>
      <c r="F221" s="645" t="s">
        <v>426</v>
      </c>
      <c r="G221" s="653" t="s">
        <v>1470</v>
      </c>
      <c r="H221" s="594">
        <v>44609</v>
      </c>
      <c r="I221" s="595">
        <f t="shared" si="18"/>
        <v>16437272.727272727</v>
      </c>
      <c r="J221" s="595">
        <f t="shared" si="19"/>
        <v>1643727.2727272727</v>
      </c>
      <c r="K221" s="596">
        <f>[1]Invoice!$K$2318</f>
        <v>18081000</v>
      </c>
      <c r="L221" s="597"/>
    </row>
    <row r="222" spans="1:12" s="429" customFormat="1" x14ac:dyDescent="0.2">
      <c r="A222" s="316">
        <v>21</v>
      </c>
      <c r="B222" s="591" t="s">
        <v>833</v>
      </c>
      <c r="C222" s="598" t="s">
        <v>1430</v>
      </c>
      <c r="D222" s="586" t="s">
        <v>621</v>
      </c>
      <c r="E222" s="587" t="s">
        <v>619</v>
      </c>
      <c r="F222" s="588" t="s">
        <v>620</v>
      </c>
      <c r="G222" s="653" t="s">
        <v>1471</v>
      </c>
      <c r="H222" s="599">
        <v>44611</v>
      </c>
      <c r="I222" s="595">
        <f t="shared" si="18"/>
        <v>8163981.8181818174</v>
      </c>
      <c r="J222" s="595">
        <f t="shared" si="19"/>
        <v>816398.18181818177</v>
      </c>
      <c r="K222" s="596">
        <f>[1]Invoice!$K$2438</f>
        <v>8980380</v>
      </c>
      <c r="L222" s="597"/>
    </row>
    <row r="223" spans="1:12" s="429" customFormat="1" x14ac:dyDescent="0.2">
      <c r="A223" s="316">
        <v>22</v>
      </c>
      <c r="B223" s="591" t="s">
        <v>834</v>
      </c>
      <c r="C223" s="598" t="s">
        <v>1431</v>
      </c>
      <c r="D223" s="586" t="s">
        <v>621</v>
      </c>
      <c r="E223" s="587" t="s">
        <v>619</v>
      </c>
      <c r="F223" s="588" t="s">
        <v>620</v>
      </c>
      <c r="G223" s="653" t="s">
        <v>1472</v>
      </c>
      <c r="H223" s="599">
        <v>44613</v>
      </c>
      <c r="I223" s="595">
        <f t="shared" si="18"/>
        <v>1454072.7272727271</v>
      </c>
      <c r="J223" s="595">
        <f t="shared" si="19"/>
        <v>145407.27272727271</v>
      </c>
      <c r="K223" s="596">
        <f>[1]Invoice!$K$2558</f>
        <v>1599480</v>
      </c>
      <c r="L223" s="597"/>
    </row>
    <row r="224" spans="1:12" s="429" customFormat="1" x14ac:dyDescent="0.2">
      <c r="A224" s="316">
        <v>23</v>
      </c>
      <c r="B224" s="591" t="s">
        <v>835</v>
      </c>
      <c r="C224" s="598" t="s">
        <v>1432</v>
      </c>
      <c r="D224" s="586" t="s">
        <v>580</v>
      </c>
      <c r="E224" s="587" t="s">
        <v>595</v>
      </c>
      <c r="F224" s="588" t="s">
        <v>579</v>
      </c>
      <c r="G224" s="653" t="s">
        <v>1473</v>
      </c>
      <c r="H224" s="599">
        <v>44613</v>
      </c>
      <c r="I224" s="595">
        <f t="shared" si="18"/>
        <v>5758069.0909090908</v>
      </c>
      <c r="J224" s="595">
        <f t="shared" si="19"/>
        <v>575806.90909090906</v>
      </c>
      <c r="K224" s="596">
        <f>[1]Invoice!$K$2678</f>
        <v>6333876</v>
      </c>
      <c r="L224" s="597"/>
    </row>
    <row r="225" spans="1:12" s="429" customFormat="1" x14ac:dyDescent="0.2">
      <c r="A225" s="316">
        <v>24</v>
      </c>
      <c r="B225" s="591" t="s">
        <v>836</v>
      </c>
      <c r="C225" s="598" t="s">
        <v>1433</v>
      </c>
      <c r="D225" s="586" t="s">
        <v>581</v>
      </c>
      <c r="E225" s="593" t="s">
        <v>596</v>
      </c>
      <c r="F225" s="593" t="s">
        <v>579</v>
      </c>
      <c r="G225" s="653" t="s">
        <v>1474</v>
      </c>
      <c r="H225" s="599">
        <v>44614</v>
      </c>
      <c r="I225" s="595">
        <f t="shared" si="18"/>
        <v>16640252.727272727</v>
      </c>
      <c r="J225" s="595">
        <f t="shared" si="19"/>
        <v>1664025.2727272727</v>
      </c>
      <c r="K225" s="596">
        <f>[1]Invoice!$K$2798</f>
        <v>18304278</v>
      </c>
      <c r="L225" s="597"/>
    </row>
    <row r="226" spans="1:12" s="429" customFormat="1" x14ac:dyDescent="0.2">
      <c r="A226" s="316">
        <v>25</v>
      </c>
      <c r="B226" s="591" t="s">
        <v>837</v>
      </c>
      <c r="C226" s="598" t="s">
        <v>1434</v>
      </c>
      <c r="D226" s="586" t="s">
        <v>580</v>
      </c>
      <c r="E226" s="587" t="s">
        <v>595</v>
      </c>
      <c r="F226" s="588" t="s">
        <v>579</v>
      </c>
      <c r="G226" s="653" t="s">
        <v>1475</v>
      </c>
      <c r="H226" s="599">
        <v>44615</v>
      </c>
      <c r="I226" s="595">
        <f t="shared" si="18"/>
        <v>19584829.09090909</v>
      </c>
      <c r="J226" s="595">
        <f t="shared" si="19"/>
        <v>1958482.9090909092</v>
      </c>
      <c r="K226" s="596">
        <f>[1]Invoice!$K$2918</f>
        <v>21543312</v>
      </c>
      <c r="L226" s="597"/>
    </row>
    <row r="227" spans="1:12" x14ac:dyDescent="0.2">
      <c r="A227" s="316">
        <v>26</v>
      </c>
      <c r="B227" s="591" t="s">
        <v>838</v>
      </c>
      <c r="C227" s="598" t="s">
        <v>1435</v>
      </c>
      <c r="D227" s="586" t="s">
        <v>580</v>
      </c>
      <c r="E227" s="587" t="s">
        <v>595</v>
      </c>
      <c r="F227" s="588" t="s">
        <v>579</v>
      </c>
      <c r="G227" s="653" t="s">
        <v>1476</v>
      </c>
      <c r="H227" s="599">
        <v>44615</v>
      </c>
      <c r="I227" s="595">
        <f t="shared" si="18"/>
        <v>2989439.9999999995</v>
      </c>
      <c r="J227" s="595">
        <f t="shared" si="19"/>
        <v>298943.99999999994</v>
      </c>
      <c r="K227" s="596">
        <f>[1]Invoice!$K$3038</f>
        <v>3288384</v>
      </c>
      <c r="L227" s="597"/>
    </row>
    <row r="228" spans="1:12" x14ac:dyDescent="0.2">
      <c r="A228" s="316">
        <v>27</v>
      </c>
      <c r="B228" s="591" t="s">
        <v>839</v>
      </c>
      <c r="C228" s="598" t="s">
        <v>1436</v>
      </c>
      <c r="D228" s="586" t="s">
        <v>580</v>
      </c>
      <c r="E228" s="587" t="s">
        <v>595</v>
      </c>
      <c r="F228" s="588" t="s">
        <v>579</v>
      </c>
      <c r="G228" s="653" t="s">
        <v>1477</v>
      </c>
      <c r="H228" s="599">
        <v>44616</v>
      </c>
      <c r="I228" s="595">
        <f t="shared" si="18"/>
        <v>5639170.9090909082</v>
      </c>
      <c r="J228" s="595">
        <f t="shared" si="19"/>
        <v>563917.09090909082</v>
      </c>
      <c r="K228" s="596">
        <f>[1]Invoice!$K$3158</f>
        <v>6203088</v>
      </c>
      <c r="L228" s="597"/>
    </row>
    <row r="229" spans="1:12" x14ac:dyDescent="0.2">
      <c r="A229" s="316">
        <v>28</v>
      </c>
      <c r="B229" s="591" t="s">
        <v>840</v>
      </c>
      <c r="C229" s="598" t="s">
        <v>1437</v>
      </c>
      <c r="D229" s="586" t="s">
        <v>621</v>
      </c>
      <c r="E229" s="587" t="s">
        <v>619</v>
      </c>
      <c r="F229" s="588" t="s">
        <v>620</v>
      </c>
      <c r="G229" s="653" t="s">
        <v>1478</v>
      </c>
      <c r="H229" s="599">
        <v>44616</v>
      </c>
      <c r="I229" s="595">
        <f t="shared" si="18"/>
        <v>6237245.4545454541</v>
      </c>
      <c r="J229" s="595">
        <f t="shared" si="19"/>
        <v>623724.54545454541</v>
      </c>
      <c r="K229" s="596">
        <f>[1]Invoice!$K$3278</f>
        <v>6860970</v>
      </c>
      <c r="L229" s="597"/>
    </row>
    <row r="230" spans="1:12" x14ac:dyDescent="0.2">
      <c r="A230" s="316">
        <v>29</v>
      </c>
      <c r="B230" s="591" t="s">
        <v>841</v>
      </c>
      <c r="C230" s="598" t="s">
        <v>1438</v>
      </c>
      <c r="D230" s="586" t="s">
        <v>617</v>
      </c>
      <c r="E230" s="587" t="s">
        <v>616</v>
      </c>
      <c r="F230" s="588" t="s">
        <v>579</v>
      </c>
      <c r="G230" s="653" t="s">
        <v>1479</v>
      </c>
      <c r="H230" s="599">
        <v>44617</v>
      </c>
      <c r="I230" s="595">
        <f t="shared" si="18"/>
        <v>1533272.7272727271</v>
      </c>
      <c r="J230" s="595">
        <f t="shared" si="19"/>
        <v>153327.27272727271</v>
      </c>
      <c r="K230" s="596">
        <f>[1]Invoice!$K$3398</f>
        <v>1686600</v>
      </c>
      <c r="L230" s="597"/>
    </row>
    <row r="231" spans="1:12" x14ac:dyDescent="0.2">
      <c r="A231" s="316">
        <v>30</v>
      </c>
      <c r="B231" s="591" t="s">
        <v>842</v>
      </c>
      <c r="C231" s="598" t="s">
        <v>1446</v>
      </c>
      <c r="D231" s="627" t="s">
        <v>1427</v>
      </c>
      <c r="E231" s="644" t="s">
        <v>425</v>
      </c>
      <c r="F231" s="645" t="s">
        <v>426</v>
      </c>
      <c r="G231" s="653" t="s">
        <v>1480</v>
      </c>
      <c r="H231" s="599">
        <v>44618</v>
      </c>
      <c r="I231" s="595">
        <f t="shared" si="18"/>
        <v>15131454.545454545</v>
      </c>
      <c r="J231" s="595">
        <f t="shared" si="19"/>
        <v>1513145.4545454546</v>
      </c>
      <c r="K231" s="596">
        <f>[1]Invoice!$K$3518</f>
        <v>16644600</v>
      </c>
      <c r="L231" s="597"/>
    </row>
    <row r="232" spans="1:12" x14ac:dyDescent="0.2">
      <c r="A232" s="316">
        <v>31</v>
      </c>
      <c r="B232" s="591" t="s">
        <v>843</v>
      </c>
      <c r="C232" s="598" t="s">
        <v>1447</v>
      </c>
      <c r="D232" s="586" t="s">
        <v>1410</v>
      </c>
      <c r="E232" s="593" t="s">
        <v>1411</v>
      </c>
      <c r="F232" s="593" t="s">
        <v>426</v>
      </c>
      <c r="G232" s="653" t="s">
        <v>1481</v>
      </c>
      <c r="H232" s="599">
        <v>44618</v>
      </c>
      <c r="I232" s="595">
        <f t="shared" si="18"/>
        <v>2978181.8181818179</v>
      </c>
      <c r="J232" s="595">
        <f t="shared" si="19"/>
        <v>297818.18181818182</v>
      </c>
      <c r="K232" s="596">
        <f>[1]Invoice!$K$3638</f>
        <v>3276000</v>
      </c>
      <c r="L232" s="597"/>
    </row>
    <row r="233" spans="1:12" x14ac:dyDescent="0.2">
      <c r="A233" s="316">
        <v>32</v>
      </c>
      <c r="B233" s="591" t="s">
        <v>845</v>
      </c>
      <c r="C233" s="598" t="s">
        <v>1824</v>
      </c>
      <c r="D233" s="586"/>
      <c r="E233" s="593" t="s">
        <v>976</v>
      </c>
      <c r="F233" s="593" t="s">
        <v>977</v>
      </c>
      <c r="G233" s="586"/>
      <c r="H233" s="594">
        <v>44594</v>
      </c>
      <c r="I233" s="595">
        <f t="shared" si="18"/>
        <v>11124000</v>
      </c>
      <c r="J233" s="595">
        <f t="shared" si="19"/>
        <v>1112400</v>
      </c>
      <c r="K233" s="596">
        <f>3153600+1166400+7916400</f>
        <v>12236400</v>
      </c>
      <c r="L233" s="600"/>
    </row>
    <row r="234" spans="1:12" x14ac:dyDescent="0.2">
      <c r="A234" s="316">
        <v>33</v>
      </c>
      <c r="B234" s="591" t="s">
        <v>846</v>
      </c>
      <c r="C234" s="598" t="s">
        <v>1735</v>
      </c>
      <c r="D234" s="586"/>
      <c r="E234" s="587" t="s">
        <v>1072</v>
      </c>
      <c r="F234" s="588" t="s">
        <v>1058</v>
      </c>
      <c r="G234" s="586"/>
      <c r="H234" s="599">
        <v>44595</v>
      </c>
      <c r="I234" s="595">
        <f t="shared" si="18"/>
        <v>3041672.7272727271</v>
      </c>
      <c r="J234" s="595">
        <f t="shared" si="19"/>
        <v>304167.27272727271</v>
      </c>
      <c r="K234" s="596">
        <f>558900+2786940</f>
        <v>3345840</v>
      </c>
      <c r="L234" s="597"/>
    </row>
    <row r="235" spans="1:12" x14ac:dyDescent="0.2">
      <c r="A235" s="316">
        <v>34</v>
      </c>
      <c r="B235" s="591" t="s">
        <v>847</v>
      </c>
      <c r="C235" s="598" t="s">
        <v>1737</v>
      </c>
      <c r="D235" s="586"/>
      <c r="E235" s="587" t="s">
        <v>1688</v>
      </c>
      <c r="F235" s="588" t="s">
        <v>1689</v>
      </c>
      <c r="G235" s="586"/>
      <c r="H235" s="599">
        <v>44595</v>
      </c>
      <c r="I235" s="595">
        <f t="shared" si="18"/>
        <v>2484654.5454545454</v>
      </c>
      <c r="J235" s="595">
        <f t="shared" si="19"/>
        <v>248465.45454545456</v>
      </c>
      <c r="K235" s="596">
        <f>2543040+190080</f>
        <v>2733120</v>
      </c>
      <c r="L235" s="597"/>
    </row>
    <row r="236" spans="1:12" x14ac:dyDescent="0.2">
      <c r="A236" s="316">
        <v>35</v>
      </c>
      <c r="B236" s="591" t="s">
        <v>848</v>
      </c>
      <c r="C236" s="598" t="s">
        <v>1690</v>
      </c>
      <c r="D236" s="586"/>
      <c r="E236" s="587" t="s">
        <v>1691</v>
      </c>
      <c r="F236" s="588" t="s">
        <v>1689</v>
      </c>
      <c r="G236" s="586"/>
      <c r="H236" s="599">
        <v>44595</v>
      </c>
      <c r="I236" s="595">
        <f t="shared" si="18"/>
        <v>800181.81818181812</v>
      </c>
      <c r="J236" s="595">
        <f t="shared" si="19"/>
        <v>80018.181818181823</v>
      </c>
      <c r="K236" s="596">
        <v>880200</v>
      </c>
      <c r="L236" s="597"/>
    </row>
    <row r="237" spans="1:12" x14ac:dyDescent="0.2">
      <c r="A237" s="316">
        <v>36</v>
      </c>
      <c r="B237" s="591" t="s">
        <v>849</v>
      </c>
      <c r="C237" s="598" t="s">
        <v>1732</v>
      </c>
      <c r="D237" s="586"/>
      <c r="E237" s="587" t="s">
        <v>992</v>
      </c>
      <c r="F237" s="588" t="s">
        <v>993</v>
      </c>
      <c r="G237" s="586"/>
      <c r="H237" s="599">
        <v>44595</v>
      </c>
      <c r="I237" s="595">
        <f t="shared" si="18"/>
        <v>5613054.5454545449</v>
      </c>
      <c r="J237" s="595">
        <f t="shared" si="19"/>
        <v>561305.45454545447</v>
      </c>
      <c r="K237" s="596">
        <f>969492+1825140+3379728</f>
        <v>6174360</v>
      </c>
      <c r="L237" s="597"/>
    </row>
    <row r="238" spans="1:12" x14ac:dyDescent="0.2">
      <c r="A238" s="316">
        <v>37</v>
      </c>
      <c r="B238" s="591" t="s">
        <v>850</v>
      </c>
      <c r="C238" s="598" t="s">
        <v>1886</v>
      </c>
      <c r="D238" s="586"/>
      <c r="E238" s="587" t="s">
        <v>965</v>
      </c>
      <c r="F238" s="588" t="s">
        <v>966</v>
      </c>
      <c r="G238" s="586"/>
      <c r="H238" s="599">
        <v>44596</v>
      </c>
      <c r="I238" s="595">
        <f t="shared" si="18"/>
        <v>9135000</v>
      </c>
      <c r="J238" s="595">
        <f t="shared" si="19"/>
        <v>913500</v>
      </c>
      <c r="K238" s="596">
        <f>4347000+3685500+2016000</f>
        <v>10048500</v>
      </c>
      <c r="L238" s="597"/>
    </row>
    <row r="239" spans="1:12" x14ac:dyDescent="0.2">
      <c r="A239" s="316">
        <v>38</v>
      </c>
      <c r="B239" s="591" t="s">
        <v>851</v>
      </c>
      <c r="C239" s="598" t="s">
        <v>1692</v>
      </c>
      <c r="D239" s="586"/>
      <c r="E239" s="587" t="s">
        <v>1016</v>
      </c>
      <c r="F239" s="588" t="s">
        <v>1017</v>
      </c>
      <c r="G239" s="586"/>
      <c r="H239" s="599">
        <v>44596</v>
      </c>
      <c r="I239" s="595">
        <f t="shared" si="18"/>
        <v>668181.81818181812</v>
      </c>
      <c r="J239" s="595">
        <f t="shared" si="19"/>
        <v>66818.181818181809</v>
      </c>
      <c r="K239" s="596">
        <v>735000</v>
      </c>
      <c r="L239" s="597"/>
    </row>
    <row r="240" spans="1:12" x14ac:dyDescent="0.2">
      <c r="A240" s="316">
        <v>39</v>
      </c>
      <c r="B240" s="591" t="s">
        <v>852</v>
      </c>
      <c r="C240" s="598" t="s">
        <v>1742</v>
      </c>
      <c r="D240" s="586"/>
      <c r="E240" s="587" t="s">
        <v>1009</v>
      </c>
      <c r="F240" s="588" t="s">
        <v>1008</v>
      </c>
      <c r="G240" s="586"/>
      <c r="H240" s="599">
        <v>44596</v>
      </c>
      <c r="I240" s="595">
        <f t="shared" si="18"/>
        <v>18821334.545454543</v>
      </c>
      <c r="J240" s="595">
        <f t="shared" si="19"/>
        <v>1882133.4545454544</v>
      </c>
      <c r="K240" s="596">
        <f>5989212+11799888+2914368</f>
        <v>20703468</v>
      </c>
      <c r="L240" s="597"/>
    </row>
    <row r="241" spans="1:12" x14ac:dyDescent="0.2">
      <c r="A241" s="316">
        <v>40</v>
      </c>
      <c r="B241" s="591" t="s">
        <v>853</v>
      </c>
      <c r="C241" s="598" t="s">
        <v>1761</v>
      </c>
      <c r="D241" s="586"/>
      <c r="E241" s="593" t="s">
        <v>981</v>
      </c>
      <c r="F241" s="593" t="s">
        <v>980</v>
      </c>
      <c r="G241" s="586"/>
      <c r="H241" s="599">
        <v>44596</v>
      </c>
      <c r="I241" s="595">
        <f t="shared" si="18"/>
        <v>9525672.7272727266</v>
      </c>
      <c r="J241" s="595">
        <f t="shared" si="19"/>
        <v>952567.27272727271</v>
      </c>
      <c r="K241" s="596">
        <f>3526000+3219840+3732400</f>
        <v>10478240</v>
      </c>
      <c r="L241" s="597"/>
    </row>
    <row r="242" spans="1:12" x14ac:dyDescent="0.2">
      <c r="A242" s="316">
        <v>41</v>
      </c>
      <c r="B242" s="591" t="s">
        <v>854</v>
      </c>
      <c r="C242" s="598" t="s">
        <v>1693</v>
      </c>
      <c r="D242" s="586"/>
      <c r="E242" s="593" t="s">
        <v>1005</v>
      </c>
      <c r="F242" s="593" t="s">
        <v>996</v>
      </c>
      <c r="G242" s="586"/>
      <c r="H242" s="594">
        <v>44596</v>
      </c>
      <c r="I242" s="595">
        <f t="shared" si="18"/>
        <v>1881818.1818181816</v>
      </c>
      <c r="J242" s="595">
        <f t="shared" si="19"/>
        <v>188181.81818181818</v>
      </c>
      <c r="K242" s="596">
        <v>2070000</v>
      </c>
      <c r="L242" s="597"/>
    </row>
    <row r="243" spans="1:12" x14ac:dyDescent="0.2">
      <c r="A243" s="316">
        <v>42</v>
      </c>
      <c r="B243" s="591" t="s">
        <v>855</v>
      </c>
      <c r="C243" s="598" t="s">
        <v>1879</v>
      </c>
      <c r="D243" s="586"/>
      <c r="E243" s="587" t="s">
        <v>974</v>
      </c>
      <c r="F243" s="588" t="s">
        <v>1880</v>
      </c>
      <c r="G243" s="586"/>
      <c r="H243" s="599">
        <v>44597</v>
      </c>
      <c r="I243" s="595">
        <f t="shared" si="18"/>
        <v>2800181.8181818179</v>
      </c>
      <c r="J243" s="595">
        <f t="shared" si="19"/>
        <v>280018.18181818182</v>
      </c>
      <c r="K243" s="596">
        <f>67200+3013000</f>
        <v>3080200</v>
      </c>
      <c r="L243" s="597"/>
    </row>
    <row r="244" spans="1:12" x14ac:dyDescent="0.2">
      <c r="A244" s="316">
        <v>43</v>
      </c>
      <c r="B244" s="591" t="s">
        <v>856</v>
      </c>
      <c r="C244" s="598" t="s">
        <v>1709</v>
      </c>
      <c r="D244" s="586"/>
      <c r="E244" s="587" t="s">
        <v>1710</v>
      </c>
      <c r="F244" s="588" t="s">
        <v>1711</v>
      </c>
      <c r="G244" s="586"/>
      <c r="H244" s="599">
        <v>44597</v>
      </c>
      <c r="I244" s="595">
        <f t="shared" si="18"/>
        <v>2625000</v>
      </c>
      <c r="J244" s="595">
        <f t="shared" si="19"/>
        <v>262500</v>
      </c>
      <c r="K244" s="596">
        <v>2887500</v>
      </c>
      <c r="L244" s="597"/>
    </row>
    <row r="245" spans="1:12" x14ac:dyDescent="0.2">
      <c r="A245" s="316">
        <v>44</v>
      </c>
      <c r="B245" s="591" t="s">
        <v>857</v>
      </c>
      <c r="C245" s="598" t="s">
        <v>1811</v>
      </c>
      <c r="D245" s="586"/>
      <c r="E245" s="587" t="s">
        <v>1712</v>
      </c>
      <c r="F245" s="588" t="s">
        <v>1094</v>
      </c>
      <c r="G245" s="586"/>
      <c r="H245" s="599">
        <v>44596</v>
      </c>
      <c r="I245" s="595">
        <f t="shared" si="18"/>
        <v>5651236.3636363633</v>
      </c>
      <c r="J245" s="595">
        <f t="shared" si="19"/>
        <v>565123.63636363635</v>
      </c>
      <c r="K245" s="596">
        <f>4875000+1341360</f>
        <v>6216360</v>
      </c>
      <c r="L245" s="597"/>
    </row>
    <row r="246" spans="1:12" x14ac:dyDescent="0.2">
      <c r="A246" s="316">
        <v>45</v>
      </c>
      <c r="B246" s="591" t="s">
        <v>858</v>
      </c>
      <c r="C246" s="598" t="s">
        <v>1778</v>
      </c>
      <c r="D246" s="586"/>
      <c r="E246" s="587" t="s">
        <v>1007</v>
      </c>
      <c r="F246" s="588" t="s">
        <v>1008</v>
      </c>
      <c r="G246" s="586"/>
      <c r="H246" s="599">
        <v>44596</v>
      </c>
      <c r="I246" s="595">
        <f t="shared" si="18"/>
        <v>5094218.1818181816</v>
      </c>
      <c r="J246" s="595">
        <f t="shared" si="19"/>
        <v>509421.81818181818</v>
      </c>
      <c r="K246" s="596">
        <f>3267600+1680480+655560</f>
        <v>5603640</v>
      </c>
      <c r="L246" s="597"/>
    </row>
    <row r="247" spans="1:12" x14ac:dyDescent="0.2">
      <c r="A247" s="316">
        <v>46</v>
      </c>
      <c r="B247" s="591" t="s">
        <v>859</v>
      </c>
      <c r="C247" s="598" t="s">
        <v>1748</v>
      </c>
      <c r="D247" s="586"/>
      <c r="E247" s="587" t="s">
        <v>978</v>
      </c>
      <c r="F247" s="588" t="s">
        <v>590</v>
      </c>
      <c r="G247" s="586"/>
      <c r="H247" s="599">
        <v>44597</v>
      </c>
      <c r="I247" s="595">
        <f t="shared" si="18"/>
        <v>16313214.545454545</v>
      </c>
      <c r="J247" s="595">
        <f t="shared" si="19"/>
        <v>1631321.4545454546</v>
      </c>
      <c r="K247" s="596">
        <f>11633736+3060000+3250800</f>
        <v>17944536</v>
      </c>
      <c r="L247" s="597"/>
    </row>
    <row r="248" spans="1:12" x14ac:dyDescent="0.2">
      <c r="A248" s="316">
        <v>47</v>
      </c>
      <c r="B248" s="591" t="s">
        <v>860</v>
      </c>
      <c r="C248" s="598" t="s">
        <v>1713</v>
      </c>
      <c r="D248" s="586"/>
      <c r="E248" s="587" t="s">
        <v>1714</v>
      </c>
      <c r="F248" s="588" t="s">
        <v>1130</v>
      </c>
      <c r="G248" s="586"/>
      <c r="H248" s="599">
        <v>44597</v>
      </c>
      <c r="I248" s="595">
        <f t="shared" si="18"/>
        <v>1051527.2727272727</v>
      </c>
      <c r="J248" s="595">
        <f t="shared" si="19"/>
        <v>105152.72727272728</v>
      </c>
      <c r="K248" s="596">
        <v>1156680</v>
      </c>
      <c r="L248" s="597"/>
    </row>
    <row r="249" spans="1:12" x14ac:dyDescent="0.2">
      <c r="A249" s="316">
        <v>48</v>
      </c>
      <c r="B249" s="591" t="s">
        <v>861</v>
      </c>
      <c r="C249" s="598" t="s">
        <v>1808</v>
      </c>
      <c r="D249" s="586"/>
      <c r="E249" s="587" t="s">
        <v>1006</v>
      </c>
      <c r="F249" s="588" t="s">
        <v>984</v>
      </c>
      <c r="G249" s="586"/>
      <c r="H249" s="599">
        <v>44597</v>
      </c>
      <c r="I249" s="595">
        <f t="shared" si="18"/>
        <v>5886363.6363636358</v>
      </c>
      <c r="J249" s="595">
        <f t="shared" si="19"/>
        <v>588636.36363636365</v>
      </c>
      <c r="K249" s="596">
        <f>4073125+1638000+763875</f>
        <v>6475000</v>
      </c>
      <c r="L249" s="597"/>
    </row>
    <row r="250" spans="1:12" x14ac:dyDescent="0.2">
      <c r="A250" s="316">
        <v>49</v>
      </c>
      <c r="B250" s="591" t="s">
        <v>862</v>
      </c>
      <c r="C250" s="598" t="s">
        <v>1715</v>
      </c>
      <c r="D250" s="586"/>
      <c r="E250" s="587" t="s">
        <v>1716</v>
      </c>
      <c r="F250" s="588" t="s">
        <v>1055</v>
      </c>
      <c r="G250" s="586"/>
      <c r="H250" s="599">
        <v>44597</v>
      </c>
      <c r="I250" s="595">
        <f t="shared" si="18"/>
        <v>213054.54545454544</v>
      </c>
      <c r="J250" s="595">
        <f t="shared" si="19"/>
        <v>21305.454545454544</v>
      </c>
      <c r="K250" s="596">
        <v>234360</v>
      </c>
      <c r="L250" s="597"/>
    </row>
    <row r="251" spans="1:12" x14ac:dyDescent="0.2">
      <c r="A251" s="316">
        <v>50</v>
      </c>
      <c r="B251" s="591" t="s">
        <v>863</v>
      </c>
      <c r="C251" s="598" t="s">
        <v>1717</v>
      </c>
      <c r="D251" s="586"/>
      <c r="E251" s="587" t="s">
        <v>1093</v>
      </c>
      <c r="F251" s="588" t="s">
        <v>1094</v>
      </c>
      <c r="G251" s="586"/>
      <c r="H251" s="599">
        <v>44597</v>
      </c>
      <c r="I251" s="595">
        <f t="shared" si="18"/>
        <v>921599.99999999988</v>
      </c>
      <c r="J251" s="595">
        <f t="shared" si="19"/>
        <v>92160</v>
      </c>
      <c r="K251" s="596">
        <v>1013760</v>
      </c>
      <c r="L251" s="597"/>
    </row>
    <row r="252" spans="1:12" x14ac:dyDescent="0.2">
      <c r="A252" s="316">
        <v>51</v>
      </c>
      <c r="B252" s="591" t="s">
        <v>864</v>
      </c>
      <c r="C252" s="598" t="s">
        <v>1775</v>
      </c>
      <c r="D252" s="586"/>
      <c r="E252" s="587" t="s">
        <v>969</v>
      </c>
      <c r="F252" s="588" t="s">
        <v>966</v>
      </c>
      <c r="G252" s="586"/>
      <c r="H252" s="599">
        <v>44599</v>
      </c>
      <c r="I252" s="595">
        <f t="shared" si="18"/>
        <v>49977363.636363633</v>
      </c>
      <c r="J252" s="595">
        <f t="shared" si="19"/>
        <v>4997736.3636363633</v>
      </c>
      <c r="K252" s="596">
        <f>202125+17882400+36890575</f>
        <v>54975100</v>
      </c>
      <c r="L252" s="597"/>
    </row>
    <row r="253" spans="1:12" x14ac:dyDescent="0.2">
      <c r="A253" s="316">
        <v>52</v>
      </c>
      <c r="B253" s="591" t="s">
        <v>865</v>
      </c>
      <c r="C253" s="598" t="s">
        <v>1718</v>
      </c>
      <c r="D253" s="586"/>
      <c r="E253" s="593" t="s">
        <v>1286</v>
      </c>
      <c r="F253" s="593" t="s">
        <v>996</v>
      </c>
      <c r="G253" s="586"/>
      <c r="H253" s="594">
        <v>44599</v>
      </c>
      <c r="I253" s="595">
        <f t="shared" si="18"/>
        <v>4800000</v>
      </c>
      <c r="J253" s="595">
        <f t="shared" si="19"/>
        <v>480000</v>
      </c>
      <c r="K253" s="596">
        <v>5280000</v>
      </c>
      <c r="L253" s="597"/>
    </row>
    <row r="254" spans="1:12" x14ac:dyDescent="0.2">
      <c r="A254" s="316">
        <v>53</v>
      </c>
      <c r="B254" s="591" t="s">
        <v>866</v>
      </c>
      <c r="C254" s="598" t="s">
        <v>1719</v>
      </c>
      <c r="D254" s="586"/>
      <c r="E254" s="587" t="s">
        <v>1720</v>
      </c>
      <c r="F254" s="588" t="s">
        <v>1721</v>
      </c>
      <c r="G254" s="586"/>
      <c r="H254" s="599">
        <v>44599</v>
      </c>
      <c r="I254" s="595">
        <f t="shared" si="18"/>
        <v>117818.18181818181</v>
      </c>
      <c r="J254" s="595">
        <f t="shared" si="19"/>
        <v>11781.818181818182</v>
      </c>
      <c r="K254" s="596">
        <v>129600</v>
      </c>
      <c r="L254" s="597"/>
    </row>
    <row r="255" spans="1:12" x14ac:dyDescent="0.2">
      <c r="A255" s="316">
        <v>54</v>
      </c>
      <c r="B255" s="591" t="s">
        <v>867</v>
      </c>
      <c r="C255" s="598" t="s">
        <v>1722</v>
      </c>
      <c r="D255" s="586"/>
      <c r="E255" s="587" t="s">
        <v>1723</v>
      </c>
      <c r="F255" s="588" t="s">
        <v>1130</v>
      </c>
      <c r="G255" s="586"/>
      <c r="H255" s="599">
        <v>44599</v>
      </c>
      <c r="I255" s="595">
        <f t="shared" si="18"/>
        <v>370545.45454545453</v>
      </c>
      <c r="J255" s="595">
        <f t="shared" si="19"/>
        <v>37054.545454545456</v>
      </c>
      <c r="K255" s="596">
        <v>407600</v>
      </c>
      <c r="L255" s="597"/>
    </row>
    <row r="256" spans="1:12" x14ac:dyDescent="0.2">
      <c r="A256" s="316">
        <v>55</v>
      </c>
      <c r="B256" s="591" t="s">
        <v>868</v>
      </c>
      <c r="C256" s="598" t="s">
        <v>1724</v>
      </c>
      <c r="D256" s="586"/>
      <c r="E256" s="601" t="s">
        <v>1010</v>
      </c>
      <c r="F256" s="588" t="s">
        <v>984</v>
      </c>
      <c r="G256" s="586"/>
      <c r="H256" s="599">
        <v>44599</v>
      </c>
      <c r="I256" s="595">
        <f t="shared" si="18"/>
        <v>2650436.3636363633</v>
      </c>
      <c r="J256" s="595">
        <f t="shared" si="19"/>
        <v>265043.63636363635</v>
      </c>
      <c r="K256" s="596">
        <v>2915480</v>
      </c>
      <c r="L256" s="597"/>
    </row>
    <row r="257" spans="1:12" x14ac:dyDescent="0.2">
      <c r="A257" s="316">
        <v>56</v>
      </c>
      <c r="B257" s="591" t="s">
        <v>869</v>
      </c>
      <c r="C257" s="598" t="s">
        <v>1884</v>
      </c>
      <c r="D257" s="586"/>
      <c r="E257" s="587" t="s">
        <v>972</v>
      </c>
      <c r="F257" s="588" t="s">
        <v>966</v>
      </c>
      <c r="G257" s="586"/>
      <c r="H257" s="599">
        <v>44600</v>
      </c>
      <c r="I257" s="595">
        <f t="shared" si="18"/>
        <v>7700181.8181818174</v>
      </c>
      <c r="J257" s="595">
        <f t="shared" si="19"/>
        <v>770018.18181818177</v>
      </c>
      <c r="K257" s="596">
        <f>1166400+4342800+2961000</f>
        <v>8470200</v>
      </c>
      <c r="L257" s="597"/>
    </row>
    <row r="258" spans="1:12" x14ac:dyDescent="0.2">
      <c r="A258" s="316">
        <v>57</v>
      </c>
      <c r="B258" s="591" t="s">
        <v>870</v>
      </c>
      <c r="C258" s="598" t="s">
        <v>1806</v>
      </c>
      <c r="D258" s="586"/>
      <c r="E258" s="587" t="s">
        <v>992</v>
      </c>
      <c r="F258" s="588" t="s">
        <v>1075</v>
      </c>
      <c r="G258" s="586"/>
      <c r="H258" s="599">
        <v>44600</v>
      </c>
      <c r="I258" s="595">
        <f t="shared" si="18"/>
        <v>11402581.818181816</v>
      </c>
      <c r="J258" s="595">
        <f t="shared" si="19"/>
        <v>1140258.1818181816</v>
      </c>
      <c r="K258" s="596">
        <f>5201280+6948440+393120</f>
        <v>12542840</v>
      </c>
      <c r="L258" s="597"/>
    </row>
    <row r="259" spans="1:12" x14ac:dyDescent="0.2">
      <c r="A259" s="316">
        <v>58</v>
      </c>
      <c r="B259" s="591" t="s">
        <v>871</v>
      </c>
      <c r="C259" s="598" t="s">
        <v>1763</v>
      </c>
      <c r="D259" s="586"/>
      <c r="E259" s="587" t="s">
        <v>1205</v>
      </c>
      <c r="F259" s="588" t="s">
        <v>1206</v>
      </c>
      <c r="G259" s="586"/>
      <c r="H259" s="599">
        <v>44600</v>
      </c>
      <c r="I259" s="595">
        <f t="shared" si="18"/>
        <v>1063636.3636363635</v>
      </c>
      <c r="J259" s="595">
        <f t="shared" si="19"/>
        <v>106363.63636363635</v>
      </c>
      <c r="K259" s="596">
        <f>645000+525000</f>
        <v>1170000</v>
      </c>
      <c r="L259" s="597"/>
    </row>
    <row r="260" spans="1:12" x14ac:dyDescent="0.2">
      <c r="A260" s="316">
        <v>59</v>
      </c>
      <c r="B260" s="591" t="s">
        <v>872</v>
      </c>
      <c r="C260" s="598" t="s">
        <v>1794</v>
      </c>
      <c r="D260" s="586"/>
      <c r="E260" s="587" t="s">
        <v>1014</v>
      </c>
      <c r="F260" s="588" t="s">
        <v>1015</v>
      </c>
      <c r="G260" s="586"/>
      <c r="H260" s="599">
        <v>44600</v>
      </c>
      <c r="I260" s="595">
        <f t="shared" si="18"/>
        <v>7010986.3636363633</v>
      </c>
      <c r="J260" s="595">
        <f t="shared" si="19"/>
        <v>701098.63636363635</v>
      </c>
      <c r="K260" s="596">
        <f>6073960+1238125+400000</f>
        <v>7712085</v>
      </c>
      <c r="L260" s="597"/>
    </row>
    <row r="261" spans="1:12" x14ac:dyDescent="0.2">
      <c r="A261" s="316">
        <v>60</v>
      </c>
      <c r="B261" s="591" t="s">
        <v>873</v>
      </c>
      <c r="C261" s="598" t="s">
        <v>1726</v>
      </c>
      <c r="D261" s="586"/>
      <c r="E261" s="587" t="s">
        <v>1727</v>
      </c>
      <c r="F261" s="588" t="s">
        <v>987</v>
      </c>
      <c r="G261" s="586"/>
      <c r="H261" s="599">
        <v>44600</v>
      </c>
      <c r="I261" s="595">
        <f t="shared" si="18"/>
        <v>4511022.7272727266</v>
      </c>
      <c r="J261" s="595">
        <f t="shared" si="19"/>
        <v>451102.27272727271</v>
      </c>
      <c r="K261" s="596">
        <v>4962125</v>
      </c>
      <c r="L261" s="597"/>
    </row>
    <row r="262" spans="1:12" x14ac:dyDescent="0.2">
      <c r="A262" s="316">
        <v>61</v>
      </c>
      <c r="B262" s="591" t="s">
        <v>874</v>
      </c>
      <c r="C262" s="598" t="s">
        <v>1728</v>
      </c>
      <c r="D262" s="586"/>
      <c r="E262" s="587" t="s">
        <v>1729</v>
      </c>
      <c r="F262" s="588" t="s">
        <v>599</v>
      </c>
      <c r="G262" s="586"/>
      <c r="H262" s="599">
        <v>44600</v>
      </c>
      <c r="I262" s="595">
        <f t="shared" si="18"/>
        <v>562800</v>
      </c>
      <c r="J262" s="595">
        <f t="shared" si="19"/>
        <v>56280</v>
      </c>
      <c r="K262" s="596">
        <v>619080</v>
      </c>
      <c r="L262" s="597"/>
    </row>
    <row r="263" spans="1:12" x14ac:dyDescent="0.2">
      <c r="A263" s="316">
        <v>62</v>
      </c>
      <c r="B263" s="591" t="s">
        <v>875</v>
      </c>
      <c r="C263" s="598" t="s">
        <v>1860</v>
      </c>
      <c r="D263" s="586"/>
      <c r="E263" s="587" t="s">
        <v>1090</v>
      </c>
      <c r="F263" s="588" t="s">
        <v>606</v>
      </c>
      <c r="G263" s="586"/>
      <c r="H263" s="599">
        <v>44600</v>
      </c>
      <c r="I263" s="595">
        <f t="shared" si="18"/>
        <v>16855840.909090906</v>
      </c>
      <c r="J263" s="595">
        <f t="shared" si="19"/>
        <v>1685584.0909090908</v>
      </c>
      <c r="K263" s="596">
        <f>13428975+3411450+1701000</f>
        <v>18541425</v>
      </c>
      <c r="L263" s="597"/>
    </row>
    <row r="264" spans="1:12" x14ac:dyDescent="0.2">
      <c r="A264" s="316">
        <v>63</v>
      </c>
      <c r="B264" s="591" t="s">
        <v>876</v>
      </c>
      <c r="C264" s="598" t="s">
        <v>1777</v>
      </c>
      <c r="D264" s="586"/>
      <c r="E264" s="587" t="s">
        <v>992</v>
      </c>
      <c r="F264" s="588" t="s">
        <v>673</v>
      </c>
      <c r="G264" s="586"/>
      <c r="H264" s="599">
        <v>44600</v>
      </c>
      <c r="I264" s="595">
        <f t="shared" si="18"/>
        <v>15954636.363636361</v>
      </c>
      <c r="J264" s="595">
        <f t="shared" si="19"/>
        <v>1595463.6363636362</v>
      </c>
      <c r="K264" s="596">
        <f>12455100+3307500+1787500</f>
        <v>17550100</v>
      </c>
      <c r="L264" s="597"/>
    </row>
    <row r="265" spans="1:12" x14ac:dyDescent="0.2">
      <c r="A265" s="316">
        <v>64</v>
      </c>
      <c r="B265" s="591" t="s">
        <v>877</v>
      </c>
      <c r="C265" s="598" t="s">
        <v>1730</v>
      </c>
      <c r="D265" s="586"/>
      <c r="E265" s="587" t="s">
        <v>1243</v>
      </c>
      <c r="F265" s="588" t="s">
        <v>1244</v>
      </c>
      <c r="G265" s="586"/>
      <c r="H265" s="599">
        <v>44600</v>
      </c>
      <c r="I265" s="595">
        <f t="shared" ref="I265:I328" si="20">K265/1.1</f>
        <v>345600</v>
      </c>
      <c r="J265" s="595">
        <f t="shared" ref="J265:J328" si="21">I265*10%</f>
        <v>34560</v>
      </c>
      <c r="K265" s="596">
        <v>380160</v>
      </c>
      <c r="L265" s="597"/>
    </row>
    <row r="266" spans="1:12" x14ac:dyDescent="0.2">
      <c r="A266" s="316">
        <v>65</v>
      </c>
      <c r="B266" s="591" t="s">
        <v>878</v>
      </c>
      <c r="C266" s="598" t="s">
        <v>1835</v>
      </c>
      <c r="D266" s="586"/>
      <c r="E266" s="587" t="s">
        <v>986</v>
      </c>
      <c r="F266" s="588" t="s">
        <v>980</v>
      </c>
      <c r="G266" s="586"/>
      <c r="H266" s="599">
        <v>44600</v>
      </c>
      <c r="I266" s="595">
        <f t="shared" si="20"/>
        <v>7069336.3636363633</v>
      </c>
      <c r="J266" s="595">
        <f t="shared" si="21"/>
        <v>706933.63636363635</v>
      </c>
      <c r="K266" s="596">
        <f>3440880+3088800+1246590</f>
        <v>7776270</v>
      </c>
      <c r="L266" s="597"/>
    </row>
    <row r="267" spans="1:12" x14ac:dyDescent="0.2">
      <c r="A267" s="316">
        <v>66</v>
      </c>
      <c r="B267" s="591" t="s">
        <v>879</v>
      </c>
      <c r="C267" s="598" t="s">
        <v>1731</v>
      </c>
      <c r="D267" s="586"/>
      <c r="E267" s="587" t="s">
        <v>985</v>
      </c>
      <c r="F267" s="588" t="s">
        <v>426</v>
      </c>
      <c r="G267" s="586"/>
      <c r="H267" s="599">
        <v>44603</v>
      </c>
      <c r="I267" s="595">
        <f t="shared" si="20"/>
        <v>19071818.18181818</v>
      </c>
      <c r="J267" s="595">
        <f t="shared" si="21"/>
        <v>1907181.8181818181</v>
      </c>
      <c r="K267" s="596">
        <v>20979000</v>
      </c>
      <c r="L267" s="597"/>
    </row>
    <row r="268" spans="1:12" x14ac:dyDescent="0.2">
      <c r="A268" s="316">
        <v>67</v>
      </c>
      <c r="B268" s="591" t="s">
        <v>880</v>
      </c>
      <c r="C268" s="598" t="s">
        <v>1804</v>
      </c>
      <c r="D268" s="586"/>
      <c r="E268" s="587" t="s">
        <v>1103</v>
      </c>
      <c r="F268" s="588" t="s">
        <v>1104</v>
      </c>
      <c r="G268" s="586"/>
      <c r="H268" s="599">
        <v>44600</v>
      </c>
      <c r="I268" s="595">
        <f t="shared" si="20"/>
        <v>9479909.0909090899</v>
      </c>
      <c r="J268" s="595">
        <f t="shared" si="21"/>
        <v>947990.90909090906</v>
      </c>
      <c r="K268" s="596">
        <f>1134000+4014500+5279400</f>
        <v>10427900</v>
      </c>
      <c r="L268" s="597"/>
    </row>
    <row r="269" spans="1:12" x14ac:dyDescent="0.2">
      <c r="A269" s="316">
        <v>68</v>
      </c>
      <c r="B269" s="591" t="s">
        <v>881</v>
      </c>
      <c r="C269" s="598" t="s">
        <v>1771</v>
      </c>
      <c r="D269" s="586"/>
      <c r="E269" s="587" t="s">
        <v>1054</v>
      </c>
      <c r="F269" s="588" t="s">
        <v>1055</v>
      </c>
      <c r="G269" s="586"/>
      <c r="H269" s="599">
        <v>44600</v>
      </c>
      <c r="I269" s="595">
        <f t="shared" si="20"/>
        <v>11009127.272727272</v>
      </c>
      <c r="J269" s="595">
        <f t="shared" si="21"/>
        <v>1100912.7272727273</v>
      </c>
      <c r="K269" s="596">
        <f>1501200+5415660+5193180</f>
        <v>12110040</v>
      </c>
      <c r="L269" s="597"/>
    </row>
    <row r="270" spans="1:12" x14ac:dyDescent="0.2">
      <c r="A270" s="316">
        <v>69</v>
      </c>
      <c r="B270" s="591" t="s">
        <v>882</v>
      </c>
      <c r="C270" s="598" t="s">
        <v>1801</v>
      </c>
      <c r="D270" s="586"/>
      <c r="E270" s="587" t="s">
        <v>1040</v>
      </c>
      <c r="F270" s="588" t="s">
        <v>1019</v>
      </c>
      <c r="G270" s="586"/>
      <c r="H270" s="599">
        <v>44600</v>
      </c>
      <c r="I270" s="595">
        <f t="shared" si="20"/>
        <v>5398045.4545454541</v>
      </c>
      <c r="J270" s="595">
        <f t="shared" si="21"/>
        <v>539804.54545454541</v>
      </c>
      <c r="K270" s="596">
        <f>700000+4469250+768600</f>
        <v>5937850</v>
      </c>
      <c r="L270" s="597"/>
    </row>
    <row r="271" spans="1:12" x14ac:dyDescent="0.2">
      <c r="A271" s="316">
        <v>70</v>
      </c>
      <c r="B271" s="591" t="s">
        <v>883</v>
      </c>
      <c r="C271" s="598" t="s">
        <v>1826</v>
      </c>
      <c r="D271" s="586"/>
      <c r="E271" s="587" t="s">
        <v>1063</v>
      </c>
      <c r="F271" s="588" t="s">
        <v>993</v>
      </c>
      <c r="G271" s="586"/>
      <c r="H271" s="599">
        <v>44600</v>
      </c>
      <c r="I271" s="595">
        <f t="shared" si="20"/>
        <v>2176363.6363636362</v>
      </c>
      <c r="J271" s="595">
        <f t="shared" si="21"/>
        <v>217636.36363636365</v>
      </c>
      <c r="K271" s="596">
        <f>1134000+1260000</f>
        <v>2394000</v>
      </c>
      <c r="L271" s="597"/>
    </row>
    <row r="272" spans="1:12" x14ac:dyDescent="0.2">
      <c r="A272" s="316">
        <v>71</v>
      </c>
      <c r="B272" s="591" t="s">
        <v>884</v>
      </c>
      <c r="C272" s="598" t="s">
        <v>1736</v>
      </c>
      <c r="D272" s="586"/>
      <c r="E272" s="587" t="s">
        <v>1057</v>
      </c>
      <c r="F272" s="588" t="s">
        <v>1058</v>
      </c>
      <c r="G272" s="586"/>
      <c r="H272" s="599">
        <v>44601</v>
      </c>
      <c r="I272" s="595">
        <f t="shared" si="20"/>
        <v>1694318.1818181816</v>
      </c>
      <c r="J272" s="595">
        <f t="shared" si="21"/>
        <v>169431.81818181818</v>
      </c>
      <c r="K272" s="596">
        <v>1863750</v>
      </c>
      <c r="L272" s="597"/>
    </row>
    <row r="273" spans="1:12" x14ac:dyDescent="0.2">
      <c r="A273" s="316">
        <v>72</v>
      </c>
      <c r="B273" s="591" t="s">
        <v>885</v>
      </c>
      <c r="C273" s="598" t="s">
        <v>1805</v>
      </c>
      <c r="D273" s="586"/>
      <c r="E273" s="593" t="s">
        <v>992</v>
      </c>
      <c r="F273" s="593" t="s">
        <v>993</v>
      </c>
      <c r="G273" s="586"/>
      <c r="H273" s="594">
        <v>44608</v>
      </c>
      <c r="I273" s="595">
        <f t="shared" si="20"/>
        <v>9950411.8181818165</v>
      </c>
      <c r="J273" s="595">
        <f t="shared" si="21"/>
        <v>995041.18181818165</v>
      </c>
      <c r="K273" s="596">
        <f>3812055+4567981+2565417</f>
        <v>10945453</v>
      </c>
      <c r="L273" s="597"/>
    </row>
    <row r="274" spans="1:12" x14ac:dyDescent="0.2">
      <c r="A274" s="316">
        <v>73</v>
      </c>
      <c r="B274" s="591" t="s">
        <v>886</v>
      </c>
      <c r="C274" s="598" t="s">
        <v>1809</v>
      </c>
      <c r="D274" s="586"/>
      <c r="E274" s="587" t="s">
        <v>1738</v>
      </c>
      <c r="F274" s="588" t="s">
        <v>1055</v>
      </c>
      <c r="G274" s="586"/>
      <c r="H274" s="599">
        <v>44601</v>
      </c>
      <c r="I274" s="595">
        <f t="shared" si="20"/>
        <v>5704363.6363636358</v>
      </c>
      <c r="J274" s="595">
        <f t="shared" si="21"/>
        <v>570436.36363636365</v>
      </c>
      <c r="K274" s="596">
        <f>3137400+3137400</f>
        <v>6274800</v>
      </c>
      <c r="L274" s="597"/>
    </row>
    <row r="275" spans="1:12" x14ac:dyDescent="0.2">
      <c r="A275" s="316">
        <v>74</v>
      </c>
      <c r="B275" s="591" t="s">
        <v>887</v>
      </c>
      <c r="C275" s="598" t="s">
        <v>1832</v>
      </c>
      <c r="D275" s="586"/>
      <c r="E275" s="587" t="s">
        <v>1739</v>
      </c>
      <c r="F275" s="588" t="s">
        <v>1328</v>
      </c>
      <c r="G275" s="586"/>
      <c r="H275" s="599">
        <v>44601</v>
      </c>
      <c r="I275" s="595">
        <f t="shared" si="20"/>
        <v>8647636.3636363633</v>
      </c>
      <c r="J275" s="595">
        <f t="shared" si="21"/>
        <v>864763.63636363635</v>
      </c>
      <c r="K275" s="596">
        <f>3137400+6375000</f>
        <v>9512400</v>
      </c>
      <c r="L275" s="597"/>
    </row>
    <row r="276" spans="1:12" x14ac:dyDescent="0.2">
      <c r="A276" s="316">
        <v>75</v>
      </c>
      <c r="B276" s="591" t="s">
        <v>888</v>
      </c>
      <c r="C276" s="598" t="s">
        <v>1740</v>
      </c>
      <c r="D276" s="586"/>
      <c r="E276" s="587" t="s">
        <v>1026</v>
      </c>
      <c r="F276" s="588" t="s">
        <v>579</v>
      </c>
      <c r="G276" s="586"/>
      <c r="H276" s="599">
        <v>44601</v>
      </c>
      <c r="I276" s="595">
        <f t="shared" si="20"/>
        <v>4742181.8181818174</v>
      </c>
      <c r="J276" s="595">
        <f t="shared" si="21"/>
        <v>474218.18181818177</v>
      </c>
      <c r="K276" s="596">
        <v>5216400</v>
      </c>
      <c r="L276" s="597"/>
    </row>
    <row r="277" spans="1:12" x14ac:dyDescent="0.2">
      <c r="A277" s="316">
        <v>76</v>
      </c>
      <c r="B277" s="591" t="s">
        <v>889</v>
      </c>
      <c r="C277" s="598" t="s">
        <v>1741</v>
      </c>
      <c r="D277" s="586"/>
      <c r="E277" s="587" t="s">
        <v>992</v>
      </c>
      <c r="F277" s="588" t="s">
        <v>583</v>
      </c>
      <c r="G277" s="586"/>
      <c r="H277" s="599">
        <v>44601</v>
      </c>
      <c r="I277" s="595">
        <f t="shared" si="20"/>
        <v>117818.18181818181</v>
      </c>
      <c r="J277" s="595">
        <f t="shared" si="21"/>
        <v>11781.818181818182</v>
      </c>
      <c r="K277" s="596">
        <v>129600</v>
      </c>
      <c r="L277" s="597"/>
    </row>
    <row r="278" spans="1:12" x14ac:dyDescent="0.2">
      <c r="A278" s="316">
        <v>77</v>
      </c>
      <c r="B278" s="591" t="s">
        <v>890</v>
      </c>
      <c r="C278" s="598" t="s">
        <v>1862</v>
      </c>
      <c r="D278" s="586"/>
      <c r="E278" s="587" t="s">
        <v>1052</v>
      </c>
      <c r="F278" s="588" t="s">
        <v>1017</v>
      </c>
      <c r="G278" s="586"/>
      <c r="H278" s="599">
        <v>44601</v>
      </c>
      <c r="I278" s="595">
        <f t="shared" si="20"/>
        <v>8320534.5454545449</v>
      </c>
      <c r="J278" s="595">
        <f t="shared" si="21"/>
        <v>832053.45454545459</v>
      </c>
      <c r="K278" s="596">
        <f>5442150+3612000+98438</f>
        <v>9152588</v>
      </c>
      <c r="L278" s="597"/>
    </row>
    <row r="279" spans="1:12" x14ac:dyDescent="0.2">
      <c r="A279" s="316">
        <v>78</v>
      </c>
      <c r="B279" s="591" t="s">
        <v>891</v>
      </c>
      <c r="C279" s="598" t="s">
        <v>1863</v>
      </c>
      <c r="D279" s="586"/>
      <c r="E279" s="587" t="s">
        <v>1016</v>
      </c>
      <c r="F279" s="588" t="s">
        <v>1017</v>
      </c>
      <c r="G279" s="586"/>
      <c r="H279" s="599">
        <v>44601</v>
      </c>
      <c r="I279" s="595">
        <f t="shared" si="20"/>
        <v>2318909.0909090908</v>
      </c>
      <c r="J279" s="595">
        <f t="shared" si="21"/>
        <v>231890.90909090909</v>
      </c>
      <c r="K279" s="596">
        <f>1519700+1031100</f>
        <v>2550800</v>
      </c>
      <c r="L279" s="597"/>
    </row>
    <row r="280" spans="1:12" x14ac:dyDescent="0.2">
      <c r="A280" s="316">
        <v>79</v>
      </c>
      <c r="B280" s="591" t="s">
        <v>892</v>
      </c>
      <c r="C280" s="598" t="s">
        <v>1743</v>
      </c>
      <c r="D280" s="586"/>
      <c r="E280" s="587" t="s">
        <v>1032</v>
      </c>
      <c r="F280" s="588" t="s">
        <v>1033</v>
      </c>
      <c r="G280" s="586"/>
      <c r="H280" s="599">
        <v>44601</v>
      </c>
      <c r="I280" s="595">
        <f t="shared" si="20"/>
        <v>2052272.7272727271</v>
      </c>
      <c r="J280" s="595">
        <f t="shared" si="21"/>
        <v>205227.27272727271</v>
      </c>
      <c r="K280" s="596">
        <v>2257500</v>
      </c>
      <c r="L280" s="597"/>
    </row>
    <row r="281" spans="1:12" x14ac:dyDescent="0.2">
      <c r="A281" s="316">
        <v>80</v>
      </c>
      <c r="B281" s="591" t="s">
        <v>893</v>
      </c>
      <c r="C281" s="598" t="s">
        <v>1807</v>
      </c>
      <c r="D281" s="586"/>
      <c r="E281" s="587" t="s">
        <v>1021</v>
      </c>
      <c r="F281" s="588" t="s">
        <v>1022</v>
      </c>
      <c r="G281" s="586"/>
      <c r="H281" s="599">
        <v>44601</v>
      </c>
      <c r="I281" s="595">
        <f t="shared" si="20"/>
        <v>5069618.1818181816</v>
      </c>
      <c r="J281" s="595">
        <f t="shared" si="21"/>
        <v>506961.81818181818</v>
      </c>
      <c r="K281" s="596">
        <f>1166400+1601100+2809080</f>
        <v>5576580</v>
      </c>
      <c r="L281" s="597"/>
    </row>
    <row r="282" spans="1:12" x14ac:dyDescent="0.2">
      <c r="A282" s="316">
        <v>81</v>
      </c>
      <c r="B282" s="591" t="s">
        <v>894</v>
      </c>
      <c r="C282" s="598" t="s">
        <v>1795</v>
      </c>
      <c r="D282" s="586"/>
      <c r="E282" s="587" t="s">
        <v>1744</v>
      </c>
      <c r="F282" s="588" t="s">
        <v>1745</v>
      </c>
      <c r="G282" s="586"/>
      <c r="H282" s="599">
        <v>44601</v>
      </c>
      <c r="I282" s="595">
        <f t="shared" si="20"/>
        <v>6682931.8181818174</v>
      </c>
      <c r="J282" s="595">
        <f t="shared" si="21"/>
        <v>668293.18181818177</v>
      </c>
      <c r="K282" s="596">
        <f>3276000+2069725+2005500</f>
        <v>7351225</v>
      </c>
      <c r="L282" s="597"/>
    </row>
    <row r="283" spans="1:12" x14ac:dyDescent="0.2">
      <c r="A283" s="316">
        <v>82</v>
      </c>
      <c r="B283" s="591" t="s">
        <v>895</v>
      </c>
      <c r="C283" s="598" t="s">
        <v>1746</v>
      </c>
      <c r="D283" s="586"/>
      <c r="E283" s="587" t="s">
        <v>1747</v>
      </c>
      <c r="F283" s="588" t="s">
        <v>1745</v>
      </c>
      <c r="G283" s="586"/>
      <c r="H283" s="599">
        <v>44601</v>
      </c>
      <c r="I283" s="595">
        <f t="shared" si="20"/>
        <v>1191272.7272727271</v>
      </c>
      <c r="J283" s="595">
        <f t="shared" si="21"/>
        <v>119127.27272727271</v>
      </c>
      <c r="K283" s="596">
        <v>1310400</v>
      </c>
      <c r="L283" s="597"/>
    </row>
    <row r="284" spans="1:12" x14ac:dyDescent="0.2">
      <c r="A284" s="316">
        <v>83</v>
      </c>
      <c r="B284" s="591" t="s">
        <v>896</v>
      </c>
      <c r="C284" s="598" t="s">
        <v>1749</v>
      </c>
      <c r="D284" s="586"/>
      <c r="E284" s="593" t="s">
        <v>1750</v>
      </c>
      <c r="F284" s="593" t="s">
        <v>1328</v>
      </c>
      <c r="G284" s="586"/>
      <c r="H284" s="594">
        <v>44602</v>
      </c>
      <c r="I284" s="595">
        <f t="shared" si="20"/>
        <v>964799.99999999988</v>
      </c>
      <c r="J284" s="595">
        <f t="shared" si="21"/>
        <v>96480</v>
      </c>
      <c r="K284" s="596">
        <v>1061280</v>
      </c>
      <c r="L284" s="597"/>
    </row>
    <row r="285" spans="1:12" x14ac:dyDescent="0.2">
      <c r="A285" s="316">
        <v>84</v>
      </c>
      <c r="B285" s="591" t="s">
        <v>897</v>
      </c>
      <c r="C285" s="598" t="s">
        <v>1828</v>
      </c>
      <c r="D285" s="586"/>
      <c r="E285" s="593" t="s">
        <v>1018</v>
      </c>
      <c r="F285" s="593" t="s">
        <v>1019</v>
      </c>
      <c r="G285" s="586"/>
      <c r="H285" s="594">
        <v>44602</v>
      </c>
      <c r="I285" s="595">
        <f t="shared" si="20"/>
        <v>3819090.9090909087</v>
      </c>
      <c r="J285" s="595">
        <f t="shared" si="21"/>
        <v>381909.09090909088</v>
      </c>
      <c r="K285" s="596">
        <f>1701000+2500000</f>
        <v>4201000</v>
      </c>
      <c r="L285" s="597"/>
    </row>
    <row r="286" spans="1:12" x14ac:dyDescent="0.2">
      <c r="A286" s="316">
        <v>85</v>
      </c>
      <c r="B286" s="591" t="s">
        <v>898</v>
      </c>
      <c r="C286" s="598" t="s">
        <v>1751</v>
      </c>
      <c r="D286" s="586"/>
      <c r="E286" s="587" t="s">
        <v>1752</v>
      </c>
      <c r="F286" s="588" t="s">
        <v>673</v>
      </c>
      <c r="G286" s="586"/>
      <c r="H286" s="599">
        <v>44602</v>
      </c>
      <c r="I286" s="595">
        <f t="shared" si="20"/>
        <v>173290.90909090909</v>
      </c>
      <c r="J286" s="595">
        <f t="shared" si="21"/>
        <v>17329.090909090908</v>
      </c>
      <c r="K286" s="596">
        <v>190620</v>
      </c>
      <c r="L286" s="597"/>
    </row>
    <row r="287" spans="1:12" x14ac:dyDescent="0.2">
      <c r="A287" s="316">
        <v>86</v>
      </c>
      <c r="B287" s="591" t="s">
        <v>899</v>
      </c>
      <c r="C287" s="598" t="s">
        <v>1882</v>
      </c>
      <c r="D287" s="586"/>
      <c r="E287" s="587" t="s">
        <v>1029</v>
      </c>
      <c r="F287" s="588" t="s">
        <v>966</v>
      </c>
      <c r="G287" s="586"/>
      <c r="H287" s="599">
        <v>44603</v>
      </c>
      <c r="I287" s="595">
        <f t="shared" si="20"/>
        <v>37818181.818181813</v>
      </c>
      <c r="J287" s="595">
        <f t="shared" si="21"/>
        <v>3781818.1818181816</v>
      </c>
      <c r="K287" s="596">
        <f>1001700+11038000+29560300</f>
        <v>41600000</v>
      </c>
      <c r="L287" s="597"/>
    </row>
    <row r="288" spans="1:12" x14ac:dyDescent="0.2">
      <c r="A288" s="316">
        <v>87</v>
      </c>
      <c r="B288" s="591" t="s">
        <v>900</v>
      </c>
      <c r="C288" s="598" t="s">
        <v>1840</v>
      </c>
      <c r="D288" s="586"/>
      <c r="E288" s="587" t="s">
        <v>1050</v>
      </c>
      <c r="F288" s="588" t="s">
        <v>984</v>
      </c>
      <c r="G288" s="586"/>
      <c r="H288" s="599">
        <v>44603</v>
      </c>
      <c r="I288" s="595">
        <f t="shared" si="20"/>
        <v>2571545.4545454541</v>
      </c>
      <c r="J288" s="595">
        <f t="shared" si="21"/>
        <v>257154.54545454541</v>
      </c>
      <c r="K288" s="596">
        <f>1524600+541800+762300</f>
        <v>2828700</v>
      </c>
      <c r="L288" s="597"/>
    </row>
    <row r="289" spans="1:12" x14ac:dyDescent="0.2">
      <c r="A289" s="316">
        <v>88</v>
      </c>
      <c r="B289" s="591" t="s">
        <v>901</v>
      </c>
      <c r="C289" s="598" t="s">
        <v>1843</v>
      </c>
      <c r="D289" s="586"/>
      <c r="E289" s="587" t="s">
        <v>1753</v>
      </c>
      <c r="F289" s="588" t="s">
        <v>1019</v>
      </c>
      <c r="G289" s="586"/>
      <c r="H289" s="599">
        <v>44603</v>
      </c>
      <c r="I289" s="595">
        <f t="shared" si="20"/>
        <v>3120909.0909090908</v>
      </c>
      <c r="J289" s="595">
        <f t="shared" si="21"/>
        <v>312090.90909090912</v>
      </c>
      <c r="K289" s="596">
        <f>2412400+1020600</f>
        <v>3433000</v>
      </c>
      <c r="L289" s="597"/>
    </row>
    <row r="290" spans="1:12" x14ac:dyDescent="0.2">
      <c r="A290" s="316">
        <v>89</v>
      </c>
      <c r="B290" s="591" t="s">
        <v>902</v>
      </c>
      <c r="C290" s="598" t="s">
        <v>1802</v>
      </c>
      <c r="D290" s="586"/>
      <c r="E290" s="587" t="s">
        <v>978</v>
      </c>
      <c r="F290" s="588" t="s">
        <v>590</v>
      </c>
      <c r="G290" s="586"/>
      <c r="H290" s="599">
        <v>44603</v>
      </c>
      <c r="I290" s="595">
        <f t="shared" si="20"/>
        <v>17153781.818181816</v>
      </c>
      <c r="J290" s="595">
        <f t="shared" si="21"/>
        <v>1715378.1818181816</v>
      </c>
      <c r="K290" s="596">
        <f>2625000+13184160+3060000</f>
        <v>18869160</v>
      </c>
      <c r="L290" s="597"/>
    </row>
    <row r="291" spans="1:12" x14ac:dyDescent="0.2">
      <c r="A291" s="316">
        <v>90</v>
      </c>
      <c r="B291" s="591" t="s">
        <v>903</v>
      </c>
      <c r="C291" s="598" t="s">
        <v>1754</v>
      </c>
      <c r="D291" s="586"/>
      <c r="E291" s="587" t="s">
        <v>1001</v>
      </c>
      <c r="F291" s="588" t="s">
        <v>590</v>
      </c>
      <c r="G291" s="586"/>
      <c r="H291" s="599">
        <v>44603</v>
      </c>
      <c r="I291" s="595">
        <f t="shared" si="20"/>
        <v>398618.18181818177</v>
      </c>
      <c r="J291" s="595">
        <f t="shared" si="21"/>
        <v>39861.818181818177</v>
      </c>
      <c r="K291" s="596">
        <v>438480</v>
      </c>
      <c r="L291" s="597"/>
    </row>
    <row r="292" spans="1:12" x14ac:dyDescent="0.2">
      <c r="A292" s="316">
        <v>91</v>
      </c>
      <c r="B292" s="591" t="s">
        <v>904</v>
      </c>
      <c r="C292" s="598" t="s">
        <v>1779</v>
      </c>
      <c r="D292" s="586"/>
      <c r="E292" s="587" t="s">
        <v>1235</v>
      </c>
      <c r="F292" s="588" t="s">
        <v>1104</v>
      </c>
      <c r="G292" s="586"/>
      <c r="H292" s="599">
        <v>44604</v>
      </c>
      <c r="I292" s="595">
        <f t="shared" si="20"/>
        <v>1268127.2727272727</v>
      </c>
      <c r="J292" s="595">
        <f t="shared" si="21"/>
        <v>126812.72727272728</v>
      </c>
      <c r="K292" s="596">
        <f>184800+1210140</f>
        <v>1394940</v>
      </c>
      <c r="L292" s="597"/>
    </row>
    <row r="293" spans="1:12" x14ac:dyDescent="0.2">
      <c r="A293" s="316">
        <v>92</v>
      </c>
      <c r="B293" s="591" t="s">
        <v>905</v>
      </c>
      <c r="C293" s="598" t="s">
        <v>1784</v>
      </c>
      <c r="D293" s="586"/>
      <c r="E293" s="587" t="s">
        <v>1755</v>
      </c>
      <c r="F293" s="588" t="s">
        <v>1104</v>
      </c>
      <c r="G293" s="586"/>
      <c r="H293" s="599">
        <v>44604</v>
      </c>
      <c r="I293" s="595">
        <f t="shared" si="20"/>
        <v>2634709.0909090908</v>
      </c>
      <c r="J293" s="595">
        <f t="shared" si="21"/>
        <v>263470.90909090912</v>
      </c>
      <c r="K293" s="596">
        <f>2233980+664200</f>
        <v>2898180</v>
      </c>
      <c r="L293" s="597"/>
    </row>
    <row r="294" spans="1:12" x14ac:dyDescent="0.2">
      <c r="A294" s="316">
        <v>93</v>
      </c>
      <c r="B294" s="591" t="s">
        <v>906</v>
      </c>
      <c r="C294" s="598" t="s">
        <v>1757</v>
      </c>
      <c r="D294" s="586"/>
      <c r="E294" s="587" t="s">
        <v>1756</v>
      </c>
      <c r="F294" s="588" t="s">
        <v>673</v>
      </c>
      <c r="G294" s="586"/>
      <c r="H294" s="599">
        <v>44604</v>
      </c>
      <c r="I294" s="595">
        <f t="shared" si="20"/>
        <v>2658469.0909090908</v>
      </c>
      <c r="J294" s="595">
        <f t="shared" si="21"/>
        <v>265846.90909090912</v>
      </c>
      <c r="K294" s="596">
        <f>1064700+1859616</f>
        <v>2924316</v>
      </c>
      <c r="L294" s="597"/>
    </row>
    <row r="295" spans="1:12" x14ac:dyDescent="0.2">
      <c r="A295" s="316">
        <v>94</v>
      </c>
      <c r="B295" s="591" t="s">
        <v>907</v>
      </c>
      <c r="C295" s="598" t="s">
        <v>1868</v>
      </c>
      <c r="D295" s="586"/>
      <c r="E295" s="587" t="s">
        <v>965</v>
      </c>
      <c r="F295" s="588" t="s">
        <v>966</v>
      </c>
      <c r="G295" s="586"/>
      <c r="H295" s="599">
        <v>44606</v>
      </c>
      <c r="I295" s="595">
        <f t="shared" si="20"/>
        <v>34929204.545454539</v>
      </c>
      <c r="J295" s="595">
        <f t="shared" si="21"/>
        <v>3492920.4545454541</v>
      </c>
      <c r="K295" s="596">
        <f>16859325+10185000+11377800</f>
        <v>38422125</v>
      </c>
      <c r="L295" s="597"/>
    </row>
    <row r="296" spans="1:12" x14ac:dyDescent="0.2">
      <c r="A296" s="316">
        <v>95</v>
      </c>
      <c r="B296" s="591" t="s">
        <v>908</v>
      </c>
      <c r="C296" s="602" t="s">
        <v>1758</v>
      </c>
      <c r="D296" s="603"/>
      <c r="E296" s="604" t="s">
        <v>1034</v>
      </c>
      <c r="F296" s="605" t="s">
        <v>984</v>
      </c>
      <c r="G296" s="654"/>
      <c r="H296" s="606">
        <v>44606</v>
      </c>
      <c r="I296" s="607">
        <f t="shared" si="20"/>
        <v>1149709.0909090908</v>
      </c>
      <c r="J296" s="607">
        <f t="shared" si="21"/>
        <v>114970.90909090909</v>
      </c>
      <c r="K296" s="596">
        <v>1264680</v>
      </c>
      <c r="L296" s="597"/>
    </row>
    <row r="297" spans="1:12" x14ac:dyDescent="0.2">
      <c r="A297" s="316">
        <v>96</v>
      </c>
      <c r="B297" s="591" t="s">
        <v>909</v>
      </c>
      <c r="C297" s="598" t="s">
        <v>1759</v>
      </c>
      <c r="D297" s="586"/>
      <c r="E297" s="593" t="s">
        <v>1760</v>
      </c>
      <c r="F297" s="593" t="s">
        <v>606</v>
      </c>
      <c r="G297" s="586"/>
      <c r="H297" s="599">
        <v>44606</v>
      </c>
      <c r="I297" s="595">
        <f t="shared" si="20"/>
        <v>7622727.2727272725</v>
      </c>
      <c r="J297" s="595">
        <f t="shared" si="21"/>
        <v>762272.72727272729</v>
      </c>
      <c r="K297" s="596">
        <v>8385000</v>
      </c>
      <c r="L297" s="597"/>
    </row>
    <row r="298" spans="1:12" x14ac:dyDescent="0.2">
      <c r="A298" s="316">
        <v>97</v>
      </c>
      <c r="B298" s="591" t="s">
        <v>910</v>
      </c>
      <c r="C298" s="598" t="s">
        <v>1827</v>
      </c>
      <c r="D298" s="586"/>
      <c r="E298" s="587" t="s">
        <v>1036</v>
      </c>
      <c r="F298" s="588" t="s">
        <v>1008</v>
      </c>
      <c r="G298" s="586"/>
      <c r="H298" s="599">
        <v>44606</v>
      </c>
      <c r="I298" s="595">
        <f t="shared" si="20"/>
        <v>8354978.1818181807</v>
      </c>
      <c r="J298" s="595">
        <f t="shared" si="21"/>
        <v>835497.81818181812</v>
      </c>
      <c r="K298" s="596">
        <f>4039764+503100+4647612</f>
        <v>9190476</v>
      </c>
      <c r="L298" s="597"/>
    </row>
    <row r="299" spans="1:12" x14ac:dyDescent="0.2">
      <c r="A299" s="316">
        <v>98</v>
      </c>
      <c r="B299" s="591" t="s">
        <v>911</v>
      </c>
      <c r="C299" s="598" t="s">
        <v>1762</v>
      </c>
      <c r="D299" s="586"/>
      <c r="E299" s="587" t="s">
        <v>1326</v>
      </c>
      <c r="F299" s="588" t="s">
        <v>1328</v>
      </c>
      <c r="G299" s="586"/>
      <c r="H299" s="599">
        <v>44607</v>
      </c>
      <c r="I299" s="595">
        <f t="shared" si="20"/>
        <v>1096000</v>
      </c>
      <c r="J299" s="595">
        <f t="shared" si="21"/>
        <v>109600</v>
      </c>
      <c r="K299" s="596">
        <v>1205600</v>
      </c>
      <c r="L299" s="597"/>
    </row>
    <row r="300" spans="1:12" x14ac:dyDescent="0.2">
      <c r="A300" s="316">
        <v>99</v>
      </c>
      <c r="B300" s="591" t="s">
        <v>912</v>
      </c>
      <c r="C300" s="598" t="s">
        <v>1764</v>
      </c>
      <c r="D300" s="586"/>
      <c r="E300" s="587" t="s">
        <v>1765</v>
      </c>
      <c r="F300" s="588" t="s">
        <v>579</v>
      </c>
      <c r="G300" s="586"/>
      <c r="H300" s="599">
        <v>44607</v>
      </c>
      <c r="I300" s="595">
        <f t="shared" si="20"/>
        <v>1090909.0909090908</v>
      </c>
      <c r="J300" s="595">
        <f t="shared" si="21"/>
        <v>109090.90909090909</v>
      </c>
      <c r="K300" s="596">
        <v>1200000</v>
      </c>
      <c r="L300" s="597"/>
    </row>
    <row r="301" spans="1:12" x14ac:dyDescent="0.2">
      <c r="A301" s="316">
        <v>100</v>
      </c>
      <c r="B301" s="591" t="s">
        <v>913</v>
      </c>
      <c r="C301" s="598" t="s">
        <v>1766</v>
      </c>
      <c r="D301" s="586"/>
      <c r="E301" s="587" t="s">
        <v>1100</v>
      </c>
      <c r="F301" s="588" t="s">
        <v>1101</v>
      </c>
      <c r="G301" s="586"/>
      <c r="H301" s="599">
        <v>44607</v>
      </c>
      <c r="I301" s="595">
        <f t="shared" si="20"/>
        <v>2356363.6363636362</v>
      </c>
      <c r="J301" s="595">
        <f t="shared" si="21"/>
        <v>235636.36363636365</v>
      </c>
      <c r="K301" s="596">
        <v>2592000</v>
      </c>
      <c r="L301" s="597"/>
    </row>
    <row r="302" spans="1:12" x14ac:dyDescent="0.2">
      <c r="A302" s="316">
        <v>101</v>
      </c>
      <c r="B302" s="591" t="s">
        <v>914</v>
      </c>
      <c r="C302" s="598" t="s">
        <v>1834</v>
      </c>
      <c r="D302" s="586"/>
      <c r="E302" s="587" t="s">
        <v>1082</v>
      </c>
      <c r="F302" s="588" t="s">
        <v>1058</v>
      </c>
      <c r="G302" s="586"/>
      <c r="H302" s="599">
        <v>44608</v>
      </c>
      <c r="I302" s="595">
        <f t="shared" si="20"/>
        <v>12402154.545454545</v>
      </c>
      <c r="J302" s="595">
        <f t="shared" si="21"/>
        <v>1240215.4545454546</v>
      </c>
      <c r="K302" s="596">
        <f>1676750+1757700+10207920</f>
        <v>13642370</v>
      </c>
      <c r="L302" s="597"/>
    </row>
    <row r="303" spans="1:12" x14ac:dyDescent="0.2">
      <c r="A303" s="316">
        <v>102</v>
      </c>
      <c r="B303" s="591" t="s">
        <v>915</v>
      </c>
      <c r="C303" s="598" t="s">
        <v>1769</v>
      </c>
      <c r="D303" s="586"/>
      <c r="E303" s="587" t="s">
        <v>1768</v>
      </c>
      <c r="F303" s="588" t="s">
        <v>1008</v>
      </c>
      <c r="G303" s="586"/>
      <c r="H303" s="599">
        <v>44608</v>
      </c>
      <c r="I303" s="595">
        <f t="shared" si="20"/>
        <v>2318181.8181818179</v>
      </c>
      <c r="J303" s="595">
        <f t="shared" si="21"/>
        <v>231818.18181818179</v>
      </c>
      <c r="K303" s="596">
        <f>1650000+900000</f>
        <v>2550000</v>
      </c>
      <c r="L303" s="597"/>
    </row>
    <row r="304" spans="1:12" x14ac:dyDescent="0.2">
      <c r="A304" s="316">
        <v>103</v>
      </c>
      <c r="B304" s="591" t="s">
        <v>916</v>
      </c>
      <c r="C304" s="598" t="s">
        <v>1770</v>
      </c>
      <c r="D304" s="586"/>
      <c r="E304" s="587" t="s">
        <v>992</v>
      </c>
      <c r="F304" s="588" t="s">
        <v>1033</v>
      </c>
      <c r="G304" s="586"/>
      <c r="H304" s="599">
        <v>44613</v>
      </c>
      <c r="I304" s="595">
        <f t="shared" si="20"/>
        <v>535500</v>
      </c>
      <c r="J304" s="595">
        <f t="shared" si="21"/>
        <v>53550</v>
      </c>
      <c r="K304" s="596">
        <v>589050</v>
      </c>
      <c r="L304" s="597"/>
    </row>
    <row r="305" spans="1:12" x14ac:dyDescent="0.2">
      <c r="A305" s="316">
        <v>104</v>
      </c>
      <c r="B305" s="591" t="s">
        <v>917</v>
      </c>
      <c r="C305" s="598" t="s">
        <v>1772</v>
      </c>
      <c r="D305" s="586"/>
      <c r="E305" s="587" t="s">
        <v>1317</v>
      </c>
      <c r="F305" s="588" t="s">
        <v>966</v>
      </c>
      <c r="G305" s="586"/>
      <c r="H305" s="599">
        <v>44609</v>
      </c>
      <c r="I305" s="595">
        <f t="shared" si="20"/>
        <v>7693636.3636363633</v>
      </c>
      <c r="J305" s="595">
        <f t="shared" si="21"/>
        <v>769363.63636363635</v>
      </c>
      <c r="K305" s="596">
        <v>8463000</v>
      </c>
      <c r="L305" s="597"/>
    </row>
    <row r="306" spans="1:12" x14ac:dyDescent="0.2">
      <c r="A306" s="316">
        <v>105</v>
      </c>
      <c r="B306" s="591" t="s">
        <v>918</v>
      </c>
      <c r="C306" s="598" t="s">
        <v>1867</v>
      </c>
      <c r="D306" s="586"/>
      <c r="E306" s="587" t="s">
        <v>1773</v>
      </c>
      <c r="F306" s="588" t="s">
        <v>1774</v>
      </c>
      <c r="G306" s="586"/>
      <c r="H306" s="599">
        <v>44609</v>
      </c>
      <c r="I306" s="595">
        <f t="shared" si="20"/>
        <v>22363636.363636363</v>
      </c>
      <c r="J306" s="595">
        <f t="shared" si="21"/>
        <v>2236363.6363636362</v>
      </c>
      <c r="K306" s="596">
        <f>12300000+12300000</f>
        <v>24600000</v>
      </c>
      <c r="L306" s="597"/>
    </row>
    <row r="307" spans="1:12" x14ac:dyDescent="0.2">
      <c r="A307" s="316">
        <v>106</v>
      </c>
      <c r="B307" s="591" t="s">
        <v>919</v>
      </c>
      <c r="C307" s="602" t="s">
        <v>1874</v>
      </c>
      <c r="D307" s="603"/>
      <c r="E307" s="604" t="s">
        <v>1062</v>
      </c>
      <c r="F307" s="605" t="s">
        <v>966</v>
      </c>
      <c r="G307" s="654"/>
      <c r="H307" s="606">
        <v>44609</v>
      </c>
      <c r="I307" s="607">
        <f t="shared" si="20"/>
        <v>20988386.363636363</v>
      </c>
      <c r="J307" s="607">
        <f t="shared" si="21"/>
        <v>2098838.6363636362</v>
      </c>
      <c r="K307" s="596">
        <f>11409300+7765625+3912300</f>
        <v>23087225</v>
      </c>
      <c r="L307" s="597"/>
    </row>
    <row r="308" spans="1:12" x14ac:dyDescent="0.2">
      <c r="A308" s="316">
        <v>107</v>
      </c>
      <c r="B308" s="591" t="s">
        <v>920</v>
      </c>
      <c r="C308" s="598" t="s">
        <v>1831</v>
      </c>
      <c r="D308" s="586"/>
      <c r="E308" s="593" t="s">
        <v>979</v>
      </c>
      <c r="F308" s="593" t="s">
        <v>980</v>
      </c>
      <c r="G308" s="586"/>
      <c r="H308" s="599">
        <v>44609</v>
      </c>
      <c r="I308" s="595">
        <f t="shared" si="20"/>
        <v>8421120</v>
      </c>
      <c r="J308" s="595">
        <f t="shared" si="21"/>
        <v>842112</v>
      </c>
      <c r="K308" s="596">
        <f>2291040+3219840+3752352</f>
        <v>9263232</v>
      </c>
      <c r="L308" s="597"/>
    </row>
    <row r="309" spans="1:12" x14ac:dyDescent="0.2">
      <c r="A309" s="316">
        <v>108</v>
      </c>
      <c r="B309" s="591" t="s">
        <v>921</v>
      </c>
      <c r="C309" s="598" t="s">
        <v>1776</v>
      </c>
      <c r="D309" s="586"/>
      <c r="E309" s="587" t="s">
        <v>970</v>
      </c>
      <c r="F309" s="588" t="s">
        <v>971</v>
      </c>
      <c r="G309" s="586"/>
      <c r="H309" s="599">
        <v>44613</v>
      </c>
      <c r="I309" s="595">
        <f t="shared" si="20"/>
        <v>357954.54545454541</v>
      </c>
      <c r="J309" s="595">
        <f t="shared" si="21"/>
        <v>35795.454545454544</v>
      </c>
      <c r="K309" s="596">
        <v>393750</v>
      </c>
      <c r="L309" s="597"/>
    </row>
    <row r="310" spans="1:12" x14ac:dyDescent="0.2">
      <c r="A310" s="316">
        <v>109</v>
      </c>
      <c r="B310" s="591" t="s">
        <v>922</v>
      </c>
      <c r="C310" s="598" t="s">
        <v>1829</v>
      </c>
      <c r="D310" s="586"/>
      <c r="E310" s="587" t="s">
        <v>1009</v>
      </c>
      <c r="F310" s="588" t="s">
        <v>1008</v>
      </c>
      <c r="G310" s="586"/>
      <c r="H310" s="599">
        <v>44609</v>
      </c>
      <c r="I310" s="595">
        <f t="shared" si="20"/>
        <v>9109803.6363636348</v>
      </c>
      <c r="J310" s="595">
        <f t="shared" si="21"/>
        <v>910980.36363636353</v>
      </c>
      <c r="K310" s="596">
        <f>5120784+3675000+1225000</f>
        <v>10020784</v>
      </c>
      <c r="L310" s="597"/>
    </row>
    <row r="311" spans="1:12" x14ac:dyDescent="0.2">
      <c r="A311" s="316">
        <v>110</v>
      </c>
      <c r="B311" s="591" t="s">
        <v>923</v>
      </c>
      <c r="C311" s="598" t="s">
        <v>1861</v>
      </c>
      <c r="D311" s="586"/>
      <c r="E311" s="587" t="s">
        <v>1220</v>
      </c>
      <c r="F311" s="588" t="s">
        <v>1221</v>
      </c>
      <c r="G311" s="586"/>
      <c r="H311" s="599">
        <v>44613</v>
      </c>
      <c r="I311" s="595">
        <f t="shared" si="20"/>
        <v>12677636.363636363</v>
      </c>
      <c r="J311" s="595">
        <f t="shared" si="21"/>
        <v>1267763.6363636365</v>
      </c>
      <c r="K311" s="596">
        <f>3005000+9401400+1539000</f>
        <v>13945400</v>
      </c>
      <c r="L311" s="597"/>
    </row>
    <row r="312" spans="1:12" x14ac:dyDescent="0.2">
      <c r="A312" s="316">
        <v>111</v>
      </c>
      <c r="B312" s="591" t="s">
        <v>924</v>
      </c>
      <c r="C312" s="598" t="s">
        <v>1837</v>
      </c>
      <c r="D312" s="586"/>
      <c r="E312" s="587" t="s">
        <v>981</v>
      </c>
      <c r="F312" s="588" t="s">
        <v>980</v>
      </c>
      <c r="G312" s="586"/>
      <c r="H312" s="599">
        <v>44609</v>
      </c>
      <c r="I312" s="595">
        <f t="shared" si="20"/>
        <v>5144989.0909090908</v>
      </c>
      <c r="J312" s="595">
        <f t="shared" si="21"/>
        <v>514498.90909090912</v>
      </c>
      <c r="K312" s="596">
        <f>4694568+964920</f>
        <v>5659488</v>
      </c>
      <c r="L312" s="597"/>
    </row>
    <row r="313" spans="1:12" s="711" customFormat="1" x14ac:dyDescent="0.2">
      <c r="A313" s="701">
        <v>112</v>
      </c>
      <c r="B313" s="702" t="s">
        <v>925</v>
      </c>
      <c r="C313" s="703" t="s">
        <v>1780</v>
      </c>
      <c r="D313" s="704"/>
      <c r="E313" s="705" t="s">
        <v>1781</v>
      </c>
      <c r="F313" s="706" t="s">
        <v>673</v>
      </c>
      <c r="G313" s="704"/>
      <c r="H313" s="707">
        <v>44613</v>
      </c>
      <c r="I313" s="708">
        <f t="shared" si="20"/>
        <v>2022463.6363636362</v>
      </c>
      <c r="J313" s="708">
        <f t="shared" si="21"/>
        <v>202246.36363636365</v>
      </c>
      <c r="K313" s="709">
        <v>2224710</v>
      </c>
      <c r="L313" s="710"/>
    </row>
    <row r="314" spans="1:12" x14ac:dyDescent="0.2">
      <c r="A314" s="316">
        <v>113</v>
      </c>
      <c r="B314" s="591" t="s">
        <v>926</v>
      </c>
      <c r="C314" s="598" t="s">
        <v>1782</v>
      </c>
      <c r="D314" s="586"/>
      <c r="E314" s="587" t="s">
        <v>1783</v>
      </c>
      <c r="F314" s="588" t="s">
        <v>1008</v>
      </c>
      <c r="G314" s="586"/>
      <c r="H314" s="599">
        <v>44610</v>
      </c>
      <c r="I314" s="595">
        <f t="shared" si="20"/>
        <v>937363.63636363624</v>
      </c>
      <c r="J314" s="595">
        <f t="shared" si="21"/>
        <v>93736.363636363632</v>
      </c>
      <c r="K314" s="596">
        <f>896640+134460</f>
        <v>1031100</v>
      </c>
      <c r="L314" s="597"/>
    </row>
    <row r="315" spans="1:12" x14ac:dyDescent="0.2">
      <c r="A315" s="316">
        <v>114</v>
      </c>
      <c r="B315" s="591" t="s">
        <v>927</v>
      </c>
      <c r="C315" s="598" t="s">
        <v>1785</v>
      </c>
      <c r="D315" s="586"/>
      <c r="E315" s="587" t="s">
        <v>992</v>
      </c>
      <c r="F315" s="588" t="s">
        <v>1191</v>
      </c>
      <c r="G315" s="586"/>
      <c r="H315" s="599">
        <v>44610</v>
      </c>
      <c r="I315" s="595">
        <f t="shared" si="20"/>
        <v>127636.36363636363</v>
      </c>
      <c r="J315" s="595">
        <f t="shared" si="21"/>
        <v>12763.636363636364</v>
      </c>
      <c r="K315" s="596">
        <v>140400</v>
      </c>
      <c r="L315" s="597"/>
    </row>
    <row r="316" spans="1:12" x14ac:dyDescent="0.2">
      <c r="A316" s="316">
        <v>115</v>
      </c>
      <c r="B316" s="591" t="s">
        <v>928</v>
      </c>
      <c r="C316" s="598" t="s">
        <v>1786</v>
      </c>
      <c r="D316" s="586"/>
      <c r="E316" s="587" t="s">
        <v>1787</v>
      </c>
      <c r="F316" s="588" t="s">
        <v>1788</v>
      </c>
      <c r="G316" s="586"/>
      <c r="H316" s="599">
        <v>44610</v>
      </c>
      <c r="I316" s="595">
        <f t="shared" si="20"/>
        <v>1080000</v>
      </c>
      <c r="J316" s="595">
        <f t="shared" si="21"/>
        <v>108000</v>
      </c>
      <c r="K316" s="596">
        <v>1188000</v>
      </c>
      <c r="L316" s="597"/>
    </row>
    <row r="317" spans="1:12" x14ac:dyDescent="0.2">
      <c r="A317" s="316">
        <v>116</v>
      </c>
      <c r="B317" s="591" t="s">
        <v>929</v>
      </c>
      <c r="C317" s="598" t="s">
        <v>1790</v>
      </c>
      <c r="D317" s="586"/>
      <c r="E317" s="587" t="s">
        <v>1791</v>
      </c>
      <c r="F317" s="588" t="s">
        <v>1015</v>
      </c>
      <c r="G317" s="586"/>
      <c r="H317" s="599">
        <v>44611</v>
      </c>
      <c r="I317" s="595">
        <f t="shared" si="20"/>
        <v>2768181.8181818179</v>
      </c>
      <c r="J317" s="595">
        <f t="shared" si="21"/>
        <v>276818.18181818182</v>
      </c>
      <c r="K317" s="596">
        <v>3045000</v>
      </c>
      <c r="L317" s="597"/>
    </row>
    <row r="318" spans="1:12" x14ac:dyDescent="0.2">
      <c r="A318" s="316">
        <v>117</v>
      </c>
      <c r="B318" s="591" t="s">
        <v>930</v>
      </c>
      <c r="C318" s="602" t="s">
        <v>1792</v>
      </c>
      <c r="D318" s="603"/>
      <c r="E318" s="604" t="s">
        <v>1793</v>
      </c>
      <c r="F318" s="605" t="s">
        <v>1015</v>
      </c>
      <c r="G318" s="654"/>
      <c r="H318" s="606">
        <v>44611</v>
      </c>
      <c r="I318" s="607">
        <f t="shared" si="20"/>
        <v>4321963.6363636358</v>
      </c>
      <c r="J318" s="607">
        <f t="shared" si="21"/>
        <v>432196.36363636359</v>
      </c>
      <c r="K318" s="596">
        <v>4754160</v>
      </c>
      <c r="L318" s="597"/>
    </row>
    <row r="319" spans="1:12" x14ac:dyDescent="0.2">
      <c r="A319" s="316">
        <v>118</v>
      </c>
      <c r="B319" s="591" t="s">
        <v>931</v>
      </c>
      <c r="C319" s="598" t="s">
        <v>1789</v>
      </c>
      <c r="D319" s="586"/>
      <c r="E319" s="593" t="s">
        <v>1189</v>
      </c>
      <c r="F319" s="593" t="s">
        <v>1191</v>
      </c>
      <c r="G319" s="586"/>
      <c r="H319" s="599">
        <v>44611</v>
      </c>
      <c r="I319" s="595">
        <f t="shared" si="20"/>
        <v>1457999.9999999998</v>
      </c>
      <c r="J319" s="595">
        <f t="shared" si="21"/>
        <v>145799.99999999997</v>
      </c>
      <c r="K319" s="596">
        <v>1603800</v>
      </c>
      <c r="L319" s="597"/>
    </row>
    <row r="320" spans="1:12" x14ac:dyDescent="0.2">
      <c r="A320" s="316">
        <v>119</v>
      </c>
      <c r="B320" s="591" t="s">
        <v>932</v>
      </c>
      <c r="C320" s="598" t="s">
        <v>1796</v>
      </c>
      <c r="D320" s="586"/>
      <c r="E320" s="587" t="s">
        <v>1797</v>
      </c>
      <c r="F320" s="588" t="s">
        <v>1798</v>
      </c>
      <c r="G320" s="586"/>
      <c r="H320" s="599">
        <v>44611</v>
      </c>
      <c r="I320" s="595">
        <f t="shared" si="20"/>
        <v>1006363.6363636362</v>
      </c>
      <c r="J320" s="595">
        <f t="shared" si="21"/>
        <v>100636.36363636363</v>
      </c>
      <c r="K320" s="596">
        <v>1107000</v>
      </c>
      <c r="L320" s="597"/>
    </row>
    <row r="321" spans="1:12" x14ac:dyDescent="0.2">
      <c r="A321" s="316">
        <v>120</v>
      </c>
      <c r="B321" s="591" t="s">
        <v>933</v>
      </c>
      <c r="C321" s="598" t="s">
        <v>1799</v>
      </c>
      <c r="D321" s="586"/>
      <c r="E321" s="587" t="s">
        <v>1800</v>
      </c>
      <c r="F321" s="588" t="s">
        <v>620</v>
      </c>
      <c r="G321" s="586"/>
      <c r="H321" s="599">
        <v>44613</v>
      </c>
      <c r="I321" s="595">
        <f t="shared" si="20"/>
        <v>181818.18181818179</v>
      </c>
      <c r="J321" s="595">
        <f t="shared" si="21"/>
        <v>18181.81818181818</v>
      </c>
      <c r="K321" s="596">
        <v>200000</v>
      </c>
      <c r="L321" s="597"/>
    </row>
    <row r="322" spans="1:12" x14ac:dyDescent="0.2">
      <c r="A322" s="316">
        <v>121</v>
      </c>
      <c r="B322" s="591" t="s">
        <v>934</v>
      </c>
      <c r="C322" s="598" t="s">
        <v>1803</v>
      </c>
      <c r="D322" s="586"/>
      <c r="E322" s="587" t="s">
        <v>1120</v>
      </c>
      <c r="F322" s="588" t="s">
        <v>1099</v>
      </c>
      <c r="G322" s="586"/>
      <c r="H322" s="599">
        <v>44615</v>
      </c>
      <c r="I322" s="595">
        <f t="shared" si="20"/>
        <v>6391636.3636363633</v>
      </c>
      <c r="J322" s="595">
        <f t="shared" si="21"/>
        <v>639163.63636363635</v>
      </c>
      <c r="K322" s="596">
        <v>7030800</v>
      </c>
      <c r="L322" s="597"/>
    </row>
    <row r="323" spans="1:12" x14ac:dyDescent="0.2">
      <c r="A323" s="316">
        <v>122</v>
      </c>
      <c r="B323" s="591" t="s">
        <v>935</v>
      </c>
      <c r="C323" s="598" t="s">
        <v>1830</v>
      </c>
      <c r="D323" s="586"/>
      <c r="E323" s="587" t="s">
        <v>1054</v>
      </c>
      <c r="F323" s="588" t="s">
        <v>1055</v>
      </c>
      <c r="G323" s="586"/>
      <c r="H323" s="599">
        <v>44613</v>
      </c>
      <c r="I323" s="595">
        <f t="shared" si="20"/>
        <v>6194454.5454545449</v>
      </c>
      <c r="J323" s="595">
        <f t="shared" si="21"/>
        <v>619445.45454545447</v>
      </c>
      <c r="K323" s="596">
        <f>3276000+3537900</f>
        <v>6813900</v>
      </c>
      <c r="L323" s="597"/>
    </row>
    <row r="324" spans="1:12" x14ac:dyDescent="0.2">
      <c r="A324" s="316">
        <v>123</v>
      </c>
      <c r="B324" s="591" t="s">
        <v>936</v>
      </c>
      <c r="C324" s="598" t="s">
        <v>1859</v>
      </c>
      <c r="D324" s="586"/>
      <c r="E324" s="587" t="s">
        <v>992</v>
      </c>
      <c r="F324" s="588" t="s">
        <v>673</v>
      </c>
      <c r="G324" s="586"/>
      <c r="H324" s="599">
        <v>44613</v>
      </c>
      <c r="I324" s="595">
        <f t="shared" si="20"/>
        <v>40557045.454545453</v>
      </c>
      <c r="J324" s="595">
        <f t="shared" si="21"/>
        <v>4055704.5454545454</v>
      </c>
      <c r="K324" s="596">
        <f>2583000+9450000+32579750</f>
        <v>44612750</v>
      </c>
      <c r="L324" s="597"/>
    </row>
    <row r="325" spans="1:12" x14ac:dyDescent="0.2">
      <c r="A325" s="316">
        <v>124</v>
      </c>
      <c r="B325" s="591" t="s">
        <v>937</v>
      </c>
      <c r="C325" s="598" t="s">
        <v>1814</v>
      </c>
      <c r="D325" s="586"/>
      <c r="E325" s="587" t="s">
        <v>978</v>
      </c>
      <c r="F325" s="588" t="s">
        <v>590</v>
      </c>
      <c r="G325" s="586"/>
      <c r="H325" s="599">
        <v>44613</v>
      </c>
      <c r="I325" s="595">
        <f t="shared" si="20"/>
        <v>13333549.09090909</v>
      </c>
      <c r="J325" s="595">
        <f t="shared" si="21"/>
        <v>1333354.9090909092</v>
      </c>
      <c r="K325" s="596">
        <f>7827840+6839064</f>
        <v>14666904</v>
      </c>
      <c r="L325" s="597"/>
    </row>
    <row r="326" spans="1:12" x14ac:dyDescent="0.2">
      <c r="A326" s="316">
        <v>125</v>
      </c>
      <c r="B326" s="591" t="s">
        <v>938</v>
      </c>
      <c r="C326" s="598" t="s">
        <v>1810</v>
      </c>
      <c r="D326" s="586"/>
      <c r="E326" s="587" t="s">
        <v>1122</v>
      </c>
      <c r="F326" s="588" t="s">
        <v>1123</v>
      </c>
      <c r="G326" s="586"/>
      <c r="H326" s="599">
        <v>44614</v>
      </c>
      <c r="I326" s="595">
        <f t="shared" si="20"/>
        <v>284727.27272727271</v>
      </c>
      <c r="J326" s="595">
        <f t="shared" si="21"/>
        <v>28472.727272727272</v>
      </c>
      <c r="K326" s="596">
        <v>313200</v>
      </c>
      <c r="L326" s="597"/>
    </row>
    <row r="327" spans="1:12" x14ac:dyDescent="0.2">
      <c r="A327" s="316">
        <v>126</v>
      </c>
      <c r="B327" s="591" t="s">
        <v>939</v>
      </c>
      <c r="C327" s="598" t="s">
        <v>1812</v>
      </c>
      <c r="D327" s="586"/>
      <c r="E327" s="587" t="s">
        <v>1813</v>
      </c>
      <c r="F327" s="588" t="s">
        <v>1123</v>
      </c>
      <c r="G327" s="586"/>
      <c r="H327" s="599">
        <v>44614</v>
      </c>
      <c r="I327" s="595">
        <f t="shared" si="20"/>
        <v>3364813.6363636362</v>
      </c>
      <c r="J327" s="595">
        <f t="shared" si="21"/>
        <v>336481.36363636365</v>
      </c>
      <c r="K327" s="596">
        <f>2513595+1187700</f>
        <v>3701295</v>
      </c>
      <c r="L327" s="597"/>
    </row>
    <row r="328" spans="1:12" x14ac:dyDescent="0.2">
      <c r="A328" s="316">
        <v>127</v>
      </c>
      <c r="B328" s="591" t="s">
        <v>940</v>
      </c>
      <c r="C328" s="598" t="s">
        <v>1825</v>
      </c>
      <c r="D328" s="586"/>
      <c r="E328" s="587" t="s">
        <v>1060</v>
      </c>
      <c r="F328" s="588" t="s">
        <v>1061</v>
      </c>
      <c r="G328" s="586"/>
      <c r="H328" s="599">
        <v>44615</v>
      </c>
      <c r="I328" s="595">
        <f t="shared" si="20"/>
        <v>2738781.8181818179</v>
      </c>
      <c r="J328" s="595">
        <f t="shared" si="21"/>
        <v>273878.18181818182</v>
      </c>
      <c r="K328" s="596">
        <v>3012660</v>
      </c>
      <c r="L328" s="597"/>
    </row>
    <row r="329" spans="1:12" x14ac:dyDescent="0.2">
      <c r="A329" s="316">
        <v>128</v>
      </c>
      <c r="B329" s="591" t="s">
        <v>941</v>
      </c>
      <c r="C329" s="602" t="s">
        <v>1853</v>
      </c>
      <c r="D329" s="603"/>
      <c r="E329" s="604" t="s">
        <v>1040</v>
      </c>
      <c r="F329" s="605" t="s">
        <v>1019</v>
      </c>
      <c r="G329" s="654"/>
      <c r="H329" s="606">
        <v>44615</v>
      </c>
      <c r="I329" s="607">
        <f t="shared" ref="I329:I350" si="22">K329/1.1</f>
        <v>3686927.2727272725</v>
      </c>
      <c r="J329" s="607">
        <f t="shared" ref="J329:J350" si="23">I329*10%</f>
        <v>368692.72727272729</v>
      </c>
      <c r="K329" s="596">
        <f>2537500+1518120</f>
        <v>4055620</v>
      </c>
      <c r="L329" s="597"/>
    </row>
    <row r="330" spans="1:12" x14ac:dyDescent="0.2">
      <c r="A330" s="316">
        <v>129</v>
      </c>
      <c r="B330" s="591" t="s">
        <v>942</v>
      </c>
      <c r="C330" s="598" t="s">
        <v>1833</v>
      </c>
      <c r="D330" s="586"/>
      <c r="E330" s="593" t="s">
        <v>1095</v>
      </c>
      <c r="F330" s="593" t="s">
        <v>1096</v>
      </c>
      <c r="G330" s="586"/>
      <c r="H330" s="599">
        <v>44615</v>
      </c>
      <c r="I330" s="595">
        <f t="shared" si="22"/>
        <v>5681818.1818181816</v>
      </c>
      <c r="J330" s="595">
        <f t="shared" si="23"/>
        <v>568181.81818181823</v>
      </c>
      <c r="K330" s="596">
        <v>6250000</v>
      </c>
      <c r="L330" s="597"/>
    </row>
    <row r="331" spans="1:12" x14ac:dyDescent="0.2">
      <c r="A331" s="316">
        <v>130</v>
      </c>
      <c r="B331" s="591" t="s">
        <v>943</v>
      </c>
      <c r="C331" s="598" t="s">
        <v>1836</v>
      </c>
      <c r="D331" s="586"/>
      <c r="E331" s="587" t="s">
        <v>1007</v>
      </c>
      <c r="F331" s="588" t="s">
        <v>1008</v>
      </c>
      <c r="G331" s="586"/>
      <c r="H331" s="599">
        <v>44615</v>
      </c>
      <c r="I331" s="595">
        <f t="shared" si="22"/>
        <v>2030399.9999999998</v>
      </c>
      <c r="J331" s="595">
        <f t="shared" si="23"/>
        <v>203040</v>
      </c>
      <c r="K331" s="596">
        <v>2233440</v>
      </c>
      <c r="L331" s="597"/>
    </row>
    <row r="332" spans="1:12" x14ac:dyDescent="0.2">
      <c r="A332" s="316">
        <v>131</v>
      </c>
      <c r="B332" s="591" t="s">
        <v>944</v>
      </c>
      <c r="C332" s="598" t="s">
        <v>1838</v>
      </c>
      <c r="D332" s="586"/>
      <c r="E332" s="587" t="s">
        <v>1246</v>
      </c>
      <c r="F332" s="588" t="s">
        <v>579</v>
      </c>
      <c r="G332" s="586"/>
      <c r="H332" s="599">
        <v>44616</v>
      </c>
      <c r="I332" s="595">
        <f t="shared" si="22"/>
        <v>1857209.0909090908</v>
      </c>
      <c r="J332" s="595">
        <f t="shared" si="23"/>
        <v>185720.90909090909</v>
      </c>
      <c r="K332" s="596">
        <v>2042930</v>
      </c>
      <c r="L332" s="597"/>
    </row>
    <row r="333" spans="1:12" x14ac:dyDescent="0.2">
      <c r="A333" s="316">
        <v>132</v>
      </c>
      <c r="B333" s="591" t="s">
        <v>945</v>
      </c>
      <c r="C333" s="598" t="s">
        <v>1839</v>
      </c>
      <c r="D333" s="586"/>
      <c r="E333" s="587" t="s">
        <v>992</v>
      </c>
      <c r="F333" s="588" t="s">
        <v>993</v>
      </c>
      <c r="G333" s="586"/>
      <c r="H333" s="599">
        <v>44616</v>
      </c>
      <c r="I333" s="595">
        <f t="shared" si="22"/>
        <v>4114883.6363636362</v>
      </c>
      <c r="J333" s="595">
        <f t="shared" si="23"/>
        <v>411488.36363636365</v>
      </c>
      <c r="K333" s="596">
        <v>4526372</v>
      </c>
      <c r="L333" s="597"/>
    </row>
    <row r="334" spans="1:12" x14ac:dyDescent="0.2">
      <c r="A334" s="316">
        <v>133</v>
      </c>
      <c r="B334" s="591" t="s">
        <v>946</v>
      </c>
      <c r="C334" s="598" t="s">
        <v>1841</v>
      </c>
      <c r="D334" s="586"/>
      <c r="E334" s="587" t="s">
        <v>1842</v>
      </c>
      <c r="F334" s="588" t="s">
        <v>971</v>
      </c>
      <c r="G334" s="586"/>
      <c r="H334" s="599">
        <v>44616</v>
      </c>
      <c r="I334" s="595">
        <f t="shared" si="22"/>
        <v>3098181.8181818179</v>
      </c>
      <c r="J334" s="595">
        <f t="shared" si="23"/>
        <v>309818.18181818182</v>
      </c>
      <c r="K334" s="596">
        <v>3408000</v>
      </c>
      <c r="L334" s="597"/>
    </row>
    <row r="335" spans="1:12" x14ac:dyDescent="0.2">
      <c r="A335" s="316">
        <v>134</v>
      </c>
      <c r="B335" s="591" t="s">
        <v>947</v>
      </c>
      <c r="C335" s="598" t="s">
        <v>1844</v>
      </c>
      <c r="D335" s="586"/>
      <c r="E335" s="587" t="s">
        <v>1053</v>
      </c>
      <c r="F335" s="588" t="s">
        <v>620</v>
      </c>
      <c r="G335" s="586"/>
      <c r="H335" s="599">
        <v>44616</v>
      </c>
      <c r="I335" s="595">
        <f t="shared" si="22"/>
        <v>288654.54545454541</v>
      </c>
      <c r="J335" s="595">
        <f t="shared" si="23"/>
        <v>28865.454545454544</v>
      </c>
      <c r="K335" s="596">
        <v>317520</v>
      </c>
      <c r="L335" s="597"/>
    </row>
    <row r="336" spans="1:12" x14ac:dyDescent="0.2">
      <c r="A336" s="316">
        <v>135</v>
      </c>
      <c r="B336" s="591" t="s">
        <v>948</v>
      </c>
      <c r="C336" s="598" t="s">
        <v>1845</v>
      </c>
      <c r="D336" s="586"/>
      <c r="E336" s="587" t="s">
        <v>1846</v>
      </c>
      <c r="F336" s="588" t="s">
        <v>1008</v>
      </c>
      <c r="G336" s="586"/>
      <c r="H336" s="599">
        <v>44616</v>
      </c>
      <c r="I336" s="595">
        <f t="shared" si="22"/>
        <v>288000</v>
      </c>
      <c r="J336" s="595">
        <f t="shared" si="23"/>
        <v>28800</v>
      </c>
      <c r="K336" s="596">
        <v>316800</v>
      </c>
      <c r="L336" s="597"/>
    </row>
    <row r="337" spans="1:12" x14ac:dyDescent="0.2">
      <c r="A337" s="316">
        <v>136</v>
      </c>
      <c r="B337" s="591" t="s">
        <v>949</v>
      </c>
      <c r="C337" s="598" t="s">
        <v>1847</v>
      </c>
      <c r="D337" s="586"/>
      <c r="E337" s="587" t="s">
        <v>1765</v>
      </c>
      <c r="F337" s="588" t="s">
        <v>579</v>
      </c>
      <c r="G337" s="586"/>
      <c r="H337" s="599">
        <v>44616</v>
      </c>
      <c r="I337" s="595">
        <f t="shared" si="22"/>
        <v>300000</v>
      </c>
      <c r="J337" s="595">
        <f t="shared" si="23"/>
        <v>30000</v>
      </c>
      <c r="K337" s="596">
        <v>330000</v>
      </c>
      <c r="L337" s="597"/>
    </row>
    <row r="338" spans="1:12" x14ac:dyDescent="0.2">
      <c r="A338" s="316">
        <v>137</v>
      </c>
      <c r="B338" s="591" t="s">
        <v>950</v>
      </c>
      <c r="C338" s="598" t="s">
        <v>1848</v>
      </c>
      <c r="D338" s="586"/>
      <c r="E338" s="587" t="s">
        <v>1849</v>
      </c>
      <c r="F338" s="588" t="s">
        <v>620</v>
      </c>
      <c r="G338" s="586"/>
      <c r="H338" s="599">
        <v>44616</v>
      </c>
      <c r="I338" s="595">
        <f t="shared" si="22"/>
        <v>1211318.1818181816</v>
      </c>
      <c r="J338" s="595">
        <f t="shared" si="23"/>
        <v>121131.81818181818</v>
      </c>
      <c r="K338" s="596">
        <v>1332450</v>
      </c>
      <c r="L338" s="597"/>
    </row>
    <row r="339" spans="1:12" x14ac:dyDescent="0.2">
      <c r="A339" s="316">
        <v>138</v>
      </c>
      <c r="B339" s="591" t="s">
        <v>951</v>
      </c>
      <c r="C339" s="598" t="s">
        <v>1850</v>
      </c>
      <c r="D339" s="586"/>
      <c r="E339" s="587" t="s">
        <v>1228</v>
      </c>
      <c r="F339" s="588" t="s">
        <v>1025</v>
      </c>
      <c r="G339" s="586"/>
      <c r="H339" s="599">
        <v>44617</v>
      </c>
      <c r="I339" s="595">
        <f t="shared" si="22"/>
        <v>484999.99999999994</v>
      </c>
      <c r="J339" s="595">
        <f t="shared" si="23"/>
        <v>48500</v>
      </c>
      <c r="K339" s="596">
        <v>533500</v>
      </c>
      <c r="L339" s="597"/>
    </row>
    <row r="340" spans="1:12" x14ac:dyDescent="0.2">
      <c r="A340" s="316">
        <v>139</v>
      </c>
      <c r="B340" s="591" t="s">
        <v>952</v>
      </c>
      <c r="C340" s="602" t="s">
        <v>1851</v>
      </c>
      <c r="D340" s="603"/>
      <c r="E340" s="604" t="s">
        <v>1852</v>
      </c>
      <c r="F340" s="605" t="s">
        <v>620</v>
      </c>
      <c r="G340" s="654"/>
      <c r="H340" s="606">
        <v>44617</v>
      </c>
      <c r="I340" s="607">
        <f t="shared" si="22"/>
        <v>209090.90909090909</v>
      </c>
      <c r="J340" s="607">
        <f t="shared" si="23"/>
        <v>20909.090909090912</v>
      </c>
      <c r="K340" s="596">
        <v>230000</v>
      </c>
      <c r="L340" s="597"/>
    </row>
    <row r="341" spans="1:12" x14ac:dyDescent="0.2">
      <c r="A341" s="316">
        <v>140</v>
      </c>
      <c r="B341" s="591" t="s">
        <v>953</v>
      </c>
      <c r="C341" s="598" t="s">
        <v>1854</v>
      </c>
      <c r="D341" s="586"/>
      <c r="E341" s="587" t="s">
        <v>1856</v>
      </c>
      <c r="F341" s="588" t="s">
        <v>1008</v>
      </c>
      <c r="G341" s="586"/>
      <c r="H341" s="599">
        <v>44618</v>
      </c>
      <c r="I341" s="595">
        <f t="shared" si="22"/>
        <v>1086981.8181818181</v>
      </c>
      <c r="J341" s="595">
        <f t="shared" si="23"/>
        <v>108698.18181818182</v>
      </c>
      <c r="K341" s="596">
        <v>1195680</v>
      </c>
      <c r="L341" s="597"/>
    </row>
    <row r="342" spans="1:12" x14ac:dyDescent="0.2">
      <c r="A342" s="316">
        <v>141</v>
      </c>
      <c r="B342" s="591" t="s">
        <v>954</v>
      </c>
      <c r="C342" s="598" t="s">
        <v>1855</v>
      </c>
      <c r="D342" s="586"/>
      <c r="E342" s="587" t="s">
        <v>1857</v>
      </c>
      <c r="F342" s="588" t="s">
        <v>1858</v>
      </c>
      <c r="G342" s="586"/>
      <c r="H342" s="599">
        <v>44618</v>
      </c>
      <c r="I342" s="595">
        <f t="shared" si="22"/>
        <v>550800</v>
      </c>
      <c r="J342" s="595">
        <f t="shared" si="23"/>
        <v>55080</v>
      </c>
      <c r="K342" s="596">
        <v>605880</v>
      </c>
      <c r="L342" s="597"/>
    </row>
    <row r="343" spans="1:12" x14ac:dyDescent="0.2">
      <c r="A343" s="316">
        <v>142</v>
      </c>
      <c r="B343" s="591" t="s">
        <v>955</v>
      </c>
      <c r="C343" s="598" t="s">
        <v>1865</v>
      </c>
      <c r="D343" s="586"/>
      <c r="E343" s="587" t="s">
        <v>1864</v>
      </c>
      <c r="F343" s="588" t="s">
        <v>1042</v>
      </c>
      <c r="G343" s="586"/>
      <c r="H343" s="599">
        <v>44618</v>
      </c>
      <c r="I343" s="595">
        <f t="shared" si="22"/>
        <v>1349716.3636363635</v>
      </c>
      <c r="J343" s="595">
        <f t="shared" si="23"/>
        <v>134971.63636363635</v>
      </c>
      <c r="K343" s="596">
        <f>1444188+40500</f>
        <v>1484688</v>
      </c>
      <c r="L343" s="597"/>
    </row>
    <row r="344" spans="1:12" x14ac:dyDescent="0.2">
      <c r="A344" s="316">
        <v>143</v>
      </c>
      <c r="B344" s="591" t="s">
        <v>956</v>
      </c>
      <c r="C344" s="598" t="s">
        <v>1873</v>
      </c>
      <c r="D344" s="586"/>
      <c r="E344" s="587" t="s">
        <v>969</v>
      </c>
      <c r="F344" s="588" t="s">
        <v>966</v>
      </c>
      <c r="G344" s="586"/>
      <c r="H344" s="599">
        <v>44615</v>
      </c>
      <c r="I344" s="595">
        <f t="shared" si="22"/>
        <v>30150363.636363633</v>
      </c>
      <c r="J344" s="595">
        <f t="shared" si="23"/>
        <v>3015036.3636363633</v>
      </c>
      <c r="K344" s="596">
        <f>12500000+10598000+10067400</f>
        <v>33165400</v>
      </c>
      <c r="L344" s="597"/>
    </row>
    <row r="345" spans="1:12" x14ac:dyDescent="0.2">
      <c r="A345" s="316">
        <v>144</v>
      </c>
      <c r="B345" s="591" t="s">
        <v>957</v>
      </c>
      <c r="C345" s="602" t="s">
        <v>1870</v>
      </c>
      <c r="D345" s="603"/>
      <c r="E345" s="604" t="s">
        <v>1869</v>
      </c>
      <c r="F345" s="605" t="s">
        <v>1022</v>
      </c>
      <c r="G345" s="654"/>
      <c r="H345" s="606">
        <v>44602</v>
      </c>
      <c r="I345" s="607">
        <f t="shared" si="22"/>
        <v>10891363.636363635</v>
      </c>
      <c r="J345" s="607">
        <f t="shared" si="23"/>
        <v>1089136.3636363635</v>
      </c>
      <c r="K345" s="596">
        <f>787500+5376000+5817000</f>
        <v>11980500</v>
      </c>
      <c r="L345" s="597"/>
    </row>
    <row r="346" spans="1:12" x14ac:dyDescent="0.2">
      <c r="A346" s="316">
        <v>145</v>
      </c>
      <c r="B346" s="591" t="s">
        <v>958</v>
      </c>
      <c r="C346" s="598" t="s">
        <v>1871</v>
      </c>
      <c r="D346" s="586"/>
      <c r="E346" s="587" t="s">
        <v>1869</v>
      </c>
      <c r="F346" s="588" t="s">
        <v>1022</v>
      </c>
      <c r="G346" s="586"/>
      <c r="H346" s="599">
        <v>44613</v>
      </c>
      <c r="I346" s="595">
        <f t="shared" si="22"/>
        <v>27507216.36363636</v>
      </c>
      <c r="J346" s="595">
        <f t="shared" si="23"/>
        <v>2750721.6363636362</v>
      </c>
      <c r="K346" s="596">
        <f>30257938</f>
        <v>30257938</v>
      </c>
      <c r="L346" s="597"/>
    </row>
    <row r="347" spans="1:12" x14ac:dyDescent="0.2">
      <c r="A347" s="316">
        <v>146</v>
      </c>
      <c r="B347" s="591" t="s">
        <v>959</v>
      </c>
      <c r="C347" s="598" t="s">
        <v>1875</v>
      </c>
      <c r="D347" s="586"/>
      <c r="E347" s="587" t="s">
        <v>965</v>
      </c>
      <c r="F347" s="588" t="s">
        <v>966</v>
      </c>
      <c r="G347" s="586"/>
      <c r="H347" s="599">
        <v>44599</v>
      </c>
      <c r="I347" s="595">
        <f t="shared" si="22"/>
        <v>25922227.27272727</v>
      </c>
      <c r="J347" s="595">
        <f t="shared" si="23"/>
        <v>2592222.7272727271</v>
      </c>
      <c r="K347" s="596">
        <f>2586150+22169300+3759000</f>
        <v>28514450</v>
      </c>
      <c r="L347" s="597"/>
    </row>
    <row r="348" spans="1:12" x14ac:dyDescent="0.2">
      <c r="A348" s="316">
        <v>147</v>
      </c>
      <c r="B348" s="591" t="s">
        <v>960</v>
      </c>
      <c r="C348" s="598" t="s">
        <v>1876</v>
      </c>
      <c r="D348" s="586"/>
      <c r="E348" s="587" t="s">
        <v>1108</v>
      </c>
      <c r="F348" s="588" t="s">
        <v>1109</v>
      </c>
      <c r="G348" s="586"/>
      <c r="H348" s="599">
        <v>44599</v>
      </c>
      <c r="I348" s="595">
        <f t="shared" si="22"/>
        <v>1693636.3636363635</v>
      </c>
      <c r="J348" s="595">
        <f t="shared" si="23"/>
        <v>169363.63636363635</v>
      </c>
      <c r="K348" s="596">
        <v>1863000</v>
      </c>
      <c r="L348" s="597"/>
    </row>
    <row r="349" spans="1:12" x14ac:dyDescent="0.2">
      <c r="A349" s="316">
        <v>148</v>
      </c>
      <c r="B349" s="591" t="s">
        <v>961</v>
      </c>
      <c r="C349" s="598" t="s">
        <v>1877</v>
      </c>
      <c r="D349" s="586"/>
      <c r="E349" s="587" t="s">
        <v>1062</v>
      </c>
      <c r="F349" s="588" t="s">
        <v>966</v>
      </c>
      <c r="G349" s="586"/>
      <c r="H349" s="599">
        <v>44602</v>
      </c>
      <c r="I349" s="595">
        <f t="shared" si="22"/>
        <v>5555454.5454545449</v>
      </c>
      <c r="J349" s="595">
        <f t="shared" si="23"/>
        <v>555545.45454545447</v>
      </c>
      <c r="K349" s="596">
        <f>6111000</f>
        <v>6111000</v>
      </c>
      <c r="L349" s="597"/>
    </row>
    <row r="350" spans="1:12" x14ac:dyDescent="0.2">
      <c r="A350" s="316">
        <v>149</v>
      </c>
      <c r="B350" s="591" t="s">
        <v>962</v>
      </c>
      <c r="C350" s="598" t="s">
        <v>1878</v>
      </c>
      <c r="D350" s="586"/>
      <c r="E350" s="587" t="s">
        <v>1315</v>
      </c>
      <c r="F350" s="588" t="s">
        <v>966</v>
      </c>
      <c r="G350" s="586"/>
      <c r="H350" s="599">
        <v>44602</v>
      </c>
      <c r="I350" s="595">
        <f t="shared" si="22"/>
        <v>18084509.09090909</v>
      </c>
      <c r="J350" s="595">
        <f t="shared" si="23"/>
        <v>1808450.9090909092</v>
      </c>
      <c r="K350" s="596">
        <f>12428640+5300000+2164320</f>
        <v>19892960</v>
      </c>
      <c r="L350" s="597"/>
    </row>
    <row r="351" spans="1:12" x14ac:dyDescent="0.2">
      <c r="A351" s="316">
        <v>150</v>
      </c>
      <c r="B351" s="591" t="s">
        <v>1816</v>
      </c>
      <c r="C351" s="598" t="s">
        <v>1881</v>
      </c>
      <c r="D351" s="586"/>
      <c r="E351" s="587" t="s">
        <v>1029</v>
      </c>
      <c r="F351" s="588" t="s">
        <v>966</v>
      </c>
      <c r="G351" s="586"/>
      <c r="H351" s="599">
        <v>44606</v>
      </c>
      <c r="I351" s="595">
        <f t="shared" ref="I351:I358" si="24">K351/1.1</f>
        <v>8401909.0909090899</v>
      </c>
      <c r="J351" s="595">
        <f t="shared" ref="J351:J358" si="25">I351*10%</f>
        <v>840190.90909090906</v>
      </c>
      <c r="K351" s="596">
        <v>9242100</v>
      </c>
      <c r="L351" s="597"/>
    </row>
    <row r="352" spans="1:12" x14ac:dyDescent="0.2">
      <c r="A352" s="316">
        <v>151</v>
      </c>
      <c r="B352" s="591" t="s">
        <v>1817</v>
      </c>
      <c r="C352" s="598" t="s">
        <v>1883</v>
      </c>
      <c r="D352" s="586"/>
      <c r="E352" s="587" t="s">
        <v>972</v>
      </c>
      <c r="F352" s="588" t="s">
        <v>966</v>
      </c>
      <c r="G352" s="586"/>
      <c r="H352" s="599">
        <v>44606</v>
      </c>
      <c r="I352" s="595">
        <f t="shared" si="24"/>
        <v>20397840.909090906</v>
      </c>
      <c r="J352" s="595">
        <f t="shared" si="25"/>
        <v>2039784.0909090908</v>
      </c>
      <c r="K352" s="596">
        <v>22437625</v>
      </c>
      <c r="L352" s="597"/>
    </row>
    <row r="353" spans="1:12" x14ac:dyDescent="0.2">
      <c r="A353" s="316">
        <v>152</v>
      </c>
      <c r="B353" s="591" t="s">
        <v>1818</v>
      </c>
      <c r="C353" s="598" t="s">
        <v>1885</v>
      </c>
      <c r="D353" s="586"/>
      <c r="E353" s="587" t="s">
        <v>965</v>
      </c>
      <c r="F353" s="588" t="s">
        <v>966</v>
      </c>
      <c r="G353" s="586"/>
      <c r="H353" s="599">
        <v>44600</v>
      </c>
      <c r="I353" s="595">
        <f t="shared" si="24"/>
        <v>9486909.0909090899</v>
      </c>
      <c r="J353" s="595">
        <f t="shared" si="25"/>
        <v>948690.90909090906</v>
      </c>
      <c r="K353" s="596">
        <v>10435600</v>
      </c>
      <c r="L353" s="597"/>
    </row>
    <row r="354" spans="1:12" x14ac:dyDescent="0.2">
      <c r="A354" s="316">
        <v>153</v>
      </c>
      <c r="B354" s="591" t="s">
        <v>1819</v>
      </c>
      <c r="C354" s="598" t="s">
        <v>1887</v>
      </c>
      <c r="D354" s="586"/>
      <c r="E354" s="587" t="s">
        <v>969</v>
      </c>
      <c r="F354" s="588" t="s">
        <v>966</v>
      </c>
      <c r="G354" s="586"/>
      <c r="H354" s="599">
        <v>44618</v>
      </c>
      <c r="I354" s="595">
        <f t="shared" si="24"/>
        <v>12027272.727272727</v>
      </c>
      <c r="J354" s="595">
        <f t="shared" si="25"/>
        <v>1202727.2727272727</v>
      </c>
      <c r="K354" s="596">
        <f>8694000+4536000</f>
        <v>13230000</v>
      </c>
      <c r="L354" s="597"/>
    </row>
    <row r="355" spans="1:12" x14ac:dyDescent="0.2">
      <c r="A355" s="316">
        <v>154</v>
      </c>
      <c r="B355" s="591" t="s">
        <v>1820</v>
      </c>
      <c r="C355" s="598" t="s">
        <v>1890</v>
      </c>
      <c r="D355" s="586"/>
      <c r="E355" s="587" t="s">
        <v>1869</v>
      </c>
      <c r="F355" s="588" t="s">
        <v>1022</v>
      </c>
      <c r="G355" s="586"/>
      <c r="H355" s="599">
        <v>44606</v>
      </c>
      <c r="I355" s="595">
        <f t="shared" si="24"/>
        <v>52253807.272727266</v>
      </c>
      <c r="J355" s="595">
        <f t="shared" si="25"/>
        <v>5225380.7272727266</v>
      </c>
      <c r="K355" s="596">
        <f>30474675+24939688+2064825</f>
        <v>57479188</v>
      </c>
      <c r="L355" s="597"/>
    </row>
    <row r="356" spans="1:12" x14ac:dyDescent="0.2">
      <c r="A356" s="316">
        <v>155</v>
      </c>
      <c r="B356" s="591" t="s">
        <v>1821</v>
      </c>
      <c r="C356" s="598" t="s">
        <v>1888</v>
      </c>
      <c r="D356" s="586"/>
      <c r="E356" s="587" t="s">
        <v>1869</v>
      </c>
      <c r="F356" s="588" t="s">
        <v>1022</v>
      </c>
      <c r="G356" s="586"/>
      <c r="H356" s="599">
        <v>44609</v>
      </c>
      <c r="I356" s="595">
        <f t="shared" si="24"/>
        <v>56814851.818181813</v>
      </c>
      <c r="J356" s="595">
        <f t="shared" si="25"/>
        <v>5681485.1818181816</v>
      </c>
      <c r="K356" s="596">
        <f>14265550+21303012+26927775</f>
        <v>62496337</v>
      </c>
      <c r="L356" s="597"/>
    </row>
    <row r="357" spans="1:12" x14ac:dyDescent="0.2">
      <c r="A357" s="316">
        <v>156</v>
      </c>
      <c r="B357" s="591" t="s">
        <v>1822</v>
      </c>
      <c r="C357" s="598" t="s">
        <v>1889</v>
      </c>
      <c r="D357" s="586"/>
      <c r="E357" s="587" t="s">
        <v>1869</v>
      </c>
      <c r="F357" s="588" t="s">
        <v>1022</v>
      </c>
      <c r="G357" s="586"/>
      <c r="H357" s="599">
        <v>44613</v>
      </c>
      <c r="I357" s="595">
        <f t="shared" si="24"/>
        <v>55416309.090909086</v>
      </c>
      <c r="J357" s="595">
        <f t="shared" si="25"/>
        <v>5541630.9090909092</v>
      </c>
      <c r="K357" s="596">
        <f>13826400+22384965+4289600+8807400+11649575</f>
        <v>60957940</v>
      </c>
      <c r="L357" s="597"/>
    </row>
    <row r="358" spans="1:12" x14ac:dyDescent="0.2">
      <c r="A358" s="316">
        <v>157</v>
      </c>
      <c r="B358" s="591" t="s">
        <v>1823</v>
      </c>
      <c r="C358" s="598" t="s">
        <v>1891</v>
      </c>
      <c r="D358" s="586"/>
      <c r="E358" s="587" t="s">
        <v>1869</v>
      </c>
      <c r="F358" s="588" t="s">
        <v>1022</v>
      </c>
      <c r="G358" s="586"/>
      <c r="H358" s="599">
        <v>44618</v>
      </c>
      <c r="I358" s="595">
        <f t="shared" si="24"/>
        <v>54834181.818181813</v>
      </c>
      <c r="J358" s="595">
        <f t="shared" si="25"/>
        <v>5483418.1818181816</v>
      </c>
      <c r="K358" s="596">
        <f>30781275+11955825+5166000+12414500</f>
        <v>60317600</v>
      </c>
      <c r="L358" s="597"/>
    </row>
    <row r="359" spans="1:12" x14ac:dyDescent="0.2">
      <c r="B359" s="616"/>
      <c r="C359" s="617"/>
      <c r="D359" s="618"/>
      <c r="E359" s="619"/>
      <c r="F359" s="620"/>
      <c r="G359" s="655"/>
      <c r="H359" s="621"/>
      <c r="I359" s="622"/>
      <c r="J359" s="622"/>
      <c r="K359" s="623"/>
      <c r="L359" s="624"/>
    </row>
    <row r="360" spans="1:12" ht="18" x14ac:dyDescent="0.25">
      <c r="B360" s="630" t="s">
        <v>237</v>
      </c>
      <c r="C360" s="631"/>
      <c r="D360" s="632"/>
      <c r="E360" s="633"/>
      <c r="F360" s="634"/>
      <c r="G360" s="656"/>
      <c r="H360" s="635"/>
      <c r="I360" s="636">
        <f>SUM(I202:I359)</f>
        <v>1402953749.0909085</v>
      </c>
      <c r="J360" s="636">
        <f>SUM(J202:J359)</f>
        <v>140295374.90909091</v>
      </c>
      <c r="K360" s="637">
        <f>SUM(K202:K359)</f>
        <v>1543249124</v>
      </c>
      <c r="L360" s="638"/>
    </row>
    <row r="361" spans="1:12" s="429" customFormat="1" ht="20.25" x14ac:dyDescent="0.3">
      <c r="A361" s="316"/>
      <c r="B361" s="639" t="s">
        <v>100</v>
      </c>
      <c r="C361" s="626"/>
      <c r="D361" s="627"/>
      <c r="E361" s="627"/>
      <c r="F361" s="627"/>
      <c r="G361" s="627"/>
      <c r="H361" s="640"/>
      <c r="I361" s="641"/>
      <c r="J361" s="641"/>
      <c r="K361" s="642"/>
      <c r="L361" s="643"/>
    </row>
    <row r="362" spans="1:12" x14ac:dyDescent="0.2">
      <c r="A362" s="316">
        <v>1</v>
      </c>
      <c r="B362" s="591" t="s">
        <v>844</v>
      </c>
      <c r="C362" s="598" t="s">
        <v>1448</v>
      </c>
      <c r="D362" s="586" t="s">
        <v>581</v>
      </c>
      <c r="E362" s="593" t="s">
        <v>596</v>
      </c>
      <c r="F362" s="593" t="s">
        <v>579</v>
      </c>
      <c r="G362" s="653" t="s">
        <v>1493</v>
      </c>
      <c r="H362" s="599">
        <v>44618</v>
      </c>
      <c r="I362" s="595">
        <f t="shared" ref="I362:I401" si="26">K362/1.1</f>
        <v>5119554.5454545449</v>
      </c>
      <c r="J362" s="595">
        <f t="shared" ref="J362:J401" si="27">I362*10%</f>
        <v>511955.45454545453</v>
      </c>
      <c r="K362" s="596">
        <v>5631510</v>
      </c>
      <c r="L362" s="597"/>
    </row>
    <row r="363" spans="1:12" s="429" customFormat="1" x14ac:dyDescent="0.2">
      <c r="A363" s="316">
        <v>2</v>
      </c>
      <c r="B363" s="591" t="s">
        <v>1969</v>
      </c>
      <c r="C363" s="598" t="s">
        <v>1449</v>
      </c>
      <c r="D363" s="586" t="s">
        <v>588</v>
      </c>
      <c r="E363" s="587" t="s">
        <v>597</v>
      </c>
      <c r="F363" s="593" t="s">
        <v>1450</v>
      </c>
      <c r="G363" s="653" t="s">
        <v>1494</v>
      </c>
      <c r="H363" s="594">
        <v>44621</v>
      </c>
      <c r="I363" s="595">
        <f t="shared" si="26"/>
        <v>2855544.5454545454</v>
      </c>
      <c r="J363" s="595">
        <f t="shared" si="27"/>
        <v>285554.45454545453</v>
      </c>
      <c r="K363" s="596">
        <f>[2]Invoice!$K$38</f>
        <v>3141099</v>
      </c>
      <c r="L363" s="759"/>
    </row>
    <row r="364" spans="1:12" s="429" customFormat="1" x14ac:dyDescent="0.2">
      <c r="A364" s="316">
        <v>3</v>
      </c>
      <c r="B364" s="591" t="s">
        <v>1970</v>
      </c>
      <c r="C364" s="592" t="s">
        <v>1482</v>
      </c>
      <c r="D364" s="627" t="s">
        <v>1427</v>
      </c>
      <c r="E364" s="644" t="s">
        <v>425</v>
      </c>
      <c r="F364" s="645" t="s">
        <v>426</v>
      </c>
      <c r="G364" s="653" t="s">
        <v>1495</v>
      </c>
      <c r="H364" s="594">
        <v>44622</v>
      </c>
      <c r="I364" s="595">
        <f t="shared" si="26"/>
        <v>9793636.3636363633</v>
      </c>
      <c r="J364" s="595">
        <f t="shared" si="27"/>
        <v>979363.63636363635</v>
      </c>
      <c r="K364" s="596">
        <f>[2]Invoice!$K$158</f>
        <v>10773000</v>
      </c>
      <c r="L364" s="597"/>
    </row>
    <row r="365" spans="1:12" s="429" customFormat="1" x14ac:dyDescent="0.2">
      <c r="A365" s="316">
        <v>4</v>
      </c>
      <c r="B365" s="591" t="s">
        <v>1971</v>
      </c>
      <c r="C365" s="598" t="s">
        <v>1483</v>
      </c>
      <c r="D365" s="627" t="s">
        <v>1427</v>
      </c>
      <c r="E365" s="644" t="s">
        <v>425</v>
      </c>
      <c r="F365" s="645" t="s">
        <v>426</v>
      </c>
      <c r="G365" s="653" t="s">
        <v>1496</v>
      </c>
      <c r="H365" s="594">
        <v>44622</v>
      </c>
      <c r="I365" s="595">
        <f t="shared" si="26"/>
        <v>8934545.4545454532</v>
      </c>
      <c r="J365" s="595">
        <f t="shared" si="27"/>
        <v>893454.54545454541</v>
      </c>
      <c r="K365" s="596">
        <f>[2]Invoice!$K$278</f>
        <v>9828000</v>
      </c>
      <c r="L365" s="597"/>
    </row>
    <row r="366" spans="1:12" s="429" customFormat="1" x14ac:dyDescent="0.2">
      <c r="A366" s="316">
        <v>5</v>
      </c>
      <c r="B366" s="591" t="s">
        <v>1972</v>
      </c>
      <c r="C366" s="598" t="s">
        <v>1484</v>
      </c>
      <c r="D366" s="586" t="s">
        <v>580</v>
      </c>
      <c r="E366" s="587" t="s">
        <v>595</v>
      </c>
      <c r="F366" s="588" t="s">
        <v>579</v>
      </c>
      <c r="G366" s="653" t="s">
        <v>1497</v>
      </c>
      <c r="H366" s="594">
        <v>44624</v>
      </c>
      <c r="I366" s="595">
        <f t="shared" si="26"/>
        <v>2678983.6363636362</v>
      </c>
      <c r="J366" s="595">
        <f t="shared" si="27"/>
        <v>267898.36363636365</v>
      </c>
      <c r="K366" s="596">
        <f>[2]Invoice!$K$398</f>
        <v>2946882</v>
      </c>
      <c r="L366" s="597"/>
    </row>
    <row r="367" spans="1:12" s="429" customFormat="1" x14ac:dyDescent="0.2">
      <c r="A367" s="316">
        <v>6</v>
      </c>
      <c r="B367" s="591" t="s">
        <v>1973</v>
      </c>
      <c r="C367" s="598" t="s">
        <v>1485</v>
      </c>
      <c r="D367" s="586" t="s">
        <v>581</v>
      </c>
      <c r="E367" s="593" t="s">
        <v>596</v>
      </c>
      <c r="F367" s="593" t="s">
        <v>579</v>
      </c>
      <c r="G367" s="653" t="s">
        <v>1498</v>
      </c>
      <c r="H367" s="594">
        <v>44624</v>
      </c>
      <c r="I367" s="595">
        <f t="shared" si="26"/>
        <v>688090.90909090906</v>
      </c>
      <c r="J367" s="595">
        <f t="shared" si="27"/>
        <v>68809.090909090912</v>
      </c>
      <c r="K367" s="596">
        <f>[2]Invoice!$K$518</f>
        <v>756900</v>
      </c>
      <c r="L367" s="597"/>
    </row>
    <row r="368" spans="1:12" s="429" customFormat="1" x14ac:dyDescent="0.2">
      <c r="A368" s="316">
        <v>7</v>
      </c>
      <c r="B368" s="591" t="s">
        <v>1974</v>
      </c>
      <c r="C368" s="598" t="s">
        <v>1486</v>
      </c>
      <c r="D368" s="627" t="s">
        <v>1427</v>
      </c>
      <c r="E368" s="644" t="s">
        <v>425</v>
      </c>
      <c r="F368" s="645" t="s">
        <v>426</v>
      </c>
      <c r="G368" s="653" t="s">
        <v>1499</v>
      </c>
      <c r="H368" s="599">
        <v>44624</v>
      </c>
      <c r="I368" s="595">
        <f t="shared" si="26"/>
        <v>2634545.4545454541</v>
      </c>
      <c r="J368" s="595">
        <f t="shared" si="27"/>
        <v>263454.54545454541</v>
      </c>
      <c r="K368" s="596">
        <f>[2]Invoice!$K$638</f>
        <v>2898000</v>
      </c>
      <c r="L368" s="597"/>
    </row>
    <row r="369" spans="1:12" s="429" customFormat="1" x14ac:dyDescent="0.2">
      <c r="A369" s="316">
        <v>8</v>
      </c>
      <c r="B369" s="591" t="s">
        <v>1975</v>
      </c>
      <c r="C369" s="598" t="s">
        <v>1487</v>
      </c>
      <c r="D369" s="586" t="s">
        <v>580</v>
      </c>
      <c r="E369" s="587" t="s">
        <v>595</v>
      </c>
      <c r="F369" s="588" t="s">
        <v>579</v>
      </c>
      <c r="G369" s="653" t="s">
        <v>1500</v>
      </c>
      <c r="H369" s="599">
        <v>44624</v>
      </c>
      <c r="I369" s="595">
        <f t="shared" si="26"/>
        <v>6348156.3636363633</v>
      </c>
      <c r="J369" s="595">
        <f t="shared" si="27"/>
        <v>634815.63636363635</v>
      </c>
      <c r="K369" s="596">
        <f>[2]Invoice!$K$758</f>
        <v>6982972</v>
      </c>
      <c r="L369" s="597"/>
    </row>
    <row r="370" spans="1:12" s="429" customFormat="1" x14ac:dyDescent="0.2">
      <c r="A370" s="316">
        <v>9</v>
      </c>
      <c r="B370" s="591" t="s">
        <v>1976</v>
      </c>
      <c r="C370" s="598" t="s">
        <v>1489</v>
      </c>
      <c r="D370" s="652" t="s">
        <v>591</v>
      </c>
      <c r="E370" s="587" t="s">
        <v>777</v>
      </c>
      <c r="F370" s="651" t="s">
        <v>590</v>
      </c>
      <c r="G370" s="653" t="s">
        <v>1501</v>
      </c>
      <c r="H370" s="599">
        <v>44624</v>
      </c>
      <c r="I370" s="595">
        <f t="shared" si="26"/>
        <v>2495700</v>
      </c>
      <c r="J370" s="595">
        <f t="shared" si="27"/>
        <v>249570</v>
      </c>
      <c r="K370" s="596">
        <f>[2]Invoice!$K$878</f>
        <v>2745270</v>
      </c>
      <c r="L370" s="597"/>
    </row>
    <row r="371" spans="1:12" s="429" customFormat="1" x14ac:dyDescent="0.2">
      <c r="A371" s="316">
        <v>10</v>
      </c>
      <c r="B371" s="591" t="s">
        <v>1977</v>
      </c>
      <c r="C371" s="598" t="s">
        <v>1488</v>
      </c>
      <c r="D371" s="627" t="s">
        <v>1427</v>
      </c>
      <c r="E371" s="644" t="s">
        <v>425</v>
      </c>
      <c r="F371" s="645" t="s">
        <v>426</v>
      </c>
      <c r="G371" s="653" t="s">
        <v>1502</v>
      </c>
      <c r="H371" s="599">
        <v>44625</v>
      </c>
      <c r="I371" s="595">
        <f t="shared" si="26"/>
        <v>5578363.6363636358</v>
      </c>
      <c r="J371" s="595">
        <f t="shared" si="27"/>
        <v>557836.36363636365</v>
      </c>
      <c r="K371" s="596">
        <f>[2]Invoice!$K$998</f>
        <v>6136200</v>
      </c>
      <c r="L371" s="597"/>
    </row>
    <row r="372" spans="1:12" s="429" customFormat="1" x14ac:dyDescent="0.2">
      <c r="A372" s="316">
        <v>11</v>
      </c>
      <c r="B372" s="591" t="s">
        <v>1978</v>
      </c>
      <c r="C372" s="598" t="s">
        <v>1490</v>
      </c>
      <c r="D372" s="586" t="s">
        <v>584</v>
      </c>
      <c r="E372" s="587" t="s">
        <v>582</v>
      </c>
      <c r="F372" s="588" t="s">
        <v>583</v>
      </c>
      <c r="G372" s="653" t="s">
        <v>1503</v>
      </c>
      <c r="H372" s="599">
        <v>44625</v>
      </c>
      <c r="I372" s="595">
        <f t="shared" si="26"/>
        <v>4470095.4545454541</v>
      </c>
      <c r="J372" s="595">
        <f t="shared" si="27"/>
        <v>447009.54545454541</v>
      </c>
      <c r="K372" s="596">
        <f>[2]Invoice!$K$1118</f>
        <v>4917105</v>
      </c>
      <c r="L372" s="597"/>
    </row>
    <row r="373" spans="1:12" s="429" customFormat="1" x14ac:dyDescent="0.2">
      <c r="A373" s="316">
        <v>12</v>
      </c>
      <c r="B373" s="591" t="s">
        <v>1979</v>
      </c>
      <c r="C373" s="598" t="s">
        <v>1492</v>
      </c>
      <c r="D373" s="586" t="s">
        <v>580</v>
      </c>
      <c r="E373" s="587" t="s">
        <v>595</v>
      </c>
      <c r="F373" s="588" t="s">
        <v>579</v>
      </c>
      <c r="G373" s="653" t="s">
        <v>1504</v>
      </c>
      <c r="H373" s="599">
        <v>44627</v>
      </c>
      <c r="I373" s="595">
        <f t="shared" si="26"/>
        <v>5809025.4545454541</v>
      </c>
      <c r="J373" s="595">
        <f t="shared" si="27"/>
        <v>580902.54545454541</v>
      </c>
      <c r="K373" s="596">
        <f>[2]Invoice!$K$1238</f>
        <v>6389928</v>
      </c>
      <c r="L373" s="597"/>
    </row>
    <row r="374" spans="1:12" s="429" customFormat="1" x14ac:dyDescent="0.2">
      <c r="A374" s="316">
        <v>13</v>
      </c>
      <c r="B374" s="591" t="s">
        <v>1980</v>
      </c>
      <c r="C374" s="598" t="s">
        <v>1491</v>
      </c>
      <c r="D374" s="586" t="s">
        <v>581</v>
      </c>
      <c r="E374" s="593" t="s">
        <v>596</v>
      </c>
      <c r="F374" s="593" t="s">
        <v>579</v>
      </c>
      <c r="G374" s="653" t="s">
        <v>1505</v>
      </c>
      <c r="H374" s="599">
        <v>44627</v>
      </c>
      <c r="I374" s="595">
        <f t="shared" si="26"/>
        <v>546676.36363636365</v>
      </c>
      <c r="J374" s="595">
        <f t="shared" si="27"/>
        <v>54667.636363636368</v>
      </c>
      <c r="K374" s="596">
        <f>[2]Invoice!$K$1358</f>
        <v>601344</v>
      </c>
      <c r="L374" s="597"/>
    </row>
    <row r="375" spans="1:12" s="429" customFormat="1" x14ac:dyDescent="0.2">
      <c r="A375" s="316">
        <v>14</v>
      </c>
      <c r="B375" s="591" t="s">
        <v>1981</v>
      </c>
      <c r="C375" s="598" t="s">
        <v>1532</v>
      </c>
      <c r="D375" s="586" t="s">
        <v>584</v>
      </c>
      <c r="E375" s="587" t="s">
        <v>582</v>
      </c>
      <c r="F375" s="588" t="s">
        <v>583</v>
      </c>
      <c r="G375" s="653" t="s">
        <v>1506</v>
      </c>
      <c r="H375" s="599">
        <v>44627</v>
      </c>
      <c r="I375" s="595">
        <f t="shared" si="26"/>
        <v>1221872.7272727271</v>
      </c>
      <c r="J375" s="595">
        <f t="shared" si="27"/>
        <v>122187.27272727271</v>
      </c>
      <c r="K375" s="596">
        <f>[2]Invoice!$K$1478</f>
        <v>1344060</v>
      </c>
      <c r="L375" s="597"/>
    </row>
    <row r="376" spans="1:12" s="429" customFormat="1" x14ac:dyDescent="0.2">
      <c r="A376" s="316">
        <v>15</v>
      </c>
      <c r="B376" s="591" t="s">
        <v>1982</v>
      </c>
      <c r="C376" s="598" t="s">
        <v>1670</v>
      </c>
      <c r="D376" s="627" t="s">
        <v>1427</v>
      </c>
      <c r="E376" s="644" t="s">
        <v>425</v>
      </c>
      <c r="F376" s="645" t="s">
        <v>426</v>
      </c>
      <c r="G376" s="653" t="s">
        <v>1531</v>
      </c>
      <c r="H376" s="599">
        <v>44631</v>
      </c>
      <c r="I376" s="595">
        <f t="shared" si="26"/>
        <v>11446431.818181816</v>
      </c>
      <c r="J376" s="595">
        <f t="shared" si="27"/>
        <v>1144643.1818181816</v>
      </c>
      <c r="K376" s="596">
        <f>[2]Invoice!$K$1598</f>
        <v>12591075</v>
      </c>
      <c r="L376" s="597"/>
    </row>
    <row r="377" spans="1:12" s="429" customFormat="1" x14ac:dyDescent="0.2">
      <c r="A377" s="316">
        <v>16</v>
      </c>
      <c r="B377" s="591" t="s">
        <v>1983</v>
      </c>
      <c r="C377" s="598" t="s">
        <v>1671</v>
      </c>
      <c r="D377" s="586" t="s">
        <v>580</v>
      </c>
      <c r="E377" s="587" t="s">
        <v>595</v>
      </c>
      <c r="F377" s="588" t="s">
        <v>579</v>
      </c>
      <c r="G377" s="653" t="s">
        <v>1507</v>
      </c>
      <c r="H377" s="599">
        <v>44631</v>
      </c>
      <c r="I377" s="595">
        <f t="shared" si="26"/>
        <v>5062609.0909090908</v>
      </c>
      <c r="J377" s="595">
        <f t="shared" si="27"/>
        <v>506260.90909090912</v>
      </c>
      <c r="K377" s="596">
        <f>[2]Invoice!$K$1718</f>
        <v>5568870</v>
      </c>
      <c r="L377" s="597"/>
    </row>
    <row r="378" spans="1:12" s="429" customFormat="1" x14ac:dyDescent="0.2">
      <c r="A378" s="316">
        <v>17</v>
      </c>
      <c r="B378" s="591" t="s">
        <v>1984</v>
      </c>
      <c r="C378" s="598" t="s">
        <v>1672</v>
      </c>
      <c r="D378" s="586" t="s">
        <v>584</v>
      </c>
      <c r="E378" s="587" t="s">
        <v>582</v>
      </c>
      <c r="F378" s="588" t="s">
        <v>583</v>
      </c>
      <c r="G378" s="653" t="s">
        <v>1508</v>
      </c>
      <c r="H378" s="599">
        <v>44631</v>
      </c>
      <c r="I378" s="595">
        <f t="shared" si="26"/>
        <v>373090.90909090906</v>
      </c>
      <c r="J378" s="595">
        <f t="shared" si="27"/>
        <v>37309.090909090904</v>
      </c>
      <c r="K378" s="596">
        <f>[2]Invoice!$K$1838</f>
        <v>410400</v>
      </c>
      <c r="L378" s="597"/>
    </row>
    <row r="379" spans="1:12" s="429" customFormat="1" x14ac:dyDescent="0.2">
      <c r="A379" s="316">
        <v>18</v>
      </c>
      <c r="B379" s="591" t="s">
        <v>1985</v>
      </c>
      <c r="C379" s="598" t="s">
        <v>1686</v>
      </c>
      <c r="D379" s="586" t="s">
        <v>581</v>
      </c>
      <c r="E379" s="593" t="s">
        <v>596</v>
      </c>
      <c r="F379" s="593" t="s">
        <v>579</v>
      </c>
      <c r="G379" s="653" t="s">
        <v>1509</v>
      </c>
      <c r="H379" s="599">
        <v>44635</v>
      </c>
      <c r="I379" s="595">
        <f t="shared" si="26"/>
        <v>896454.54545454541</v>
      </c>
      <c r="J379" s="595">
        <f t="shared" si="27"/>
        <v>89645.454545454544</v>
      </c>
      <c r="K379" s="596">
        <f>[2]Invoice!$K$1958</f>
        <v>986100</v>
      </c>
      <c r="L379" s="597"/>
    </row>
    <row r="380" spans="1:12" s="429" customFormat="1" x14ac:dyDescent="0.2">
      <c r="A380" s="316">
        <v>19</v>
      </c>
      <c r="B380" s="591" t="s">
        <v>1986</v>
      </c>
      <c r="C380" s="598" t="s">
        <v>1694</v>
      </c>
      <c r="D380" s="586" t="s">
        <v>621</v>
      </c>
      <c r="E380" s="587" t="s">
        <v>619</v>
      </c>
      <c r="F380" s="588" t="s">
        <v>620</v>
      </c>
      <c r="G380" s="653" t="s">
        <v>1510</v>
      </c>
      <c r="H380" s="599">
        <v>44635</v>
      </c>
      <c r="I380" s="595">
        <f t="shared" si="26"/>
        <v>356400</v>
      </c>
      <c r="J380" s="595">
        <f t="shared" si="27"/>
        <v>35640</v>
      </c>
      <c r="K380" s="596">
        <f>[2]Invoice!$K$2078</f>
        <v>392040</v>
      </c>
      <c r="L380" s="597"/>
    </row>
    <row r="381" spans="1:12" s="429" customFormat="1" x14ac:dyDescent="0.2">
      <c r="A381" s="316">
        <v>20</v>
      </c>
      <c r="B381" s="591" t="s">
        <v>1987</v>
      </c>
      <c r="C381" s="598" t="s">
        <v>1708</v>
      </c>
      <c r="D381" s="586" t="s">
        <v>580</v>
      </c>
      <c r="E381" s="587" t="s">
        <v>595</v>
      </c>
      <c r="F381" s="588" t="s">
        <v>579</v>
      </c>
      <c r="G381" s="653" t="s">
        <v>1511</v>
      </c>
      <c r="H381" s="599">
        <v>44636</v>
      </c>
      <c r="I381" s="595">
        <f t="shared" si="26"/>
        <v>5163578.1818181816</v>
      </c>
      <c r="J381" s="595">
        <f t="shared" si="27"/>
        <v>516357.81818181818</v>
      </c>
      <c r="K381" s="596">
        <f>[2]Invoice!$K$2198</f>
        <v>5679936</v>
      </c>
      <c r="L381" s="597"/>
    </row>
    <row r="382" spans="1:12" s="429" customFormat="1" x14ac:dyDescent="0.2">
      <c r="A382" s="316">
        <v>21</v>
      </c>
      <c r="B382" s="591" t="s">
        <v>1988</v>
      </c>
      <c r="C382" s="598" t="s">
        <v>1725</v>
      </c>
      <c r="D382" s="586" t="s">
        <v>621</v>
      </c>
      <c r="E382" s="587" t="s">
        <v>619</v>
      </c>
      <c r="F382" s="588" t="s">
        <v>620</v>
      </c>
      <c r="G382" s="653" t="s">
        <v>1512</v>
      </c>
      <c r="H382" s="594">
        <v>44637</v>
      </c>
      <c r="I382" s="595">
        <f t="shared" si="26"/>
        <v>3250799.9999999995</v>
      </c>
      <c r="J382" s="595">
        <f t="shared" si="27"/>
        <v>325080</v>
      </c>
      <c r="K382" s="596">
        <f>[2]Invoice!$K$2318</f>
        <v>3575880</v>
      </c>
      <c r="L382" s="597"/>
    </row>
    <row r="383" spans="1:12" s="429" customFormat="1" x14ac:dyDescent="0.2">
      <c r="A383" s="316">
        <v>22</v>
      </c>
      <c r="B383" s="591" t="s">
        <v>1989</v>
      </c>
      <c r="C383" s="598" t="s">
        <v>1733</v>
      </c>
      <c r="D383" s="627" t="s">
        <v>1427</v>
      </c>
      <c r="E383" s="644" t="s">
        <v>425</v>
      </c>
      <c r="F383" s="645" t="s">
        <v>426</v>
      </c>
      <c r="G383" s="653" t="s">
        <v>1571</v>
      </c>
      <c r="H383" s="599">
        <v>44638</v>
      </c>
      <c r="I383" s="595">
        <f t="shared" si="26"/>
        <v>16637727.272727272</v>
      </c>
      <c r="J383" s="595">
        <f t="shared" si="27"/>
        <v>1663772.7272727273</v>
      </c>
      <c r="K383" s="596">
        <f>[2]Invoice!$K$2438</f>
        <v>18301500</v>
      </c>
      <c r="L383" s="597"/>
    </row>
    <row r="384" spans="1:12" s="429" customFormat="1" x14ac:dyDescent="0.2">
      <c r="A384" s="316">
        <v>23</v>
      </c>
      <c r="B384" s="591" t="s">
        <v>1990</v>
      </c>
      <c r="C384" s="598" t="s">
        <v>1734</v>
      </c>
      <c r="D384" s="586" t="s">
        <v>671</v>
      </c>
      <c r="E384" s="587" t="s">
        <v>672</v>
      </c>
      <c r="F384" s="588" t="s">
        <v>673</v>
      </c>
      <c r="G384" s="653" t="s">
        <v>1513</v>
      </c>
      <c r="H384" s="599">
        <v>44638</v>
      </c>
      <c r="I384" s="595">
        <f t="shared" si="26"/>
        <v>389590.90909090906</v>
      </c>
      <c r="J384" s="595">
        <f t="shared" si="27"/>
        <v>38959.090909090904</v>
      </c>
      <c r="K384" s="596">
        <f>[2]Invoice!$K$2558</f>
        <v>428550</v>
      </c>
      <c r="L384" s="597"/>
    </row>
    <row r="385" spans="1:12" s="429" customFormat="1" x14ac:dyDescent="0.2">
      <c r="A385" s="316">
        <v>24</v>
      </c>
      <c r="B385" s="591" t="s">
        <v>1991</v>
      </c>
      <c r="C385" s="598" t="s">
        <v>1767</v>
      </c>
      <c r="D385" s="586" t="s">
        <v>741</v>
      </c>
      <c r="E385" s="587" t="s">
        <v>740</v>
      </c>
      <c r="F385" s="588" t="s">
        <v>579</v>
      </c>
      <c r="G385" s="653" t="s">
        <v>1514</v>
      </c>
      <c r="H385" s="599">
        <v>44639</v>
      </c>
      <c r="I385" s="595">
        <f t="shared" si="26"/>
        <v>2503295.4545454541</v>
      </c>
      <c r="J385" s="595">
        <f t="shared" si="27"/>
        <v>250329.54545454541</v>
      </c>
      <c r="K385" s="596">
        <f>[2]Invoice!$K$2678</f>
        <v>2753625</v>
      </c>
      <c r="L385" s="597"/>
    </row>
    <row r="386" spans="1:12" s="429" customFormat="1" x14ac:dyDescent="0.2">
      <c r="A386" s="316">
        <v>25</v>
      </c>
      <c r="B386" s="591" t="s">
        <v>1992</v>
      </c>
      <c r="C386" s="598" t="s">
        <v>1815</v>
      </c>
      <c r="D386" s="627" t="s">
        <v>1427</v>
      </c>
      <c r="E386" s="644" t="s">
        <v>425</v>
      </c>
      <c r="F386" s="645" t="s">
        <v>426</v>
      </c>
      <c r="G386" s="653" t="s">
        <v>1515</v>
      </c>
      <c r="H386" s="599">
        <v>44641</v>
      </c>
      <c r="I386" s="595">
        <f t="shared" si="26"/>
        <v>33995340.909090906</v>
      </c>
      <c r="J386" s="595">
        <f t="shared" si="27"/>
        <v>3399534.0909090908</v>
      </c>
      <c r="K386" s="596">
        <f>[2]Invoice!$K$2798</f>
        <v>37394875</v>
      </c>
      <c r="L386" s="597"/>
    </row>
    <row r="387" spans="1:12" s="429" customFormat="1" x14ac:dyDescent="0.2">
      <c r="A387" s="316">
        <v>26</v>
      </c>
      <c r="B387" s="591" t="s">
        <v>1993</v>
      </c>
      <c r="C387" s="598" t="s">
        <v>1872</v>
      </c>
      <c r="D387" s="586" t="s">
        <v>581</v>
      </c>
      <c r="E387" s="593" t="s">
        <v>596</v>
      </c>
      <c r="F387" s="593" t="s">
        <v>579</v>
      </c>
      <c r="G387" s="653" t="s">
        <v>1516</v>
      </c>
      <c r="H387" s="599">
        <v>44642</v>
      </c>
      <c r="I387" s="595">
        <f t="shared" si="26"/>
        <v>11212916.363636363</v>
      </c>
      <c r="J387" s="595">
        <f t="shared" si="27"/>
        <v>1121291.6363636365</v>
      </c>
      <c r="K387" s="596">
        <f>[2]Invoice!$K$2918</f>
        <v>12334208</v>
      </c>
      <c r="L387" s="597"/>
    </row>
    <row r="388" spans="1:12" x14ac:dyDescent="0.2">
      <c r="A388" s="316">
        <v>27</v>
      </c>
      <c r="B388" s="591" t="s">
        <v>1994</v>
      </c>
      <c r="C388" s="598" t="s">
        <v>1892</v>
      </c>
      <c r="D388" s="586" t="s">
        <v>580</v>
      </c>
      <c r="E388" s="587" t="s">
        <v>595</v>
      </c>
      <c r="F388" s="588" t="s">
        <v>579</v>
      </c>
      <c r="G388" s="653" t="s">
        <v>1517</v>
      </c>
      <c r="H388" s="599">
        <v>44644</v>
      </c>
      <c r="I388" s="595">
        <f t="shared" si="26"/>
        <v>25144134.545454543</v>
      </c>
      <c r="J388" s="595">
        <f t="shared" si="27"/>
        <v>2514413.4545454546</v>
      </c>
      <c r="K388" s="596">
        <f>[2]Invoice!$K$3038</f>
        <v>27658548</v>
      </c>
      <c r="L388" s="597"/>
    </row>
    <row r="389" spans="1:12" x14ac:dyDescent="0.2">
      <c r="A389" s="316">
        <v>28</v>
      </c>
      <c r="B389" s="591" t="s">
        <v>1995</v>
      </c>
      <c r="C389" s="598" t="s">
        <v>1893</v>
      </c>
      <c r="D389" s="586" t="s">
        <v>617</v>
      </c>
      <c r="E389" s="587" t="s">
        <v>616</v>
      </c>
      <c r="F389" s="588" t="s">
        <v>579</v>
      </c>
      <c r="G389" s="653" t="s">
        <v>1518</v>
      </c>
      <c r="H389" s="599">
        <v>44644</v>
      </c>
      <c r="I389" s="595">
        <f t="shared" si="26"/>
        <v>2248363.6363636362</v>
      </c>
      <c r="J389" s="595">
        <f t="shared" si="27"/>
        <v>224836.36363636365</v>
      </c>
      <c r="K389" s="596">
        <f>[2]Invoice!$K$3158</f>
        <v>2473200</v>
      </c>
      <c r="L389" s="597"/>
    </row>
    <row r="390" spans="1:12" x14ac:dyDescent="0.2">
      <c r="A390" s="316">
        <v>29</v>
      </c>
      <c r="B390" s="591" t="s">
        <v>1996</v>
      </c>
      <c r="C390" s="598" t="s">
        <v>1894</v>
      </c>
      <c r="D390" s="586" t="s">
        <v>581</v>
      </c>
      <c r="E390" s="593" t="s">
        <v>596</v>
      </c>
      <c r="F390" s="593" t="s">
        <v>579</v>
      </c>
      <c r="G390" s="653" t="s">
        <v>1519</v>
      </c>
      <c r="H390" s="599">
        <v>44645</v>
      </c>
      <c r="I390" s="595">
        <f t="shared" si="26"/>
        <v>707727.27272727271</v>
      </c>
      <c r="J390" s="595">
        <f t="shared" si="27"/>
        <v>70772.727272727279</v>
      </c>
      <c r="K390" s="596">
        <f>[2]Invoice!$K$3278</f>
        <v>778500</v>
      </c>
      <c r="L390" s="597"/>
    </row>
    <row r="391" spans="1:12" x14ac:dyDescent="0.2">
      <c r="A391" s="316">
        <v>30</v>
      </c>
      <c r="B391" s="591" t="s">
        <v>1997</v>
      </c>
      <c r="C391" s="598" t="s">
        <v>1936</v>
      </c>
      <c r="D391" s="586" t="s">
        <v>581</v>
      </c>
      <c r="E391" s="593" t="s">
        <v>596</v>
      </c>
      <c r="F391" s="593" t="s">
        <v>579</v>
      </c>
      <c r="G391" s="653" t="s">
        <v>1520</v>
      </c>
      <c r="H391" s="599">
        <v>44646</v>
      </c>
      <c r="I391" s="595">
        <f t="shared" si="26"/>
        <v>4052618.1818181816</v>
      </c>
      <c r="J391" s="595">
        <f t="shared" si="27"/>
        <v>405261.81818181818</v>
      </c>
      <c r="K391" s="596">
        <f>[2]Invoice!$K$3398</f>
        <v>4457880</v>
      </c>
      <c r="L391" s="597"/>
    </row>
    <row r="392" spans="1:12" x14ac:dyDescent="0.2">
      <c r="A392" s="316">
        <v>31</v>
      </c>
      <c r="B392" s="591" t="s">
        <v>1998</v>
      </c>
      <c r="C392" s="598" t="s">
        <v>1937</v>
      </c>
      <c r="D392" s="586" t="s">
        <v>621</v>
      </c>
      <c r="E392" s="587" t="s">
        <v>619</v>
      </c>
      <c r="F392" s="588" t="s">
        <v>620</v>
      </c>
      <c r="G392" s="653" t="s">
        <v>1521</v>
      </c>
      <c r="H392" s="599">
        <v>44646</v>
      </c>
      <c r="I392" s="595">
        <f t="shared" si="26"/>
        <v>1786909.0909090908</v>
      </c>
      <c r="J392" s="595">
        <f t="shared" si="27"/>
        <v>178690.90909090909</v>
      </c>
      <c r="K392" s="596">
        <f>[2]Invoice!$K$3518</f>
        <v>1965600</v>
      </c>
      <c r="L392" s="597"/>
    </row>
    <row r="393" spans="1:12" x14ac:dyDescent="0.2">
      <c r="A393" s="316">
        <v>32</v>
      </c>
      <c r="B393" s="591" t="s">
        <v>1999</v>
      </c>
      <c r="C393" s="598" t="s">
        <v>1965</v>
      </c>
      <c r="D393" s="586" t="s">
        <v>588</v>
      </c>
      <c r="E393" s="587" t="s">
        <v>597</v>
      </c>
      <c r="F393" s="593" t="s">
        <v>1450</v>
      </c>
      <c r="G393" s="653" t="s">
        <v>1522</v>
      </c>
      <c r="H393" s="599">
        <v>44646</v>
      </c>
      <c r="I393" s="595">
        <f t="shared" si="26"/>
        <v>3386732.7272727271</v>
      </c>
      <c r="J393" s="595">
        <f t="shared" si="27"/>
        <v>338673.27272727271</v>
      </c>
      <c r="K393" s="596">
        <f>[2]Invoice!$K$3638</f>
        <v>3725406</v>
      </c>
      <c r="L393" s="597"/>
    </row>
    <row r="394" spans="1:12" x14ac:dyDescent="0.2">
      <c r="A394" s="316">
        <v>33</v>
      </c>
      <c r="B394" s="591" t="s">
        <v>2000</v>
      </c>
      <c r="C394" s="598" t="s">
        <v>1966</v>
      </c>
      <c r="D394" s="627" t="s">
        <v>1427</v>
      </c>
      <c r="E394" s="644" t="s">
        <v>425</v>
      </c>
      <c r="F394" s="645" t="s">
        <v>426</v>
      </c>
      <c r="G394" s="653" t="s">
        <v>1523</v>
      </c>
      <c r="H394" s="599">
        <v>44648</v>
      </c>
      <c r="I394" s="595">
        <f t="shared" si="26"/>
        <v>3102272.7272727271</v>
      </c>
      <c r="J394" s="595">
        <f t="shared" si="27"/>
        <v>310227.27272727271</v>
      </c>
      <c r="K394" s="596">
        <f>[2]Invoice!$K$3758</f>
        <v>3412500</v>
      </c>
      <c r="L394" s="597"/>
    </row>
    <row r="395" spans="1:12" x14ac:dyDescent="0.2">
      <c r="A395" s="316">
        <v>34</v>
      </c>
      <c r="B395" s="591" t="s">
        <v>2001</v>
      </c>
      <c r="C395" s="598" t="s">
        <v>1967</v>
      </c>
      <c r="D395" s="586" t="s">
        <v>600</v>
      </c>
      <c r="E395" s="593" t="s">
        <v>598</v>
      </c>
      <c r="F395" s="593" t="s">
        <v>599</v>
      </c>
      <c r="G395" s="653" t="s">
        <v>1524</v>
      </c>
      <c r="H395" s="594">
        <v>44650</v>
      </c>
      <c r="I395" s="595">
        <f t="shared" si="26"/>
        <v>5410909.0909090908</v>
      </c>
      <c r="J395" s="595">
        <f t="shared" si="27"/>
        <v>541090.90909090906</v>
      </c>
      <c r="K395" s="596">
        <f>[2]Invoice!$K$3878</f>
        <v>5952000</v>
      </c>
      <c r="L395" s="600"/>
    </row>
    <row r="396" spans="1:12" x14ac:dyDescent="0.2">
      <c r="A396" s="316">
        <v>35</v>
      </c>
      <c r="B396" s="591" t="s">
        <v>2002</v>
      </c>
      <c r="C396" s="598" t="s">
        <v>1968</v>
      </c>
      <c r="D396" s="586" t="s">
        <v>580</v>
      </c>
      <c r="E396" s="587" t="s">
        <v>595</v>
      </c>
      <c r="F396" s="588" t="s">
        <v>579</v>
      </c>
      <c r="G396" s="653" t="s">
        <v>1525</v>
      </c>
      <c r="H396" s="599">
        <v>44651</v>
      </c>
      <c r="I396" s="595">
        <f t="shared" si="26"/>
        <v>2264727.2727272725</v>
      </c>
      <c r="J396" s="595">
        <f t="shared" si="27"/>
        <v>226472.72727272726</v>
      </c>
      <c r="K396" s="596">
        <f>[2]Invoice!$K$3998</f>
        <v>2491200</v>
      </c>
      <c r="L396" s="597"/>
    </row>
    <row r="397" spans="1:12" x14ac:dyDescent="0.2">
      <c r="A397" s="316">
        <v>36</v>
      </c>
      <c r="B397" s="591" t="s">
        <v>2003</v>
      </c>
      <c r="C397" s="598" t="s">
        <v>1968</v>
      </c>
      <c r="D397" s="652" t="s">
        <v>591</v>
      </c>
      <c r="E397" s="587" t="s">
        <v>777</v>
      </c>
      <c r="F397" s="651" t="s">
        <v>590</v>
      </c>
      <c r="G397" s="653" t="s">
        <v>1526</v>
      </c>
      <c r="H397" s="599">
        <v>44651</v>
      </c>
      <c r="I397" s="595">
        <f t="shared" si="26"/>
        <v>1611163.6363636362</v>
      </c>
      <c r="J397" s="595">
        <f t="shared" si="27"/>
        <v>161116.36363636365</v>
      </c>
      <c r="K397" s="596">
        <f>[2]Invoice!$K$4118</f>
        <v>1772280</v>
      </c>
      <c r="L397" s="597"/>
    </row>
    <row r="398" spans="1:12" x14ac:dyDescent="0.2">
      <c r="A398" s="316">
        <v>37</v>
      </c>
      <c r="B398" s="591" t="s">
        <v>2004</v>
      </c>
      <c r="C398" s="598" t="s">
        <v>2320</v>
      </c>
      <c r="D398" s="586" t="s">
        <v>603</v>
      </c>
      <c r="E398" s="587" t="s">
        <v>608</v>
      </c>
      <c r="F398" s="588" t="s">
        <v>602</v>
      </c>
      <c r="G398" s="653" t="s">
        <v>1527</v>
      </c>
      <c r="H398" s="599">
        <v>44651</v>
      </c>
      <c r="I398" s="595">
        <f t="shared" si="26"/>
        <v>17541818.18181818</v>
      </c>
      <c r="J398" s="595">
        <f t="shared" si="27"/>
        <v>1754181.8181818181</v>
      </c>
      <c r="K398" s="596">
        <f>[2]Invoice!$K$4238</f>
        <v>19296000</v>
      </c>
      <c r="L398" s="597"/>
    </row>
    <row r="399" spans="1:12" x14ac:dyDescent="0.2">
      <c r="A399" s="316">
        <v>38</v>
      </c>
      <c r="B399" s="591" t="s">
        <v>2005</v>
      </c>
      <c r="C399" s="598" t="s">
        <v>2321</v>
      </c>
      <c r="D399" s="586" t="s">
        <v>600</v>
      </c>
      <c r="E399" s="593" t="s">
        <v>598</v>
      </c>
      <c r="F399" s="593" t="s">
        <v>599</v>
      </c>
      <c r="G399" s="653" t="s">
        <v>1528</v>
      </c>
      <c r="H399" s="599">
        <v>44651</v>
      </c>
      <c r="I399" s="595">
        <f t="shared" si="26"/>
        <v>4909090.9090909082</v>
      </c>
      <c r="J399" s="595">
        <f t="shared" si="27"/>
        <v>490909.09090909082</v>
      </c>
      <c r="K399" s="596">
        <f>[2]Invoice!$K$4358</f>
        <v>5400000</v>
      </c>
      <c r="L399" s="597"/>
    </row>
    <row r="400" spans="1:12" x14ac:dyDescent="0.2">
      <c r="A400" s="316">
        <v>39</v>
      </c>
      <c r="B400" s="591" t="s">
        <v>2006</v>
      </c>
      <c r="C400" s="598" t="s">
        <v>2322</v>
      </c>
      <c r="D400" s="586" t="s">
        <v>607</v>
      </c>
      <c r="E400" s="587" t="s">
        <v>605</v>
      </c>
      <c r="F400" s="588" t="s">
        <v>606</v>
      </c>
      <c r="G400" s="653" t="s">
        <v>1529</v>
      </c>
      <c r="H400" s="599">
        <v>44651</v>
      </c>
      <c r="I400" s="595">
        <f t="shared" si="26"/>
        <v>1752545.4545454544</v>
      </c>
      <c r="J400" s="595">
        <f t="shared" si="27"/>
        <v>175254.54545454544</v>
      </c>
      <c r="K400" s="596">
        <f>[2]Invoice!$K$4478</f>
        <v>1927800</v>
      </c>
      <c r="L400" s="597"/>
    </row>
    <row r="401" spans="1:12" x14ac:dyDescent="0.2">
      <c r="A401" s="316">
        <v>40</v>
      </c>
      <c r="B401" s="591" t="s">
        <v>2007</v>
      </c>
      <c r="C401" s="598" t="s">
        <v>2323</v>
      </c>
      <c r="D401" s="627" t="s">
        <v>1427</v>
      </c>
      <c r="E401" s="644" t="s">
        <v>425</v>
      </c>
      <c r="F401" s="645" t="s">
        <v>426</v>
      </c>
      <c r="G401" s="653" t="s">
        <v>1530</v>
      </c>
      <c r="H401" s="599">
        <v>44651</v>
      </c>
      <c r="I401" s="595">
        <f t="shared" si="26"/>
        <v>4261090.9090909092</v>
      </c>
      <c r="J401" s="595">
        <f t="shared" si="27"/>
        <v>426109.09090909094</v>
      </c>
      <c r="K401" s="596">
        <f>[2]Invoice!$K$4598</f>
        <v>4687200</v>
      </c>
      <c r="L401" s="597"/>
    </row>
    <row r="402" spans="1:12" x14ac:dyDescent="0.2">
      <c r="A402" s="316">
        <v>41</v>
      </c>
      <c r="B402" s="591" t="s">
        <v>2008</v>
      </c>
      <c r="C402" s="598" t="s">
        <v>2517</v>
      </c>
      <c r="D402" s="586"/>
      <c r="E402" s="587" t="s">
        <v>2367</v>
      </c>
      <c r="F402" s="588" t="s">
        <v>2368</v>
      </c>
      <c r="G402" s="653"/>
      <c r="H402" s="599">
        <v>44621</v>
      </c>
      <c r="I402" s="595">
        <f t="shared" ref="I402:I426" si="28">K402/1.1</f>
        <v>1115590.9090909089</v>
      </c>
      <c r="J402" s="595">
        <f t="shared" ref="J402:J426" si="29">I402*10%</f>
        <v>111559.0909090909</v>
      </c>
      <c r="K402" s="596">
        <f>202500+717660+306990</f>
        <v>1227150</v>
      </c>
      <c r="L402" s="597"/>
    </row>
    <row r="403" spans="1:12" x14ac:dyDescent="0.2">
      <c r="A403" s="316">
        <v>42</v>
      </c>
      <c r="B403" s="591" t="s">
        <v>2009</v>
      </c>
      <c r="C403" s="598" t="s">
        <v>2369</v>
      </c>
      <c r="D403" s="586"/>
      <c r="E403" s="593" t="s">
        <v>1100</v>
      </c>
      <c r="F403" s="593" t="s">
        <v>1101</v>
      </c>
      <c r="G403" s="653"/>
      <c r="H403" s="599">
        <v>44621</v>
      </c>
      <c r="I403" s="595">
        <f t="shared" si="28"/>
        <v>1612799.9999999998</v>
      </c>
      <c r="J403" s="595">
        <f t="shared" si="29"/>
        <v>161280</v>
      </c>
      <c r="K403" s="596">
        <v>1774080</v>
      </c>
      <c r="L403" s="597"/>
    </row>
    <row r="404" spans="1:12" x14ac:dyDescent="0.2">
      <c r="A404" s="316">
        <v>43</v>
      </c>
      <c r="B404" s="591" t="s">
        <v>2010</v>
      </c>
      <c r="C404" s="598" t="s">
        <v>2370</v>
      </c>
      <c r="D404" s="586"/>
      <c r="E404" s="593" t="s">
        <v>1756</v>
      </c>
      <c r="F404" s="593" t="s">
        <v>673</v>
      </c>
      <c r="G404" s="653"/>
      <c r="H404" s="594">
        <v>44621</v>
      </c>
      <c r="I404" s="595">
        <f t="shared" si="28"/>
        <v>2978181.8181818179</v>
      </c>
      <c r="J404" s="595">
        <f t="shared" si="29"/>
        <v>297818.18181818182</v>
      </c>
      <c r="K404" s="596">
        <v>3276000</v>
      </c>
      <c r="L404" s="597"/>
    </row>
    <row r="405" spans="1:12" x14ac:dyDescent="0.2">
      <c r="A405" s="316">
        <v>44</v>
      </c>
      <c r="B405" s="591" t="s">
        <v>2011</v>
      </c>
      <c r="C405" s="598" t="s">
        <v>2371</v>
      </c>
      <c r="D405" s="586"/>
      <c r="E405" s="587" t="s">
        <v>1852</v>
      </c>
      <c r="F405" s="588" t="s">
        <v>620</v>
      </c>
      <c r="G405" s="653"/>
      <c r="H405" s="599">
        <v>44621</v>
      </c>
      <c r="I405" s="595">
        <f t="shared" si="28"/>
        <v>687818.18181818177</v>
      </c>
      <c r="J405" s="595">
        <f t="shared" si="29"/>
        <v>68781.818181818177</v>
      </c>
      <c r="K405" s="596">
        <v>756600</v>
      </c>
      <c r="L405" s="597"/>
    </row>
    <row r="406" spans="1:12" x14ac:dyDescent="0.2">
      <c r="A406" s="316">
        <v>45</v>
      </c>
      <c r="B406" s="591" t="s">
        <v>2012</v>
      </c>
      <c r="C406" s="598" t="s">
        <v>2372</v>
      </c>
      <c r="D406" s="586"/>
      <c r="E406" s="587" t="s">
        <v>992</v>
      </c>
      <c r="F406" s="588" t="s">
        <v>993</v>
      </c>
      <c r="G406" s="653"/>
      <c r="H406" s="599">
        <v>44621</v>
      </c>
      <c r="I406" s="595">
        <f t="shared" si="28"/>
        <v>2570195.4545454541</v>
      </c>
      <c r="J406" s="595">
        <f t="shared" si="29"/>
        <v>257019.54545454541</v>
      </c>
      <c r="K406" s="596">
        <f>1088565+233550+1505100</f>
        <v>2827215</v>
      </c>
      <c r="L406" s="597"/>
    </row>
    <row r="407" spans="1:12" x14ac:dyDescent="0.2">
      <c r="A407" s="316">
        <v>46</v>
      </c>
      <c r="B407" s="591" t="s">
        <v>2013</v>
      </c>
      <c r="C407" s="598" t="s">
        <v>2485</v>
      </c>
      <c r="D407" s="586"/>
      <c r="E407" s="587" t="s">
        <v>1040</v>
      </c>
      <c r="F407" s="588" t="s">
        <v>1019</v>
      </c>
      <c r="G407" s="653"/>
      <c r="H407" s="599">
        <v>44621</v>
      </c>
      <c r="I407" s="595">
        <f t="shared" si="28"/>
        <v>15165818.18181818</v>
      </c>
      <c r="J407" s="595">
        <f t="shared" si="29"/>
        <v>1516581.8181818181</v>
      </c>
      <c r="K407" s="596">
        <f>302400+13387950+2992050</f>
        <v>16682400</v>
      </c>
      <c r="L407" s="597"/>
    </row>
    <row r="408" spans="1:12" x14ac:dyDescent="0.2">
      <c r="A408" s="316">
        <v>47</v>
      </c>
      <c r="B408" s="591" t="s">
        <v>2014</v>
      </c>
      <c r="C408" s="598" t="s">
        <v>2422</v>
      </c>
      <c r="D408" s="586"/>
      <c r="E408" s="587" t="s">
        <v>970</v>
      </c>
      <c r="F408" s="588" t="s">
        <v>971</v>
      </c>
      <c r="G408" s="653"/>
      <c r="H408" s="599">
        <v>44622</v>
      </c>
      <c r="I408" s="595">
        <f t="shared" si="28"/>
        <v>4570045.4545454541</v>
      </c>
      <c r="J408" s="595">
        <f t="shared" si="29"/>
        <v>457004.54545454541</v>
      </c>
      <c r="K408" s="596">
        <f>1744050+700000+2583000</f>
        <v>5027050</v>
      </c>
      <c r="L408" s="597"/>
    </row>
    <row r="409" spans="1:12" x14ac:dyDescent="0.2">
      <c r="A409" s="316">
        <v>48</v>
      </c>
      <c r="B409" s="591" t="s">
        <v>2015</v>
      </c>
      <c r="C409" s="598" t="s">
        <v>2391</v>
      </c>
      <c r="D409" s="586"/>
      <c r="E409" s="587" t="s">
        <v>979</v>
      </c>
      <c r="F409" s="588" t="s">
        <v>980</v>
      </c>
      <c r="G409" s="653"/>
      <c r="H409" s="599">
        <v>44622</v>
      </c>
      <c r="I409" s="595">
        <f t="shared" si="28"/>
        <v>10914600</v>
      </c>
      <c r="J409" s="595">
        <f t="shared" si="29"/>
        <v>1091460</v>
      </c>
      <c r="K409" s="596">
        <f>3219840+5711720+3074500</f>
        <v>12006060</v>
      </c>
      <c r="L409" s="597"/>
    </row>
    <row r="410" spans="1:12" x14ac:dyDescent="0.2">
      <c r="A410" s="316">
        <v>49</v>
      </c>
      <c r="B410" s="591" t="s">
        <v>2016</v>
      </c>
      <c r="C410" s="598" t="s">
        <v>2398</v>
      </c>
      <c r="D410" s="586"/>
      <c r="E410" s="587" t="s">
        <v>978</v>
      </c>
      <c r="F410" s="588" t="s">
        <v>590</v>
      </c>
      <c r="G410" s="653"/>
      <c r="H410" s="599">
        <v>44622</v>
      </c>
      <c r="I410" s="595">
        <f t="shared" si="28"/>
        <v>16836218.18181818</v>
      </c>
      <c r="J410" s="595">
        <f t="shared" si="29"/>
        <v>1683621.8181818181</v>
      </c>
      <c r="K410" s="596">
        <f>6279840+6120000+6120000</f>
        <v>18519840</v>
      </c>
      <c r="L410" s="597"/>
    </row>
    <row r="411" spans="1:12" x14ac:dyDescent="0.2">
      <c r="A411" s="316">
        <v>50</v>
      </c>
      <c r="B411" s="591" t="s">
        <v>2017</v>
      </c>
      <c r="C411" s="598" t="s">
        <v>2563</v>
      </c>
      <c r="D411" s="586"/>
      <c r="E411" s="587" t="s">
        <v>1083</v>
      </c>
      <c r="F411" s="588" t="s">
        <v>1084</v>
      </c>
      <c r="G411" s="653"/>
      <c r="H411" s="599">
        <v>44622</v>
      </c>
      <c r="I411" s="595">
        <f t="shared" si="28"/>
        <v>5225803.6363636358</v>
      </c>
      <c r="J411" s="595">
        <f t="shared" si="29"/>
        <v>522580.36363636359</v>
      </c>
      <c r="K411" s="596">
        <f>3276000+2472384</f>
        <v>5748384</v>
      </c>
      <c r="L411" s="597"/>
    </row>
    <row r="412" spans="1:12" x14ac:dyDescent="0.2">
      <c r="A412" s="316">
        <v>51</v>
      </c>
      <c r="B412" s="591" t="s">
        <v>2018</v>
      </c>
      <c r="C412" s="598" t="s">
        <v>2378</v>
      </c>
      <c r="D412" s="586"/>
      <c r="E412" s="587" t="s">
        <v>992</v>
      </c>
      <c r="F412" s="588" t="s">
        <v>673</v>
      </c>
      <c r="G412" s="653"/>
      <c r="H412" s="599">
        <v>44622</v>
      </c>
      <c r="I412" s="595">
        <f t="shared" si="28"/>
        <v>9870318.1818181816</v>
      </c>
      <c r="J412" s="595">
        <f t="shared" si="29"/>
        <v>987031.81818181823</v>
      </c>
      <c r="K412" s="596">
        <f>3276000+1793750+5787600</f>
        <v>10857350</v>
      </c>
      <c r="L412" s="597"/>
    </row>
    <row r="413" spans="1:12" x14ac:dyDescent="0.2">
      <c r="A413" s="316">
        <v>52</v>
      </c>
      <c r="B413" s="591" t="s">
        <v>2019</v>
      </c>
      <c r="C413" s="598" t="s">
        <v>2388</v>
      </c>
      <c r="D413" s="586"/>
      <c r="E413" s="587" t="s">
        <v>981</v>
      </c>
      <c r="F413" s="588" t="s">
        <v>980</v>
      </c>
      <c r="G413" s="653"/>
      <c r="H413" s="599">
        <v>44622</v>
      </c>
      <c r="I413" s="595">
        <f t="shared" si="28"/>
        <v>28684763.636363633</v>
      </c>
      <c r="J413" s="595">
        <f t="shared" si="29"/>
        <v>2868476.3636363633</v>
      </c>
      <c r="K413" s="596">
        <f>6439680+6439680+18673880</f>
        <v>31553240</v>
      </c>
      <c r="L413" s="597"/>
    </row>
    <row r="414" spans="1:12" x14ac:dyDescent="0.2">
      <c r="A414" s="316">
        <v>53</v>
      </c>
      <c r="B414" s="591" t="s">
        <v>2020</v>
      </c>
      <c r="C414" s="598" t="s">
        <v>2501</v>
      </c>
      <c r="D414" s="586"/>
      <c r="E414" s="587" t="s">
        <v>976</v>
      </c>
      <c r="F414" s="588" t="s">
        <v>977</v>
      </c>
      <c r="G414" s="653"/>
      <c r="H414" s="599">
        <v>44624</v>
      </c>
      <c r="I414" s="595">
        <f t="shared" si="28"/>
        <v>8541818.1818181816</v>
      </c>
      <c r="J414" s="595">
        <f t="shared" si="29"/>
        <v>854181.81818181823</v>
      </c>
      <c r="K414" s="596">
        <f>3369600+3369600+2656800</f>
        <v>9396000</v>
      </c>
      <c r="L414" s="597"/>
    </row>
    <row r="415" spans="1:12" x14ac:dyDescent="0.2">
      <c r="A415" s="316">
        <v>54</v>
      </c>
      <c r="B415" s="591" t="s">
        <v>2021</v>
      </c>
      <c r="C415" s="598" t="s">
        <v>2399</v>
      </c>
      <c r="D415" s="586"/>
      <c r="E415" s="593" t="s">
        <v>1054</v>
      </c>
      <c r="F415" s="593" t="s">
        <v>1055</v>
      </c>
      <c r="G415" s="653"/>
      <c r="H415" s="594">
        <v>44624</v>
      </c>
      <c r="I415" s="595">
        <f t="shared" si="28"/>
        <v>4485681.8181818174</v>
      </c>
      <c r="J415" s="595">
        <f t="shared" si="29"/>
        <v>448568.18181818177</v>
      </c>
      <c r="K415" s="596">
        <f>1615950+920160+2398140</f>
        <v>4934250</v>
      </c>
      <c r="L415" s="597"/>
    </row>
    <row r="416" spans="1:12" x14ac:dyDescent="0.2">
      <c r="A416" s="316">
        <v>55</v>
      </c>
      <c r="B416" s="591" t="s">
        <v>2022</v>
      </c>
      <c r="C416" s="598" t="s">
        <v>2401</v>
      </c>
      <c r="D416" s="586"/>
      <c r="E416" s="587" t="s">
        <v>1727</v>
      </c>
      <c r="F416" s="588" t="s">
        <v>987</v>
      </c>
      <c r="G416" s="653"/>
      <c r="H416" s="599">
        <v>44624</v>
      </c>
      <c r="I416" s="595">
        <f t="shared" si="28"/>
        <v>4155136.3636363633</v>
      </c>
      <c r="J416" s="595">
        <f t="shared" si="29"/>
        <v>415513.63636363635</v>
      </c>
      <c r="K416" s="596">
        <f>1370250+1701000+1499400</f>
        <v>4570650</v>
      </c>
      <c r="L416" s="597"/>
    </row>
    <row r="417" spans="1:12" x14ac:dyDescent="0.2">
      <c r="A417" s="316">
        <v>56</v>
      </c>
      <c r="B417" s="591" t="s">
        <v>2023</v>
      </c>
      <c r="C417" s="598" t="s">
        <v>2373</v>
      </c>
      <c r="D417" s="586"/>
      <c r="E417" s="587" t="s">
        <v>1849</v>
      </c>
      <c r="F417" s="588" t="s">
        <v>620</v>
      </c>
      <c r="G417" s="653"/>
      <c r="H417" s="599">
        <v>44624</v>
      </c>
      <c r="I417" s="595">
        <f t="shared" si="28"/>
        <v>3359045.4545454541</v>
      </c>
      <c r="J417" s="595">
        <f t="shared" si="29"/>
        <v>335904.54545454541</v>
      </c>
      <c r="K417" s="596">
        <v>3694950</v>
      </c>
      <c r="L417" s="597"/>
    </row>
    <row r="418" spans="1:12" x14ac:dyDescent="0.2">
      <c r="A418" s="316">
        <v>57</v>
      </c>
      <c r="B418" s="591" t="s">
        <v>2024</v>
      </c>
      <c r="C418" s="598" t="s">
        <v>2374</v>
      </c>
      <c r="D418" s="586"/>
      <c r="E418" s="601" t="s">
        <v>1020</v>
      </c>
      <c r="F418" s="588" t="s">
        <v>984</v>
      </c>
      <c r="G418" s="653"/>
      <c r="H418" s="599">
        <v>44624</v>
      </c>
      <c r="I418" s="595">
        <f t="shared" si="28"/>
        <v>2734090.9090909087</v>
      </c>
      <c r="J418" s="595">
        <f t="shared" si="29"/>
        <v>273409.09090909088</v>
      </c>
      <c r="K418" s="596">
        <v>3007500</v>
      </c>
      <c r="L418" s="597"/>
    </row>
    <row r="419" spans="1:12" x14ac:dyDescent="0.2">
      <c r="A419" s="316">
        <v>58</v>
      </c>
      <c r="B419" s="591" t="s">
        <v>2025</v>
      </c>
      <c r="C419" s="598" t="s">
        <v>2379</v>
      </c>
      <c r="D419" s="586"/>
      <c r="E419" s="587" t="s">
        <v>995</v>
      </c>
      <c r="F419" s="588" t="s">
        <v>996</v>
      </c>
      <c r="G419" s="653"/>
      <c r="H419" s="599">
        <v>44624</v>
      </c>
      <c r="I419" s="595">
        <f t="shared" si="28"/>
        <v>10259018.181818182</v>
      </c>
      <c r="J419" s="595">
        <f t="shared" si="29"/>
        <v>1025901.8181818182</v>
      </c>
      <c r="K419" s="596">
        <f>3110400+3110400+5064120</f>
        <v>11284920</v>
      </c>
      <c r="L419" s="597"/>
    </row>
    <row r="420" spans="1:12" x14ac:dyDescent="0.2">
      <c r="A420" s="316">
        <v>59</v>
      </c>
      <c r="B420" s="591" t="s">
        <v>2026</v>
      </c>
      <c r="C420" s="598" t="s">
        <v>2502</v>
      </c>
      <c r="D420" s="586"/>
      <c r="E420" s="587" t="s">
        <v>1007</v>
      </c>
      <c r="F420" s="588" t="s">
        <v>1008</v>
      </c>
      <c r="G420" s="653"/>
      <c r="H420" s="599">
        <v>44624</v>
      </c>
      <c r="I420" s="595">
        <f t="shared" si="28"/>
        <v>4935763.6363636358</v>
      </c>
      <c r="J420" s="595">
        <f t="shared" si="29"/>
        <v>493576.36363636359</v>
      </c>
      <c r="K420" s="596">
        <f>1709280+1867860+1852200</f>
        <v>5429340</v>
      </c>
      <c r="L420" s="597"/>
    </row>
    <row r="421" spans="1:12" x14ac:dyDescent="0.2">
      <c r="A421" s="316">
        <v>60</v>
      </c>
      <c r="B421" s="591" t="s">
        <v>2027</v>
      </c>
      <c r="C421" s="598" t="s">
        <v>2410</v>
      </c>
      <c r="D421" s="586"/>
      <c r="E421" s="587" t="s">
        <v>1009</v>
      </c>
      <c r="F421" s="588" t="s">
        <v>1008</v>
      </c>
      <c r="G421" s="653"/>
      <c r="H421" s="599">
        <v>44624</v>
      </c>
      <c r="I421" s="595">
        <f t="shared" si="28"/>
        <v>8233639.9999999991</v>
      </c>
      <c r="J421" s="595">
        <f t="shared" si="29"/>
        <v>823364</v>
      </c>
      <c r="K421" s="596">
        <f>2538720+550572+5967712</f>
        <v>9057004</v>
      </c>
      <c r="L421" s="597"/>
    </row>
    <row r="422" spans="1:12" x14ac:dyDescent="0.2">
      <c r="A422" s="316">
        <v>61</v>
      </c>
      <c r="B422" s="591" t="s">
        <v>2028</v>
      </c>
      <c r="C422" s="598" t="s">
        <v>2547</v>
      </c>
      <c r="D422" s="586"/>
      <c r="E422" s="587" t="s">
        <v>1021</v>
      </c>
      <c r="F422" s="588" t="s">
        <v>1022</v>
      </c>
      <c r="G422" s="653"/>
      <c r="H422" s="599">
        <v>44628</v>
      </c>
      <c r="I422" s="595">
        <f t="shared" si="28"/>
        <v>5033636.3636363633</v>
      </c>
      <c r="J422" s="595">
        <f t="shared" si="29"/>
        <v>503363.63636363635</v>
      </c>
      <c r="K422" s="596">
        <f>1324800+596360+3615840</f>
        <v>5537000</v>
      </c>
      <c r="L422" s="597"/>
    </row>
    <row r="423" spans="1:12" x14ac:dyDescent="0.2">
      <c r="A423" s="316">
        <v>62</v>
      </c>
      <c r="B423" s="591" t="s">
        <v>2029</v>
      </c>
      <c r="C423" s="598" t="s">
        <v>2375</v>
      </c>
      <c r="D423" s="586"/>
      <c r="E423" s="587" t="s">
        <v>1246</v>
      </c>
      <c r="F423" s="588" t="s">
        <v>579</v>
      </c>
      <c r="G423" s="653"/>
      <c r="H423" s="599">
        <v>44625</v>
      </c>
      <c r="I423" s="595">
        <f t="shared" si="28"/>
        <v>1404000</v>
      </c>
      <c r="J423" s="595">
        <f t="shared" si="29"/>
        <v>140400</v>
      </c>
      <c r="K423" s="596">
        <v>1544400</v>
      </c>
      <c r="L423" s="597"/>
    </row>
    <row r="424" spans="1:12" x14ac:dyDescent="0.2">
      <c r="A424" s="316">
        <v>63</v>
      </c>
      <c r="B424" s="591" t="s">
        <v>2030</v>
      </c>
      <c r="C424" s="598" t="s">
        <v>2385</v>
      </c>
      <c r="D424" s="586"/>
      <c r="E424" s="587" t="s">
        <v>1016</v>
      </c>
      <c r="F424" s="588" t="s">
        <v>1017</v>
      </c>
      <c r="G424" s="653"/>
      <c r="H424" s="599">
        <v>44625</v>
      </c>
      <c r="I424" s="595">
        <f t="shared" si="28"/>
        <v>6890386.3636363633</v>
      </c>
      <c r="J424" s="595">
        <f t="shared" si="29"/>
        <v>689038.63636363635</v>
      </c>
      <c r="K424" s="596">
        <f>5677875+174300+1727250</f>
        <v>7579425</v>
      </c>
      <c r="L424" s="597"/>
    </row>
    <row r="425" spans="1:12" x14ac:dyDescent="0.2">
      <c r="A425" s="316">
        <v>64</v>
      </c>
      <c r="B425" s="591" t="s">
        <v>2031</v>
      </c>
      <c r="C425" s="598" t="s">
        <v>2560</v>
      </c>
      <c r="D425" s="586"/>
      <c r="E425" s="587" t="s">
        <v>992</v>
      </c>
      <c r="F425" s="588" t="s">
        <v>583</v>
      </c>
      <c r="G425" s="653"/>
      <c r="H425" s="599">
        <v>44625</v>
      </c>
      <c r="I425" s="595">
        <f t="shared" si="28"/>
        <v>5015945.4545454541</v>
      </c>
      <c r="J425" s="595">
        <f t="shared" si="29"/>
        <v>501594.54545454541</v>
      </c>
      <c r="K425" s="596">
        <f>1696500+3821040</f>
        <v>5517540</v>
      </c>
      <c r="L425" s="597"/>
    </row>
    <row r="426" spans="1:12" x14ac:dyDescent="0.2">
      <c r="A426" s="316">
        <v>65</v>
      </c>
      <c r="B426" s="591" t="s">
        <v>2032</v>
      </c>
      <c r="C426" s="598" t="s">
        <v>2537</v>
      </c>
      <c r="D426" s="586"/>
      <c r="E426" s="587" t="s">
        <v>1005</v>
      </c>
      <c r="F426" s="588" t="s">
        <v>996</v>
      </c>
      <c r="G426" s="653"/>
      <c r="H426" s="599">
        <v>44625</v>
      </c>
      <c r="I426" s="595">
        <f t="shared" si="28"/>
        <v>2260145.4545454546</v>
      </c>
      <c r="J426" s="595">
        <f t="shared" si="29"/>
        <v>226014.54545454547</v>
      </c>
      <c r="K426" s="596">
        <f>766260+1719900</f>
        <v>2486160</v>
      </c>
      <c r="L426" s="597"/>
    </row>
    <row r="427" spans="1:12" x14ac:dyDescent="0.2">
      <c r="A427" s="316">
        <v>66</v>
      </c>
      <c r="B427" s="591" t="s">
        <v>2033</v>
      </c>
      <c r="C427" s="598" t="s">
        <v>2411</v>
      </c>
      <c r="D427" s="586"/>
      <c r="E427" s="587" t="s">
        <v>2377</v>
      </c>
      <c r="F427" s="588" t="s">
        <v>1798</v>
      </c>
      <c r="G427" s="653"/>
      <c r="H427" s="599">
        <v>44625</v>
      </c>
      <c r="I427" s="595">
        <f t="shared" ref="I427:I521" si="30">K427/1.1</f>
        <v>4971450</v>
      </c>
      <c r="J427" s="595">
        <f t="shared" ref="J427:J521" si="31">I427*10%</f>
        <v>497145</v>
      </c>
      <c r="K427" s="596">
        <f>5434275+34320</f>
        <v>5468595</v>
      </c>
      <c r="L427" s="597"/>
    </row>
    <row r="428" spans="1:12" x14ac:dyDescent="0.2">
      <c r="A428" s="316">
        <v>67</v>
      </c>
      <c r="B428" s="591" t="s">
        <v>2034</v>
      </c>
      <c r="C428" s="598" t="s">
        <v>2542</v>
      </c>
      <c r="D428" s="586"/>
      <c r="E428" s="587" t="s">
        <v>1006</v>
      </c>
      <c r="F428" s="588" t="s">
        <v>984</v>
      </c>
      <c r="G428" s="653"/>
      <c r="H428" s="599">
        <v>44625</v>
      </c>
      <c r="I428" s="595">
        <f t="shared" si="30"/>
        <v>10145227.272727272</v>
      </c>
      <c r="J428" s="595">
        <f t="shared" si="31"/>
        <v>1014522.7272727272</v>
      </c>
      <c r="K428" s="596">
        <f>999600+4646250+5513900</f>
        <v>11159750</v>
      </c>
      <c r="L428" s="597"/>
    </row>
    <row r="429" spans="1:12" x14ac:dyDescent="0.2">
      <c r="A429" s="316">
        <v>68</v>
      </c>
      <c r="B429" s="591" t="s">
        <v>2035</v>
      </c>
      <c r="C429" s="598" t="s">
        <v>2543</v>
      </c>
      <c r="D429" s="586"/>
      <c r="E429" s="587" t="s">
        <v>1010</v>
      </c>
      <c r="F429" s="588" t="s">
        <v>984</v>
      </c>
      <c r="G429" s="653"/>
      <c r="H429" s="599">
        <v>44625</v>
      </c>
      <c r="I429" s="595">
        <f t="shared" si="30"/>
        <v>322036.36363636359</v>
      </c>
      <c r="J429" s="595">
        <f t="shared" si="31"/>
        <v>32203.63636363636</v>
      </c>
      <c r="K429" s="596">
        <f>95040+259200</f>
        <v>354240</v>
      </c>
      <c r="L429" s="597"/>
    </row>
    <row r="430" spans="1:12" x14ac:dyDescent="0.2">
      <c r="A430" s="316">
        <v>69</v>
      </c>
      <c r="B430" s="591" t="s">
        <v>2036</v>
      </c>
      <c r="C430" s="598" t="s">
        <v>2412</v>
      </c>
      <c r="D430" s="586"/>
      <c r="E430" s="587" t="s">
        <v>992</v>
      </c>
      <c r="F430" s="588" t="s">
        <v>993</v>
      </c>
      <c r="G430" s="653"/>
      <c r="H430" s="599">
        <v>44625</v>
      </c>
      <c r="I430" s="595">
        <f t="shared" si="30"/>
        <v>2531776.3636363633</v>
      </c>
      <c r="J430" s="595">
        <f t="shared" si="31"/>
        <v>253177.63636363635</v>
      </c>
      <c r="K430" s="596">
        <f>872958+656016+1255980</f>
        <v>2784954</v>
      </c>
      <c r="L430" s="597"/>
    </row>
    <row r="431" spans="1:12" x14ac:dyDescent="0.2">
      <c r="A431" s="316">
        <v>70</v>
      </c>
      <c r="B431" s="591" t="s">
        <v>2037</v>
      </c>
      <c r="C431" s="598" t="s">
        <v>2380</v>
      </c>
      <c r="D431" s="586"/>
      <c r="E431" s="587" t="s">
        <v>1029</v>
      </c>
      <c r="F431" s="588" t="s">
        <v>966</v>
      </c>
      <c r="G431" s="653"/>
      <c r="H431" s="599">
        <v>44622</v>
      </c>
      <c r="I431" s="595">
        <f t="shared" si="30"/>
        <v>9760181.8181818165</v>
      </c>
      <c r="J431" s="595">
        <f t="shared" si="31"/>
        <v>976018.18181818165</v>
      </c>
      <c r="K431" s="596">
        <f>4309200+5544000+883000</f>
        <v>10736200</v>
      </c>
      <c r="L431" s="597"/>
    </row>
    <row r="432" spans="1:12" x14ac:dyDescent="0.2">
      <c r="A432" s="316">
        <v>71</v>
      </c>
      <c r="B432" s="591" t="s">
        <v>2038</v>
      </c>
      <c r="C432" s="598" t="s">
        <v>2580</v>
      </c>
      <c r="D432" s="586"/>
      <c r="E432" s="587" t="s">
        <v>965</v>
      </c>
      <c r="F432" s="588" t="s">
        <v>966</v>
      </c>
      <c r="G432" s="653"/>
      <c r="H432" s="599">
        <v>44624</v>
      </c>
      <c r="I432" s="595">
        <f t="shared" si="30"/>
        <v>28798409.09090909</v>
      </c>
      <c r="J432" s="595">
        <f t="shared" si="31"/>
        <v>2879840.9090909092</v>
      </c>
      <c r="K432" s="596">
        <f>8880900+15010550+7786800</f>
        <v>31678250</v>
      </c>
      <c r="L432" s="597"/>
    </row>
    <row r="433" spans="1:12" x14ac:dyDescent="0.2">
      <c r="A433" s="316">
        <v>72</v>
      </c>
      <c r="B433" s="591" t="s">
        <v>2039</v>
      </c>
      <c r="C433" s="598" t="s">
        <v>2383</v>
      </c>
      <c r="D433" s="586"/>
      <c r="E433" s="587" t="s">
        <v>972</v>
      </c>
      <c r="F433" s="588" t="s">
        <v>966</v>
      </c>
      <c r="G433" s="653"/>
      <c r="H433" s="599">
        <v>44625</v>
      </c>
      <c r="I433" s="595">
        <f t="shared" si="30"/>
        <v>8450590.9090909082</v>
      </c>
      <c r="J433" s="595">
        <f t="shared" si="31"/>
        <v>845059.09090909082</v>
      </c>
      <c r="K433" s="596">
        <f>1927800+2756250+4611600</f>
        <v>9295650</v>
      </c>
      <c r="L433" s="597"/>
    </row>
    <row r="434" spans="1:12" x14ac:dyDescent="0.2">
      <c r="A434" s="316">
        <v>73</v>
      </c>
      <c r="B434" s="591" t="s">
        <v>2040</v>
      </c>
      <c r="C434" s="598" t="s">
        <v>2581</v>
      </c>
      <c r="D434" s="586"/>
      <c r="E434" s="587" t="s">
        <v>969</v>
      </c>
      <c r="F434" s="588" t="s">
        <v>966</v>
      </c>
      <c r="G434" s="653"/>
      <c r="H434" s="599">
        <v>44625</v>
      </c>
      <c r="I434" s="595">
        <f t="shared" si="30"/>
        <v>24231613.636363633</v>
      </c>
      <c r="J434" s="595">
        <f t="shared" si="31"/>
        <v>2423161.3636363633</v>
      </c>
      <c r="K434" s="596">
        <f>12840975+7749000+6064800</f>
        <v>26654775</v>
      </c>
      <c r="L434" s="597"/>
    </row>
    <row r="435" spans="1:12" x14ac:dyDescent="0.2">
      <c r="A435" s="316">
        <v>74</v>
      </c>
      <c r="B435" s="591" t="s">
        <v>2041</v>
      </c>
      <c r="C435" s="598" t="s">
        <v>2381</v>
      </c>
      <c r="D435" s="586"/>
      <c r="E435" s="593" t="s">
        <v>1315</v>
      </c>
      <c r="F435" s="593" t="s">
        <v>966</v>
      </c>
      <c r="G435" s="653"/>
      <c r="H435" s="594">
        <v>44631</v>
      </c>
      <c r="I435" s="595">
        <f t="shared" si="30"/>
        <v>14678472.727272727</v>
      </c>
      <c r="J435" s="595">
        <f t="shared" si="31"/>
        <v>1467847.2727272727</v>
      </c>
      <c r="K435" s="596">
        <f>11609600+4536720</f>
        <v>16146320</v>
      </c>
      <c r="L435" s="597"/>
    </row>
    <row r="436" spans="1:12" x14ac:dyDescent="0.2">
      <c r="A436" s="316">
        <v>75</v>
      </c>
      <c r="B436" s="591" t="s">
        <v>2042</v>
      </c>
      <c r="C436" s="598" t="s">
        <v>2549</v>
      </c>
      <c r="D436" s="586"/>
      <c r="E436" s="587" t="s">
        <v>1068</v>
      </c>
      <c r="F436" s="588" t="s">
        <v>1058</v>
      </c>
      <c r="G436" s="653"/>
      <c r="H436" s="599">
        <v>44631</v>
      </c>
      <c r="I436" s="595">
        <f t="shared" si="30"/>
        <v>6947181.8181818174</v>
      </c>
      <c r="J436" s="595">
        <f t="shared" si="31"/>
        <v>694718.18181818177</v>
      </c>
      <c r="K436" s="596">
        <f>3175200+1102500+3364200</f>
        <v>7641900</v>
      </c>
      <c r="L436" s="597"/>
    </row>
    <row r="437" spans="1:12" x14ac:dyDescent="0.2">
      <c r="A437" s="316">
        <v>76</v>
      </c>
      <c r="B437" s="591" t="s">
        <v>2043</v>
      </c>
      <c r="C437" s="598" t="s">
        <v>2475</v>
      </c>
      <c r="D437" s="586"/>
      <c r="E437" s="587" t="s">
        <v>992</v>
      </c>
      <c r="F437" s="588" t="s">
        <v>1075</v>
      </c>
      <c r="G437" s="653"/>
      <c r="H437" s="599">
        <v>44631</v>
      </c>
      <c r="I437" s="595">
        <f t="shared" si="30"/>
        <v>12305127.272727272</v>
      </c>
      <c r="J437" s="595">
        <f t="shared" si="31"/>
        <v>1230512.7272727273</v>
      </c>
      <c r="K437" s="596">
        <f>7987680+3612960+1935000</f>
        <v>13535640</v>
      </c>
      <c r="L437" s="597"/>
    </row>
    <row r="438" spans="1:12" x14ac:dyDescent="0.2">
      <c r="A438" s="316">
        <v>77</v>
      </c>
      <c r="B438" s="591" t="s">
        <v>2044</v>
      </c>
      <c r="C438" s="598" t="s">
        <v>2417</v>
      </c>
      <c r="D438" s="586"/>
      <c r="E438" s="587" t="s">
        <v>1688</v>
      </c>
      <c r="F438" s="588" t="s">
        <v>1689</v>
      </c>
      <c r="G438" s="653"/>
      <c r="H438" s="599">
        <v>44630</v>
      </c>
      <c r="I438" s="595">
        <f t="shared" si="30"/>
        <v>463418.18181818177</v>
      </c>
      <c r="J438" s="595">
        <f t="shared" si="31"/>
        <v>46341.818181818177</v>
      </c>
      <c r="K438" s="596">
        <f>129600+380160</f>
        <v>509760</v>
      </c>
      <c r="L438" s="597"/>
    </row>
    <row r="439" spans="1:12" x14ac:dyDescent="0.2">
      <c r="A439" s="316">
        <v>78</v>
      </c>
      <c r="B439" s="591" t="s">
        <v>2045</v>
      </c>
      <c r="C439" s="598" t="s">
        <v>2396</v>
      </c>
      <c r="D439" s="586"/>
      <c r="E439" s="587" t="s">
        <v>992</v>
      </c>
      <c r="F439" s="588" t="s">
        <v>673</v>
      </c>
      <c r="G439" s="653"/>
      <c r="H439" s="599">
        <v>44627</v>
      </c>
      <c r="I439" s="595">
        <f t="shared" si="30"/>
        <v>8155954.5454545449</v>
      </c>
      <c r="J439" s="595">
        <f t="shared" si="31"/>
        <v>815595.45454545459</v>
      </c>
      <c r="K439" s="596">
        <f>1295000+903000+6773550</f>
        <v>8971550</v>
      </c>
      <c r="L439" s="597"/>
    </row>
    <row r="440" spans="1:12" x14ac:dyDescent="0.2">
      <c r="A440" s="316">
        <v>79</v>
      </c>
      <c r="B440" s="591" t="s">
        <v>2046</v>
      </c>
      <c r="C440" s="598" t="s">
        <v>2384</v>
      </c>
      <c r="D440" s="586"/>
      <c r="E440" s="587" t="s">
        <v>1062</v>
      </c>
      <c r="F440" s="588" t="s">
        <v>966</v>
      </c>
      <c r="G440" s="653"/>
      <c r="H440" s="599">
        <v>44635</v>
      </c>
      <c r="I440" s="595">
        <f t="shared" si="30"/>
        <v>10995886.363636363</v>
      </c>
      <c r="J440" s="595">
        <f t="shared" si="31"/>
        <v>1099588.6363636365</v>
      </c>
      <c r="K440" s="596">
        <f>5922000+2191875+3981600</f>
        <v>12095475</v>
      </c>
      <c r="L440" s="597"/>
    </row>
    <row r="441" spans="1:12" x14ac:dyDescent="0.2">
      <c r="A441" s="316">
        <v>80</v>
      </c>
      <c r="B441" s="591" t="s">
        <v>2047</v>
      </c>
      <c r="C441" s="598" t="s">
        <v>2382</v>
      </c>
      <c r="D441" s="586"/>
      <c r="E441" s="587" t="s">
        <v>1317</v>
      </c>
      <c r="F441" s="588" t="s">
        <v>966</v>
      </c>
      <c r="G441" s="653"/>
      <c r="H441" s="599">
        <v>44635</v>
      </c>
      <c r="I441" s="595">
        <f t="shared" si="30"/>
        <v>5611136.3636363633</v>
      </c>
      <c r="J441" s="595">
        <f t="shared" si="31"/>
        <v>561113.63636363635</v>
      </c>
      <c r="K441" s="596">
        <v>6172250</v>
      </c>
      <c r="L441" s="597"/>
    </row>
    <row r="442" spans="1:12" x14ac:dyDescent="0.2">
      <c r="A442" s="316">
        <v>81</v>
      </c>
      <c r="B442" s="591" t="s">
        <v>2048</v>
      </c>
      <c r="C442" s="598" t="s">
        <v>2497</v>
      </c>
      <c r="D442" s="586"/>
      <c r="E442" s="587" t="s">
        <v>1126</v>
      </c>
      <c r="F442" s="588" t="s">
        <v>1127</v>
      </c>
      <c r="G442" s="653"/>
      <c r="H442" s="599">
        <v>44636</v>
      </c>
      <c r="I442" s="595">
        <f t="shared" si="30"/>
        <v>13178772.727272727</v>
      </c>
      <c r="J442" s="595">
        <f t="shared" si="31"/>
        <v>1317877.2727272727</v>
      </c>
      <c r="K442" s="596">
        <f>10451700+1568700+2476250</f>
        <v>14496650</v>
      </c>
      <c r="L442" s="597"/>
    </row>
    <row r="443" spans="1:12" x14ac:dyDescent="0.2">
      <c r="A443" s="316">
        <v>82</v>
      </c>
      <c r="B443" s="591" t="s">
        <v>2049</v>
      </c>
      <c r="C443" s="598" t="s">
        <v>2389</v>
      </c>
      <c r="D443" s="586"/>
      <c r="E443" s="587" t="s">
        <v>1226</v>
      </c>
      <c r="F443" s="588" t="s">
        <v>1127</v>
      </c>
      <c r="G443" s="653"/>
      <c r="H443" s="599">
        <v>44636</v>
      </c>
      <c r="I443" s="595">
        <f t="shared" si="30"/>
        <v>345454.54545454541</v>
      </c>
      <c r="J443" s="595">
        <f t="shared" si="31"/>
        <v>34545.454545454544</v>
      </c>
      <c r="K443" s="596">
        <v>380000</v>
      </c>
      <c r="L443" s="597"/>
    </row>
    <row r="444" spans="1:12" x14ac:dyDescent="0.2">
      <c r="A444" s="316">
        <v>83</v>
      </c>
      <c r="B444" s="591" t="s">
        <v>2050</v>
      </c>
      <c r="C444" s="598" t="s">
        <v>2390</v>
      </c>
      <c r="D444" s="586"/>
      <c r="E444" s="587" t="s">
        <v>992</v>
      </c>
      <c r="F444" s="588" t="s">
        <v>1033</v>
      </c>
      <c r="G444" s="653"/>
      <c r="H444" s="599">
        <v>44641</v>
      </c>
      <c r="I444" s="595">
        <f t="shared" si="30"/>
        <v>1379454.5454545454</v>
      </c>
      <c r="J444" s="595">
        <f t="shared" si="31"/>
        <v>137945.45454545456</v>
      </c>
      <c r="K444" s="596">
        <v>1517400</v>
      </c>
      <c r="L444" s="597"/>
    </row>
    <row r="445" spans="1:12" x14ac:dyDescent="0.2">
      <c r="A445" s="316">
        <v>84</v>
      </c>
      <c r="B445" s="591" t="s">
        <v>2051</v>
      </c>
      <c r="C445" s="598" t="s">
        <v>2392</v>
      </c>
      <c r="D445" s="586"/>
      <c r="E445" s="587" t="s">
        <v>1238</v>
      </c>
      <c r="F445" s="588" t="s">
        <v>1042</v>
      </c>
      <c r="G445" s="653"/>
      <c r="H445" s="599">
        <v>44637</v>
      </c>
      <c r="I445" s="595">
        <f t="shared" si="30"/>
        <v>1947272.7272727271</v>
      </c>
      <c r="J445" s="595">
        <f t="shared" si="31"/>
        <v>194727.27272727271</v>
      </c>
      <c r="K445" s="596">
        <v>2142000</v>
      </c>
      <c r="L445" s="597"/>
    </row>
    <row r="446" spans="1:12" x14ac:dyDescent="0.2">
      <c r="A446" s="316">
        <v>85</v>
      </c>
      <c r="B446" s="591" t="s">
        <v>2052</v>
      </c>
      <c r="C446" s="598" t="s">
        <v>2539</v>
      </c>
      <c r="D446" s="586"/>
      <c r="E446" s="593" t="s">
        <v>2393</v>
      </c>
      <c r="F446" s="593" t="s">
        <v>984</v>
      </c>
      <c r="G446" s="653"/>
      <c r="H446" s="594">
        <v>44625</v>
      </c>
      <c r="I446" s="595">
        <f t="shared" si="30"/>
        <v>3828481.8181818179</v>
      </c>
      <c r="J446" s="595">
        <f t="shared" si="31"/>
        <v>382848.18181818182</v>
      </c>
      <c r="K446" s="596">
        <f>2982290+1229040</f>
        <v>4211330</v>
      </c>
      <c r="L446" s="597"/>
    </row>
    <row r="447" spans="1:12" x14ac:dyDescent="0.2">
      <c r="A447" s="316">
        <v>86</v>
      </c>
      <c r="B447" s="591" t="s">
        <v>2053</v>
      </c>
      <c r="C447" s="598" t="s">
        <v>2394</v>
      </c>
      <c r="D447" s="586"/>
      <c r="E447" s="593" t="s">
        <v>2395</v>
      </c>
      <c r="F447" s="593" t="s">
        <v>1042</v>
      </c>
      <c r="G447" s="653"/>
      <c r="H447" s="594">
        <v>44627</v>
      </c>
      <c r="I447" s="595">
        <f t="shared" si="30"/>
        <v>414818.18181818177</v>
      </c>
      <c r="J447" s="595">
        <f t="shared" si="31"/>
        <v>41481.818181818177</v>
      </c>
      <c r="K447" s="596">
        <v>456300</v>
      </c>
      <c r="L447" s="597"/>
    </row>
    <row r="448" spans="1:12" x14ac:dyDescent="0.2">
      <c r="A448" s="316">
        <v>87</v>
      </c>
      <c r="B448" s="591" t="s">
        <v>2054</v>
      </c>
      <c r="C448" s="598" t="s">
        <v>2525</v>
      </c>
      <c r="D448" s="586"/>
      <c r="E448" s="587" t="s">
        <v>1014</v>
      </c>
      <c r="F448" s="588" t="s">
        <v>1015</v>
      </c>
      <c r="G448" s="653"/>
      <c r="H448" s="599">
        <v>44627</v>
      </c>
      <c r="I448" s="595">
        <f t="shared" si="30"/>
        <v>10640181.818181816</v>
      </c>
      <c r="J448" s="595">
        <f t="shared" si="31"/>
        <v>1064018.1818181816</v>
      </c>
      <c r="K448" s="596">
        <f>3693600+4641000+3369600</f>
        <v>11704200</v>
      </c>
      <c r="L448" s="597"/>
    </row>
    <row r="449" spans="1:12" x14ac:dyDescent="0.2">
      <c r="A449" s="316">
        <v>88</v>
      </c>
      <c r="B449" s="591" t="s">
        <v>2055</v>
      </c>
      <c r="C449" s="598" t="s">
        <v>2424</v>
      </c>
      <c r="D449" s="586"/>
      <c r="E449" s="587" t="s">
        <v>1082</v>
      </c>
      <c r="F449" s="588" t="s">
        <v>1058</v>
      </c>
      <c r="G449" s="653"/>
      <c r="H449" s="599">
        <v>44627</v>
      </c>
      <c r="I449" s="595">
        <f t="shared" si="30"/>
        <v>5383227.2727272725</v>
      </c>
      <c r="J449" s="595">
        <f t="shared" si="31"/>
        <v>538322.72727272729</v>
      </c>
      <c r="K449" s="596">
        <f>1170750+1050000+3700800</f>
        <v>5921550</v>
      </c>
      <c r="L449" s="597"/>
    </row>
    <row r="450" spans="1:12" x14ac:dyDescent="0.2">
      <c r="A450" s="316">
        <v>89</v>
      </c>
      <c r="B450" s="591" t="s">
        <v>2056</v>
      </c>
      <c r="C450" s="598" t="s">
        <v>2533</v>
      </c>
      <c r="D450" s="586"/>
      <c r="E450" s="587" t="s">
        <v>1016</v>
      </c>
      <c r="F450" s="588" t="s">
        <v>1017</v>
      </c>
      <c r="G450" s="653"/>
      <c r="H450" s="599">
        <v>44627</v>
      </c>
      <c r="I450" s="595">
        <f t="shared" si="30"/>
        <v>5869979.9999999991</v>
      </c>
      <c r="J450" s="595">
        <f t="shared" si="31"/>
        <v>586997.99999999988</v>
      </c>
      <c r="K450" s="596">
        <f>3258853+678125+2520000</f>
        <v>6456978</v>
      </c>
      <c r="L450" s="597"/>
    </row>
    <row r="451" spans="1:12" x14ac:dyDescent="0.2">
      <c r="A451" s="316">
        <v>90</v>
      </c>
      <c r="B451" s="591" t="s">
        <v>2057</v>
      </c>
      <c r="C451" s="598" t="s">
        <v>2425</v>
      </c>
      <c r="D451" s="586"/>
      <c r="E451" s="587" t="s">
        <v>1052</v>
      </c>
      <c r="F451" s="588" t="s">
        <v>1017</v>
      </c>
      <c r="G451" s="653"/>
      <c r="H451" s="599">
        <v>44627</v>
      </c>
      <c r="I451" s="595">
        <f t="shared" si="30"/>
        <v>7409136.3636363633</v>
      </c>
      <c r="J451" s="595">
        <f t="shared" si="31"/>
        <v>740913.63636363635</v>
      </c>
      <c r="K451" s="596">
        <f>6153300+1251250+745500</f>
        <v>8150050</v>
      </c>
      <c r="L451" s="597"/>
    </row>
    <row r="452" spans="1:12" x14ac:dyDescent="0.2">
      <c r="A452" s="316">
        <v>91</v>
      </c>
      <c r="B452" s="591" t="s">
        <v>2058</v>
      </c>
      <c r="C452" s="598" t="s">
        <v>2477</v>
      </c>
      <c r="D452" s="586"/>
      <c r="E452" s="587" t="s">
        <v>1220</v>
      </c>
      <c r="F452" s="588" t="s">
        <v>1221</v>
      </c>
      <c r="G452" s="653"/>
      <c r="H452" s="599">
        <v>44627</v>
      </c>
      <c r="I452" s="595">
        <f t="shared" si="30"/>
        <v>3896836.3636363633</v>
      </c>
      <c r="J452" s="595">
        <f t="shared" si="31"/>
        <v>389683.63636363635</v>
      </c>
      <c r="K452" s="596">
        <f>2656800+1629720</f>
        <v>4286520</v>
      </c>
      <c r="L452" s="597"/>
    </row>
    <row r="453" spans="1:12" x14ac:dyDescent="0.2">
      <c r="A453" s="316">
        <v>92</v>
      </c>
      <c r="B453" s="591" t="s">
        <v>2059</v>
      </c>
      <c r="C453" s="598" t="s">
        <v>2400</v>
      </c>
      <c r="D453" s="586"/>
      <c r="E453" s="587" t="s">
        <v>1063</v>
      </c>
      <c r="F453" s="588" t="s">
        <v>993</v>
      </c>
      <c r="G453" s="653"/>
      <c r="H453" s="599">
        <v>44627</v>
      </c>
      <c r="I453" s="595">
        <f t="shared" si="30"/>
        <v>1935818.1818181816</v>
      </c>
      <c r="J453" s="595">
        <f t="shared" si="31"/>
        <v>193581.81818181818</v>
      </c>
      <c r="K453" s="596">
        <v>2129400</v>
      </c>
      <c r="L453" s="597"/>
    </row>
    <row r="454" spans="1:12" x14ac:dyDescent="0.2">
      <c r="A454" s="316">
        <v>93</v>
      </c>
      <c r="B454" s="591" t="s">
        <v>2060</v>
      </c>
      <c r="C454" s="598" t="s">
        <v>2402</v>
      </c>
      <c r="D454" s="586"/>
      <c r="E454" s="587" t="s">
        <v>1277</v>
      </c>
      <c r="F454" s="588" t="s">
        <v>1019</v>
      </c>
      <c r="G454" s="653"/>
      <c r="H454" s="599">
        <v>44628</v>
      </c>
      <c r="I454" s="595">
        <f t="shared" si="30"/>
        <v>1178181.8181818181</v>
      </c>
      <c r="J454" s="595">
        <f t="shared" si="31"/>
        <v>117818.18181818182</v>
      </c>
      <c r="K454" s="596">
        <v>1296000</v>
      </c>
      <c r="L454" s="597"/>
    </row>
    <row r="455" spans="1:12" x14ac:dyDescent="0.2">
      <c r="A455" s="316">
        <v>94</v>
      </c>
      <c r="B455" s="591" t="s">
        <v>2061</v>
      </c>
      <c r="C455" s="598" t="s">
        <v>2403</v>
      </c>
      <c r="D455" s="586"/>
      <c r="E455" s="587" t="s">
        <v>1053</v>
      </c>
      <c r="F455" s="588" t="s">
        <v>1064</v>
      </c>
      <c r="G455" s="653"/>
      <c r="H455" s="599">
        <v>44628</v>
      </c>
      <c r="I455" s="595">
        <f t="shared" si="30"/>
        <v>4399977.2727272725</v>
      </c>
      <c r="J455" s="595">
        <f t="shared" si="31"/>
        <v>439997.72727272729</v>
      </c>
      <c r="K455" s="596">
        <v>4839975</v>
      </c>
      <c r="L455" s="597"/>
    </row>
    <row r="456" spans="1:12" x14ac:dyDescent="0.2">
      <c r="A456" s="316">
        <v>95</v>
      </c>
      <c r="B456" s="591" t="s">
        <v>2062</v>
      </c>
      <c r="C456" s="598" t="s">
        <v>2404</v>
      </c>
      <c r="D456" s="586"/>
      <c r="E456" s="587" t="s">
        <v>2405</v>
      </c>
      <c r="F456" s="588" t="s">
        <v>2406</v>
      </c>
      <c r="G456" s="653"/>
      <c r="H456" s="599">
        <v>44627</v>
      </c>
      <c r="I456" s="595">
        <f t="shared" si="30"/>
        <v>188999.99999999997</v>
      </c>
      <c r="J456" s="595">
        <f t="shared" si="31"/>
        <v>18899.999999999996</v>
      </c>
      <c r="K456" s="596">
        <v>207900</v>
      </c>
      <c r="L456" s="597"/>
    </row>
    <row r="457" spans="1:12" x14ac:dyDescent="0.2">
      <c r="A457" s="316">
        <v>96</v>
      </c>
      <c r="B457" s="591" t="s">
        <v>2063</v>
      </c>
      <c r="C457" s="598" t="s">
        <v>2479</v>
      </c>
      <c r="D457" s="586"/>
      <c r="E457" s="587" t="s">
        <v>1783</v>
      </c>
      <c r="F457" s="588" t="s">
        <v>1033</v>
      </c>
      <c r="G457" s="653"/>
      <c r="H457" s="599">
        <v>44625</v>
      </c>
      <c r="I457" s="595">
        <f t="shared" si="30"/>
        <v>9459700</v>
      </c>
      <c r="J457" s="595">
        <f t="shared" si="31"/>
        <v>945970</v>
      </c>
      <c r="K457" s="596">
        <f>4202510+2113560+4089600</f>
        <v>10405670</v>
      </c>
      <c r="L457" s="597"/>
    </row>
    <row r="458" spans="1:12" x14ac:dyDescent="0.2">
      <c r="A458" s="316">
        <v>97</v>
      </c>
      <c r="B458" s="591" t="s">
        <v>2064</v>
      </c>
      <c r="C458" s="602" t="s">
        <v>2407</v>
      </c>
      <c r="D458" s="603"/>
      <c r="E458" s="604" t="s">
        <v>1093</v>
      </c>
      <c r="F458" s="605" t="s">
        <v>1094</v>
      </c>
      <c r="G458" s="653"/>
      <c r="H458" s="606">
        <v>44628</v>
      </c>
      <c r="I458" s="607">
        <f t="shared" si="30"/>
        <v>779999.99999999988</v>
      </c>
      <c r="J458" s="607">
        <f t="shared" si="31"/>
        <v>77999.999999999985</v>
      </c>
      <c r="K458" s="596">
        <v>858000</v>
      </c>
      <c r="L458" s="597"/>
    </row>
    <row r="459" spans="1:12" x14ac:dyDescent="0.2">
      <c r="A459" s="316">
        <v>98</v>
      </c>
      <c r="B459" s="591" t="s">
        <v>2065</v>
      </c>
      <c r="C459" s="598" t="s">
        <v>2408</v>
      </c>
      <c r="D459" s="586"/>
      <c r="E459" s="593" t="s">
        <v>2409</v>
      </c>
      <c r="F459" s="593" t="s">
        <v>2368</v>
      </c>
      <c r="G459" s="653"/>
      <c r="H459" s="599">
        <v>44628</v>
      </c>
      <c r="I459" s="595">
        <f t="shared" si="30"/>
        <v>1264772.7272727271</v>
      </c>
      <c r="J459" s="595">
        <f t="shared" si="31"/>
        <v>126477.27272727271</v>
      </c>
      <c r="K459" s="596">
        <v>1391250</v>
      </c>
      <c r="L459" s="597"/>
    </row>
    <row r="460" spans="1:12" x14ac:dyDescent="0.2">
      <c r="A460" s="316">
        <v>99</v>
      </c>
      <c r="B460" s="591" t="s">
        <v>2066</v>
      </c>
      <c r="C460" s="598" t="s">
        <v>2413</v>
      </c>
      <c r="D460" s="586"/>
      <c r="E460" s="587" t="s">
        <v>1755</v>
      </c>
      <c r="F460" s="588" t="s">
        <v>1104</v>
      </c>
      <c r="G460" s="653"/>
      <c r="H460" s="599">
        <v>44629</v>
      </c>
      <c r="I460" s="595">
        <f t="shared" si="30"/>
        <v>3303818.1818181816</v>
      </c>
      <c r="J460" s="595">
        <f t="shared" si="31"/>
        <v>330381.81818181818</v>
      </c>
      <c r="K460" s="596">
        <v>3634200</v>
      </c>
      <c r="L460" s="597"/>
    </row>
    <row r="461" spans="1:12" x14ac:dyDescent="0.2">
      <c r="A461" s="316">
        <v>100</v>
      </c>
      <c r="B461" s="591" t="s">
        <v>2067</v>
      </c>
      <c r="C461" s="598" t="s">
        <v>2476</v>
      </c>
      <c r="D461" s="586"/>
      <c r="E461" s="587" t="s">
        <v>981</v>
      </c>
      <c r="F461" s="588" t="s">
        <v>980</v>
      </c>
      <c r="G461" s="653"/>
      <c r="H461" s="599">
        <v>44629</v>
      </c>
      <c r="I461" s="595">
        <f t="shared" si="30"/>
        <v>16819723.636363637</v>
      </c>
      <c r="J461" s="595">
        <f t="shared" si="31"/>
        <v>1681972.3636363638</v>
      </c>
      <c r="K461" s="596">
        <f>8842176+9659520</f>
        <v>18501696</v>
      </c>
      <c r="L461" s="597"/>
    </row>
    <row r="462" spans="1:12" x14ac:dyDescent="0.2">
      <c r="A462" s="316">
        <v>101</v>
      </c>
      <c r="B462" s="591" t="s">
        <v>2068</v>
      </c>
      <c r="C462" s="598" t="s">
        <v>2414</v>
      </c>
      <c r="D462" s="586"/>
      <c r="E462" s="587" t="s">
        <v>1714</v>
      </c>
      <c r="F462" s="588" t="s">
        <v>1130</v>
      </c>
      <c r="G462" s="653"/>
      <c r="H462" s="599">
        <v>44629</v>
      </c>
      <c r="I462" s="595">
        <f t="shared" si="30"/>
        <v>945490.90909090906</v>
      </c>
      <c r="J462" s="595">
        <f t="shared" si="31"/>
        <v>94549.090909090912</v>
      </c>
      <c r="K462" s="596">
        <v>1040040</v>
      </c>
      <c r="L462" s="597"/>
    </row>
    <row r="463" spans="1:12" x14ac:dyDescent="0.2">
      <c r="A463" s="316">
        <v>102</v>
      </c>
      <c r="B463" s="591" t="s">
        <v>2069</v>
      </c>
      <c r="C463" s="598" t="s">
        <v>2416</v>
      </c>
      <c r="D463" s="586"/>
      <c r="E463" s="587" t="s">
        <v>2415</v>
      </c>
      <c r="F463" s="588" t="s">
        <v>590</v>
      </c>
      <c r="G463" s="653"/>
      <c r="H463" s="599">
        <v>44634</v>
      </c>
      <c r="I463" s="595">
        <f t="shared" si="30"/>
        <v>827272.72727272718</v>
      </c>
      <c r="J463" s="595">
        <f t="shared" si="31"/>
        <v>82727.272727272721</v>
      </c>
      <c r="K463" s="596">
        <v>910000</v>
      </c>
      <c r="L463" s="597"/>
    </row>
    <row r="464" spans="1:12" x14ac:dyDescent="0.2">
      <c r="A464" s="316">
        <v>103</v>
      </c>
      <c r="B464" s="591" t="s">
        <v>2070</v>
      </c>
      <c r="C464" s="598" t="s">
        <v>2418</v>
      </c>
      <c r="D464" s="586"/>
      <c r="E464" s="587" t="s">
        <v>2419</v>
      </c>
      <c r="F464" s="588" t="s">
        <v>2420</v>
      </c>
      <c r="G464" s="653"/>
      <c r="H464" s="599">
        <v>44630</v>
      </c>
      <c r="I464" s="595">
        <f t="shared" si="30"/>
        <v>157090.90909090909</v>
      </c>
      <c r="J464" s="595">
        <f t="shared" si="31"/>
        <v>15709.09090909091</v>
      </c>
      <c r="K464" s="596">
        <v>172800</v>
      </c>
      <c r="L464" s="597"/>
    </row>
    <row r="465" spans="1:12" x14ac:dyDescent="0.2">
      <c r="A465" s="316">
        <v>104</v>
      </c>
      <c r="B465" s="591" t="s">
        <v>2071</v>
      </c>
      <c r="C465" s="598" t="s">
        <v>2421</v>
      </c>
      <c r="D465" s="586"/>
      <c r="E465" s="587" t="s">
        <v>1747</v>
      </c>
      <c r="F465" s="588" t="s">
        <v>1745</v>
      </c>
      <c r="G465" s="653"/>
      <c r="H465" s="599">
        <v>44630</v>
      </c>
      <c r="I465" s="595">
        <f t="shared" si="30"/>
        <v>484545.45454545453</v>
      </c>
      <c r="J465" s="595">
        <f t="shared" si="31"/>
        <v>48454.545454545456</v>
      </c>
      <c r="K465" s="596">
        <v>533000</v>
      </c>
      <c r="L465" s="597"/>
    </row>
    <row r="466" spans="1:12" x14ac:dyDescent="0.2">
      <c r="A466" s="316">
        <v>105</v>
      </c>
      <c r="B466" s="591" t="s">
        <v>2072</v>
      </c>
      <c r="C466" s="598" t="s">
        <v>2426</v>
      </c>
      <c r="D466" s="586"/>
      <c r="E466" s="587" t="s">
        <v>978</v>
      </c>
      <c r="F466" s="588" t="s">
        <v>590</v>
      </c>
      <c r="G466" s="653"/>
      <c r="H466" s="599">
        <v>44631</v>
      </c>
      <c r="I466" s="595">
        <f t="shared" si="30"/>
        <v>18393381.818181816</v>
      </c>
      <c r="J466" s="595">
        <f t="shared" si="31"/>
        <v>1839338.1818181816</v>
      </c>
      <c r="K466" s="596">
        <f>2636760+9180000+8415960</f>
        <v>20232720</v>
      </c>
      <c r="L466" s="597"/>
    </row>
    <row r="467" spans="1:12" x14ac:dyDescent="0.2">
      <c r="A467" s="316">
        <v>106</v>
      </c>
      <c r="B467" s="591" t="s">
        <v>2073</v>
      </c>
      <c r="C467" s="598" t="s">
        <v>2561</v>
      </c>
      <c r="D467" s="586"/>
      <c r="E467" s="587" t="s">
        <v>1009</v>
      </c>
      <c r="F467" s="588" t="s">
        <v>1008</v>
      </c>
      <c r="G467" s="653"/>
      <c r="H467" s="599">
        <v>44631</v>
      </c>
      <c r="I467" s="595">
        <f t="shared" si="30"/>
        <v>5580696.3636363633</v>
      </c>
      <c r="J467" s="595">
        <f t="shared" si="31"/>
        <v>558069.63636363635</v>
      </c>
      <c r="K467" s="596">
        <f>3680800+838500+1619466</f>
        <v>6138766</v>
      </c>
      <c r="L467" s="597"/>
    </row>
    <row r="468" spans="1:12" x14ac:dyDescent="0.2">
      <c r="A468" s="316">
        <v>107</v>
      </c>
      <c r="B468" s="591" t="s">
        <v>2074</v>
      </c>
      <c r="C468" s="598" t="s">
        <v>2423</v>
      </c>
      <c r="D468" s="586"/>
      <c r="E468" s="587" t="s">
        <v>985</v>
      </c>
      <c r="F468" s="588" t="s">
        <v>426</v>
      </c>
      <c r="G468" s="653"/>
      <c r="H468" s="599">
        <v>44880</v>
      </c>
      <c r="I468" s="595">
        <f t="shared" si="30"/>
        <v>3230181.8181818179</v>
      </c>
      <c r="J468" s="595">
        <f t="shared" si="31"/>
        <v>323018.18181818182</v>
      </c>
      <c r="K468" s="596">
        <v>3553200</v>
      </c>
      <c r="L468" s="597"/>
    </row>
    <row r="469" spans="1:12" x14ac:dyDescent="0.2">
      <c r="A469" s="316">
        <v>108</v>
      </c>
      <c r="B469" s="591" t="s">
        <v>2075</v>
      </c>
      <c r="C469" s="602" t="s">
        <v>2487</v>
      </c>
      <c r="D469" s="603"/>
      <c r="E469" s="604" t="s">
        <v>1036</v>
      </c>
      <c r="F469" s="605" t="s">
        <v>1008</v>
      </c>
      <c r="G469" s="653"/>
      <c r="H469" s="606">
        <v>44631</v>
      </c>
      <c r="I469" s="607">
        <f t="shared" si="30"/>
        <v>7729758.1818181816</v>
      </c>
      <c r="J469" s="607">
        <f t="shared" si="31"/>
        <v>772975.81818181823</v>
      </c>
      <c r="K469" s="596">
        <f>6439680+2063054</f>
        <v>8502734</v>
      </c>
      <c r="L469" s="597"/>
    </row>
    <row r="470" spans="1:12" x14ac:dyDescent="0.2">
      <c r="A470" s="316">
        <v>109</v>
      </c>
      <c r="B470" s="591" t="s">
        <v>2076</v>
      </c>
      <c r="C470" s="598" t="s">
        <v>2484</v>
      </c>
      <c r="D470" s="586"/>
      <c r="E470" s="593" t="s">
        <v>992</v>
      </c>
      <c r="F470" s="593" t="s">
        <v>673</v>
      </c>
      <c r="G470" s="653"/>
      <c r="H470" s="599">
        <v>44634</v>
      </c>
      <c r="I470" s="595">
        <f t="shared" si="30"/>
        <v>29500545.454545453</v>
      </c>
      <c r="J470" s="595">
        <f t="shared" si="31"/>
        <v>2950054.5454545454</v>
      </c>
      <c r="K470" s="596">
        <f>5367600+2583000+24500000</f>
        <v>32450600</v>
      </c>
      <c r="L470" s="597"/>
    </row>
    <row r="471" spans="1:12" x14ac:dyDescent="0.2">
      <c r="A471" s="316">
        <v>110</v>
      </c>
      <c r="B471" s="591" t="s">
        <v>2077</v>
      </c>
      <c r="C471" s="598" t="s">
        <v>2498</v>
      </c>
      <c r="D471" s="586"/>
      <c r="E471" s="587" t="s">
        <v>1054</v>
      </c>
      <c r="F471" s="588" t="s">
        <v>1055</v>
      </c>
      <c r="G471" s="653"/>
      <c r="H471" s="599">
        <v>44634</v>
      </c>
      <c r="I471" s="595">
        <f t="shared" si="30"/>
        <v>6084981.8181818174</v>
      </c>
      <c r="J471" s="595">
        <f t="shared" si="31"/>
        <v>608498.18181818177</v>
      </c>
      <c r="K471" s="596">
        <f>420000+3175200+3098280</f>
        <v>6693480</v>
      </c>
      <c r="L471" s="597"/>
    </row>
    <row r="472" spans="1:12" x14ac:dyDescent="0.2">
      <c r="A472" s="316">
        <v>111</v>
      </c>
      <c r="B472" s="591" t="s">
        <v>2078</v>
      </c>
      <c r="C472" s="598" t="s">
        <v>2499</v>
      </c>
      <c r="D472" s="586"/>
      <c r="E472" s="587" t="s">
        <v>992</v>
      </c>
      <c r="F472" s="588" t="s">
        <v>1127</v>
      </c>
      <c r="G472" s="653"/>
      <c r="H472" s="599">
        <v>44634</v>
      </c>
      <c r="I472" s="595">
        <f t="shared" ref="I472:I502" si="32">K472/1.1</f>
        <v>4890613.6363636358</v>
      </c>
      <c r="J472" s="595">
        <f t="shared" ref="J472:J502" si="33">I472*10%</f>
        <v>489061.36363636359</v>
      </c>
      <c r="K472" s="596">
        <f>3399375+1980300</f>
        <v>5379675</v>
      </c>
      <c r="L472" s="597"/>
    </row>
    <row r="473" spans="1:12" x14ac:dyDescent="0.2">
      <c r="A473" s="316">
        <v>112</v>
      </c>
      <c r="B473" s="591" t="s">
        <v>2079</v>
      </c>
      <c r="C473" s="598" t="s">
        <v>2474</v>
      </c>
      <c r="D473" s="586"/>
      <c r="E473" s="587" t="s">
        <v>1052</v>
      </c>
      <c r="F473" s="588" t="s">
        <v>1017</v>
      </c>
      <c r="G473" s="653"/>
      <c r="H473" s="599">
        <v>44635</v>
      </c>
      <c r="I473" s="595">
        <f t="shared" si="32"/>
        <v>2565340.9090909087</v>
      </c>
      <c r="J473" s="595">
        <f t="shared" si="33"/>
        <v>256534.09090909088</v>
      </c>
      <c r="K473" s="596">
        <f>1583750+1238125</f>
        <v>2821875</v>
      </c>
      <c r="L473" s="597"/>
    </row>
    <row r="474" spans="1:12" x14ac:dyDescent="0.2">
      <c r="A474" s="316">
        <v>113</v>
      </c>
      <c r="B474" s="591" t="s">
        <v>2080</v>
      </c>
      <c r="C474" s="598" t="s">
        <v>2458</v>
      </c>
      <c r="D474" s="586"/>
      <c r="E474" s="587" t="s">
        <v>986</v>
      </c>
      <c r="F474" s="588" t="s">
        <v>980</v>
      </c>
      <c r="G474" s="653"/>
      <c r="H474" s="599">
        <v>44637</v>
      </c>
      <c r="I474" s="595">
        <f t="shared" si="32"/>
        <v>1016181.8181818181</v>
      </c>
      <c r="J474" s="595">
        <f t="shared" si="33"/>
        <v>101618.18181818182</v>
      </c>
      <c r="K474" s="596">
        <v>1117800</v>
      </c>
      <c r="L474" s="597"/>
    </row>
    <row r="475" spans="1:12" x14ac:dyDescent="0.2">
      <c r="A475" s="316">
        <v>114</v>
      </c>
      <c r="B475" s="591" t="s">
        <v>2081</v>
      </c>
      <c r="C475" s="598" t="s">
        <v>2509</v>
      </c>
      <c r="D475" s="586"/>
      <c r="E475" s="587" t="s">
        <v>995</v>
      </c>
      <c r="F475" s="588" t="s">
        <v>996</v>
      </c>
      <c r="G475" s="653"/>
      <c r="H475" s="599">
        <v>44637</v>
      </c>
      <c r="I475" s="595">
        <f t="shared" si="32"/>
        <v>24405563.636363633</v>
      </c>
      <c r="J475" s="595">
        <f t="shared" si="33"/>
        <v>2440556.3636363633</v>
      </c>
      <c r="K475" s="596">
        <f>14980680+6500000+5365440</f>
        <v>26846120</v>
      </c>
      <c r="L475" s="597"/>
    </row>
    <row r="476" spans="1:12" x14ac:dyDescent="0.2">
      <c r="A476" s="316">
        <v>115</v>
      </c>
      <c r="B476" s="591" t="s">
        <v>2082</v>
      </c>
      <c r="C476" s="598" t="s">
        <v>2512</v>
      </c>
      <c r="D476" s="586"/>
      <c r="E476" s="587" t="s">
        <v>1205</v>
      </c>
      <c r="F476" s="588" t="s">
        <v>1206</v>
      </c>
      <c r="G476" s="653"/>
      <c r="H476" s="599">
        <v>44637</v>
      </c>
      <c r="I476" s="595">
        <f t="shared" si="32"/>
        <v>3693454.5454545449</v>
      </c>
      <c r="J476" s="595">
        <f t="shared" si="33"/>
        <v>369345.45454545453</v>
      </c>
      <c r="K476" s="596">
        <f>2230400+1832400</f>
        <v>4062800</v>
      </c>
      <c r="L476" s="597"/>
    </row>
    <row r="477" spans="1:12" x14ac:dyDescent="0.2">
      <c r="A477" s="316">
        <v>116</v>
      </c>
      <c r="B477" s="591" t="s">
        <v>2083</v>
      </c>
      <c r="C477" s="598" t="s">
        <v>2459</v>
      </c>
      <c r="D477" s="586"/>
      <c r="E477" s="587" t="s">
        <v>1739</v>
      </c>
      <c r="F477" s="588" t="s">
        <v>1328</v>
      </c>
      <c r="G477" s="653"/>
      <c r="H477" s="599">
        <v>44638</v>
      </c>
      <c r="I477" s="595">
        <f t="shared" si="32"/>
        <v>2901818.1818181816</v>
      </c>
      <c r="J477" s="595">
        <f t="shared" si="33"/>
        <v>290181.81818181818</v>
      </c>
      <c r="K477" s="596">
        <v>3192000</v>
      </c>
      <c r="L477" s="597"/>
    </row>
    <row r="478" spans="1:12" x14ac:dyDescent="0.2">
      <c r="A478" s="316">
        <v>117</v>
      </c>
      <c r="B478" s="591" t="s">
        <v>2084</v>
      </c>
      <c r="C478" s="598" t="s">
        <v>2470</v>
      </c>
      <c r="D478" s="586"/>
      <c r="E478" s="587" t="s">
        <v>992</v>
      </c>
      <c r="F478" s="588" t="s">
        <v>993</v>
      </c>
      <c r="G478" s="653"/>
      <c r="H478" s="599">
        <v>44638</v>
      </c>
      <c r="I478" s="595">
        <f t="shared" si="32"/>
        <v>13512974.545454545</v>
      </c>
      <c r="J478" s="595">
        <f t="shared" si="33"/>
        <v>1351297.4545454546</v>
      </c>
      <c r="K478" s="596">
        <f>2935960+5970192+5958120</f>
        <v>14864272</v>
      </c>
      <c r="L478" s="597"/>
    </row>
    <row r="479" spans="1:12" x14ac:dyDescent="0.2">
      <c r="A479" s="316">
        <v>118</v>
      </c>
      <c r="B479" s="591" t="s">
        <v>2085</v>
      </c>
      <c r="C479" s="598" t="s">
        <v>2486</v>
      </c>
      <c r="D479" s="586"/>
      <c r="E479" s="587" t="s">
        <v>1753</v>
      </c>
      <c r="F479" s="588" t="s">
        <v>1019</v>
      </c>
      <c r="G479" s="653"/>
      <c r="H479" s="599">
        <v>44638</v>
      </c>
      <c r="I479" s="595">
        <f t="shared" si="32"/>
        <v>10070400</v>
      </c>
      <c r="J479" s="595">
        <f t="shared" si="33"/>
        <v>1007040</v>
      </c>
      <c r="K479" s="596">
        <f>3300000+6432840+1344600</f>
        <v>11077440</v>
      </c>
      <c r="L479" s="597"/>
    </row>
    <row r="480" spans="1:12" x14ac:dyDescent="0.2">
      <c r="A480" s="316">
        <v>119</v>
      </c>
      <c r="B480" s="591" t="s">
        <v>2086</v>
      </c>
      <c r="C480" s="602" t="s">
        <v>2460</v>
      </c>
      <c r="D480" s="603"/>
      <c r="E480" s="604" t="s">
        <v>1783</v>
      </c>
      <c r="F480" s="605" t="s">
        <v>620</v>
      </c>
      <c r="G480" s="653"/>
      <c r="H480" s="606">
        <v>44638</v>
      </c>
      <c r="I480" s="607">
        <f t="shared" si="32"/>
        <v>2818909.0909090908</v>
      </c>
      <c r="J480" s="607">
        <f t="shared" si="33"/>
        <v>281890.90909090912</v>
      </c>
      <c r="K480" s="596">
        <v>3100800</v>
      </c>
      <c r="L480" s="597"/>
    </row>
    <row r="481" spans="1:12" x14ac:dyDescent="0.2">
      <c r="A481" s="316">
        <v>120</v>
      </c>
      <c r="B481" s="591" t="s">
        <v>2087</v>
      </c>
      <c r="C481" s="598" t="s">
        <v>2481</v>
      </c>
      <c r="D481" s="586"/>
      <c r="E481" s="593" t="s">
        <v>1090</v>
      </c>
      <c r="F481" s="593" t="s">
        <v>606</v>
      </c>
      <c r="G481" s="653"/>
      <c r="H481" s="599">
        <v>44639</v>
      </c>
      <c r="I481" s="595">
        <f t="shared" si="32"/>
        <v>9838500</v>
      </c>
      <c r="J481" s="595">
        <f t="shared" si="33"/>
        <v>983850</v>
      </c>
      <c r="K481" s="596">
        <f>4407900+5356050+1058400</f>
        <v>10822350</v>
      </c>
      <c r="L481" s="597"/>
    </row>
    <row r="482" spans="1:12" x14ac:dyDescent="0.2">
      <c r="A482" s="316">
        <v>121</v>
      </c>
      <c r="B482" s="591" t="s">
        <v>2088</v>
      </c>
      <c r="C482" s="598" t="s">
        <v>2482</v>
      </c>
      <c r="D482" s="586"/>
      <c r="E482" s="587" t="s">
        <v>970</v>
      </c>
      <c r="F482" s="588" t="s">
        <v>971</v>
      </c>
      <c r="G482" s="653"/>
      <c r="H482" s="599">
        <v>44639</v>
      </c>
      <c r="I482" s="595">
        <f t="shared" si="32"/>
        <v>3872272.7272727271</v>
      </c>
      <c r="J482" s="595">
        <f t="shared" si="33"/>
        <v>387227.27272727271</v>
      </c>
      <c r="K482" s="596">
        <f>283500+3276000+700000</f>
        <v>4259500</v>
      </c>
      <c r="L482" s="597"/>
    </row>
    <row r="483" spans="1:12" x14ac:dyDescent="0.2">
      <c r="A483" s="316">
        <v>122</v>
      </c>
      <c r="B483" s="591" t="s">
        <v>2089</v>
      </c>
      <c r="C483" s="598" t="s">
        <v>2491</v>
      </c>
      <c r="D483" s="586"/>
      <c r="E483" s="587" t="s">
        <v>1018</v>
      </c>
      <c r="F483" s="588" t="s">
        <v>1019</v>
      </c>
      <c r="G483" s="653"/>
      <c r="H483" s="599">
        <v>44639</v>
      </c>
      <c r="I483" s="595">
        <f t="shared" si="32"/>
        <v>2544981.8181818179</v>
      </c>
      <c r="J483" s="595">
        <f t="shared" si="33"/>
        <v>254498.18181818179</v>
      </c>
      <c r="K483" s="596">
        <f>129600+1341480+1328400</f>
        <v>2799480</v>
      </c>
      <c r="L483" s="597"/>
    </row>
    <row r="484" spans="1:12" x14ac:dyDescent="0.2">
      <c r="A484" s="316">
        <v>123</v>
      </c>
      <c r="B484" s="591" t="s">
        <v>2090</v>
      </c>
      <c r="C484" s="598" t="s">
        <v>2469</v>
      </c>
      <c r="D484" s="586"/>
      <c r="E484" s="587" t="s">
        <v>1041</v>
      </c>
      <c r="F484" s="588" t="s">
        <v>1042</v>
      </c>
      <c r="G484" s="653"/>
      <c r="H484" s="599">
        <v>44641</v>
      </c>
      <c r="I484" s="595">
        <f t="shared" si="32"/>
        <v>2052272.7272727271</v>
      </c>
      <c r="J484" s="595">
        <f t="shared" si="33"/>
        <v>205227.27272727271</v>
      </c>
      <c r="K484" s="596">
        <v>2257500</v>
      </c>
      <c r="L484" s="597"/>
    </row>
    <row r="485" spans="1:12" x14ac:dyDescent="0.2">
      <c r="A485" s="316">
        <v>124</v>
      </c>
      <c r="B485" s="591" t="s">
        <v>2091</v>
      </c>
      <c r="C485" s="598" t="s">
        <v>2526</v>
      </c>
      <c r="D485" s="586"/>
      <c r="E485" s="587" t="s">
        <v>1072</v>
      </c>
      <c r="F485" s="588" t="s">
        <v>1058</v>
      </c>
      <c r="G485" s="653"/>
      <c r="H485" s="599">
        <v>44641</v>
      </c>
      <c r="I485" s="595">
        <f t="shared" si="32"/>
        <v>15328227.272727272</v>
      </c>
      <c r="J485" s="595">
        <f t="shared" si="33"/>
        <v>1532822.7272727273</v>
      </c>
      <c r="K485" s="596">
        <f>7594650+3407400+5859000</f>
        <v>16861050</v>
      </c>
      <c r="L485" s="597"/>
    </row>
    <row r="486" spans="1:12" x14ac:dyDescent="0.2">
      <c r="A486" s="316">
        <v>125</v>
      </c>
      <c r="B486" s="591" t="s">
        <v>2092</v>
      </c>
      <c r="C486" s="598" t="s">
        <v>2471</v>
      </c>
      <c r="D486" s="586"/>
      <c r="E486" s="587" t="s">
        <v>1090</v>
      </c>
      <c r="F486" s="588" t="s">
        <v>2472</v>
      </c>
      <c r="G486" s="653"/>
      <c r="H486" s="599">
        <v>44641</v>
      </c>
      <c r="I486" s="595">
        <f t="shared" si="32"/>
        <v>1039745.4545454545</v>
      </c>
      <c r="J486" s="595">
        <f t="shared" si="33"/>
        <v>103974.54545454546</v>
      </c>
      <c r="K486" s="596">
        <v>1143720</v>
      </c>
      <c r="L486" s="597"/>
    </row>
    <row r="487" spans="1:12" x14ac:dyDescent="0.2">
      <c r="A487" s="316">
        <v>126</v>
      </c>
      <c r="B487" s="591" t="s">
        <v>2093</v>
      </c>
      <c r="C487" s="598" t="s">
        <v>2473</v>
      </c>
      <c r="D487" s="586"/>
      <c r="E487" s="587" t="s">
        <v>1225</v>
      </c>
      <c r="F487" s="588" t="s">
        <v>1206</v>
      </c>
      <c r="G487" s="653"/>
      <c r="H487" s="599">
        <v>44641</v>
      </c>
      <c r="I487" s="595">
        <f t="shared" si="32"/>
        <v>1120663.6363636362</v>
      </c>
      <c r="J487" s="595">
        <f t="shared" si="33"/>
        <v>112066.36363636363</v>
      </c>
      <c r="K487" s="596">
        <v>1232730</v>
      </c>
      <c r="L487" s="597"/>
    </row>
    <row r="488" spans="1:12" x14ac:dyDescent="0.2">
      <c r="A488" s="316">
        <v>127</v>
      </c>
      <c r="B488" s="591" t="s">
        <v>2094</v>
      </c>
      <c r="C488" s="598" t="s">
        <v>2559</v>
      </c>
      <c r="D488" s="586"/>
      <c r="E488" s="587" t="s">
        <v>992</v>
      </c>
      <c r="F488" s="588" t="s">
        <v>1191</v>
      </c>
      <c r="G488" s="653"/>
      <c r="H488" s="599">
        <v>44641</v>
      </c>
      <c r="I488" s="595">
        <f t="shared" si="32"/>
        <v>2260636.3636363633</v>
      </c>
      <c r="J488" s="595">
        <f t="shared" si="33"/>
        <v>226063.63636363635</v>
      </c>
      <c r="K488" s="596">
        <f>2419740+66960</f>
        <v>2486700</v>
      </c>
      <c r="L488" s="597"/>
    </row>
    <row r="489" spans="1:12" x14ac:dyDescent="0.2">
      <c r="A489" s="316">
        <v>128</v>
      </c>
      <c r="B489" s="591" t="s">
        <v>2095</v>
      </c>
      <c r="C489" s="598" t="s">
        <v>2510</v>
      </c>
      <c r="D489" s="586"/>
      <c r="E489" s="587" t="s">
        <v>979</v>
      </c>
      <c r="F489" s="588" t="s">
        <v>980</v>
      </c>
      <c r="G489" s="653"/>
      <c r="H489" s="599">
        <v>44641</v>
      </c>
      <c r="I489" s="595">
        <f t="shared" si="32"/>
        <v>4529854.5454545449</v>
      </c>
      <c r="J489" s="595">
        <f t="shared" si="33"/>
        <v>452985.45454545453</v>
      </c>
      <c r="K489" s="596">
        <f>3219840+1763000</f>
        <v>4982840</v>
      </c>
      <c r="L489" s="597"/>
    </row>
    <row r="490" spans="1:12" x14ac:dyDescent="0.2">
      <c r="A490" s="316">
        <v>129</v>
      </c>
      <c r="B490" s="591" t="s">
        <v>2096</v>
      </c>
      <c r="C490" s="598" t="s">
        <v>2478</v>
      </c>
      <c r="D490" s="586"/>
      <c r="E490" s="587" t="s">
        <v>992</v>
      </c>
      <c r="F490" s="588" t="s">
        <v>1075</v>
      </c>
      <c r="G490" s="653"/>
      <c r="H490" s="599">
        <v>44641</v>
      </c>
      <c r="I490" s="595">
        <f t="shared" si="32"/>
        <v>2307927.2727272725</v>
      </c>
      <c r="J490" s="595">
        <f t="shared" si="33"/>
        <v>230792.72727272726</v>
      </c>
      <c r="K490" s="596">
        <v>2538720</v>
      </c>
      <c r="L490" s="597"/>
    </row>
    <row r="491" spans="1:12" x14ac:dyDescent="0.2">
      <c r="A491" s="316">
        <v>130</v>
      </c>
      <c r="B491" s="591" t="s">
        <v>2097</v>
      </c>
      <c r="C491" s="602" t="s">
        <v>2480</v>
      </c>
      <c r="D491" s="603"/>
      <c r="E491" s="604" t="s">
        <v>1727</v>
      </c>
      <c r="F491" s="605" t="s">
        <v>987</v>
      </c>
      <c r="G491" s="653"/>
      <c r="H491" s="606">
        <v>44642</v>
      </c>
      <c r="I491" s="607">
        <f t="shared" si="32"/>
        <v>3023999.9999999995</v>
      </c>
      <c r="J491" s="607">
        <f t="shared" si="33"/>
        <v>302399.99999999994</v>
      </c>
      <c r="K491" s="596">
        <v>3326400</v>
      </c>
      <c r="L491" s="597"/>
    </row>
    <row r="492" spans="1:12" x14ac:dyDescent="0.2">
      <c r="A492" s="316">
        <v>131</v>
      </c>
      <c r="B492" s="591" t="s">
        <v>2098</v>
      </c>
      <c r="C492" s="598" t="s">
        <v>2483</v>
      </c>
      <c r="D492" s="586"/>
      <c r="E492" s="593" t="s">
        <v>1744</v>
      </c>
      <c r="F492" s="593" t="s">
        <v>1745</v>
      </c>
      <c r="G492" s="653"/>
      <c r="H492" s="599">
        <v>44642</v>
      </c>
      <c r="I492" s="595">
        <f t="shared" si="32"/>
        <v>451931.81818181812</v>
      </c>
      <c r="J492" s="595">
        <f t="shared" si="33"/>
        <v>45193.181818181816</v>
      </c>
      <c r="K492" s="596">
        <v>497125</v>
      </c>
      <c r="L492" s="597"/>
    </row>
    <row r="493" spans="1:12" x14ac:dyDescent="0.2">
      <c r="A493" s="316">
        <v>132</v>
      </c>
      <c r="B493" s="591" t="s">
        <v>2099</v>
      </c>
      <c r="C493" s="598" t="s">
        <v>2514</v>
      </c>
      <c r="D493" s="586"/>
      <c r="E493" s="587" t="s">
        <v>970</v>
      </c>
      <c r="F493" s="588" t="s">
        <v>971</v>
      </c>
      <c r="G493" s="653"/>
      <c r="H493" s="599">
        <v>44643</v>
      </c>
      <c r="I493" s="595">
        <f t="shared" si="32"/>
        <v>5524909.0909090908</v>
      </c>
      <c r="J493" s="595">
        <f t="shared" si="33"/>
        <v>552490.90909090906</v>
      </c>
      <c r="K493" s="596">
        <f>4788000+1289400</f>
        <v>6077400</v>
      </c>
      <c r="L493" s="597"/>
    </row>
    <row r="494" spans="1:12" x14ac:dyDescent="0.2">
      <c r="A494" s="316">
        <v>133</v>
      </c>
      <c r="B494" s="591" t="s">
        <v>2100</v>
      </c>
      <c r="C494" s="598" t="s">
        <v>2488</v>
      </c>
      <c r="D494" s="586"/>
      <c r="E494" s="587" t="s">
        <v>2489</v>
      </c>
      <c r="F494" s="588" t="s">
        <v>1025</v>
      </c>
      <c r="G494" s="653"/>
      <c r="H494" s="599">
        <v>44643</v>
      </c>
      <c r="I494" s="595">
        <f t="shared" si="32"/>
        <v>803999.99999999988</v>
      </c>
      <c r="J494" s="595">
        <f t="shared" si="33"/>
        <v>80400</v>
      </c>
      <c r="K494" s="596">
        <v>884400</v>
      </c>
      <c r="L494" s="597"/>
    </row>
    <row r="495" spans="1:12" x14ac:dyDescent="0.2">
      <c r="A495" s="316">
        <v>134</v>
      </c>
      <c r="B495" s="591" t="s">
        <v>2101</v>
      </c>
      <c r="C495" s="598" t="s">
        <v>2490</v>
      </c>
      <c r="D495" s="586"/>
      <c r="E495" s="587" t="s">
        <v>1228</v>
      </c>
      <c r="F495" s="588" t="s">
        <v>1025</v>
      </c>
      <c r="G495" s="653"/>
      <c r="H495" s="599">
        <v>44644</v>
      </c>
      <c r="I495" s="595">
        <f t="shared" si="32"/>
        <v>331636.36363636359</v>
      </c>
      <c r="J495" s="595">
        <f t="shared" si="33"/>
        <v>33163.63636363636</v>
      </c>
      <c r="K495" s="596">
        <v>364800</v>
      </c>
      <c r="L495" s="597"/>
    </row>
    <row r="496" spans="1:12" x14ac:dyDescent="0.2">
      <c r="A496" s="316">
        <v>135</v>
      </c>
      <c r="B496" s="591" t="s">
        <v>2102</v>
      </c>
      <c r="C496" s="598" t="s">
        <v>2524</v>
      </c>
      <c r="D496" s="586"/>
      <c r="E496" s="587" t="s">
        <v>981</v>
      </c>
      <c r="F496" s="588" t="s">
        <v>980</v>
      </c>
      <c r="G496" s="653"/>
      <c r="H496" s="599">
        <v>44644</v>
      </c>
      <c r="I496" s="595">
        <f t="shared" si="32"/>
        <v>5111214.5454545449</v>
      </c>
      <c r="J496" s="595">
        <f t="shared" si="33"/>
        <v>511121.45454545453</v>
      </c>
      <c r="K496" s="596">
        <f>3083616+2538720</f>
        <v>5622336</v>
      </c>
      <c r="L496" s="597"/>
    </row>
    <row r="497" spans="1:12" x14ac:dyDescent="0.2">
      <c r="A497" s="316">
        <v>136</v>
      </c>
      <c r="B497" s="591" t="s">
        <v>2103</v>
      </c>
      <c r="C497" s="598" t="s">
        <v>2507</v>
      </c>
      <c r="D497" s="586"/>
      <c r="E497" s="587" t="s">
        <v>992</v>
      </c>
      <c r="F497" s="588" t="s">
        <v>673</v>
      </c>
      <c r="G497" s="653"/>
      <c r="H497" s="599">
        <v>44644</v>
      </c>
      <c r="I497" s="595">
        <f t="shared" si="32"/>
        <v>21996704.545454543</v>
      </c>
      <c r="J497" s="595">
        <f t="shared" si="33"/>
        <v>2199670.4545454546</v>
      </c>
      <c r="K497" s="596">
        <f>2583000+8602650+13010725</f>
        <v>24196375</v>
      </c>
      <c r="L497" s="597"/>
    </row>
    <row r="498" spans="1:12" x14ac:dyDescent="0.2">
      <c r="A498" s="316">
        <v>137</v>
      </c>
      <c r="B498" s="591" t="s">
        <v>2104</v>
      </c>
      <c r="C498" s="598" t="s">
        <v>2536</v>
      </c>
      <c r="D498" s="586"/>
      <c r="E498" s="587" t="s">
        <v>1712</v>
      </c>
      <c r="F498" s="588" t="s">
        <v>1094</v>
      </c>
      <c r="G498" s="653"/>
      <c r="H498" s="599">
        <v>44644</v>
      </c>
      <c r="I498" s="595">
        <f t="shared" si="32"/>
        <v>3054545.4545454541</v>
      </c>
      <c r="J498" s="595">
        <f t="shared" si="33"/>
        <v>305454.54545454541</v>
      </c>
      <c r="K498" s="596">
        <f>2160000+1200000</f>
        <v>3360000</v>
      </c>
      <c r="L498" s="597"/>
    </row>
    <row r="499" spans="1:12" x14ac:dyDescent="0.2">
      <c r="A499" s="316">
        <v>138</v>
      </c>
      <c r="B499" s="591" t="s">
        <v>2105</v>
      </c>
      <c r="C499" s="598" t="s">
        <v>2492</v>
      </c>
      <c r="D499" s="586"/>
      <c r="E499" s="587" t="s">
        <v>2493</v>
      </c>
      <c r="F499" s="588" t="s">
        <v>996</v>
      </c>
      <c r="G499" s="653"/>
      <c r="H499" s="599">
        <v>44644</v>
      </c>
      <c r="I499" s="595">
        <f t="shared" si="32"/>
        <v>543534.54545454541</v>
      </c>
      <c r="J499" s="595">
        <f t="shared" si="33"/>
        <v>54353.454545454544</v>
      </c>
      <c r="K499" s="596">
        <v>597888</v>
      </c>
      <c r="L499" s="597"/>
    </row>
    <row r="500" spans="1:12" x14ac:dyDescent="0.2">
      <c r="A500" s="316">
        <v>139</v>
      </c>
      <c r="B500" s="591" t="s">
        <v>2106</v>
      </c>
      <c r="C500" s="598" t="s">
        <v>2508</v>
      </c>
      <c r="D500" s="586"/>
      <c r="E500" s="587" t="s">
        <v>1090</v>
      </c>
      <c r="F500" s="588" t="s">
        <v>606</v>
      </c>
      <c r="G500" s="653"/>
      <c r="H500" s="599">
        <v>44644</v>
      </c>
      <c r="I500" s="595">
        <f t="shared" si="32"/>
        <v>11544272.727272727</v>
      </c>
      <c r="J500" s="595">
        <f t="shared" si="33"/>
        <v>1154427.2727272727</v>
      </c>
      <c r="K500" s="596">
        <f>1102500+10681650+914550</f>
        <v>12698700</v>
      </c>
      <c r="L500" s="597"/>
    </row>
    <row r="501" spans="1:12" x14ac:dyDescent="0.2">
      <c r="A501" s="316">
        <v>140</v>
      </c>
      <c r="B501" s="591" t="s">
        <v>2107</v>
      </c>
      <c r="C501" s="598" t="s">
        <v>2520</v>
      </c>
      <c r="D501" s="586"/>
      <c r="E501" s="587" t="s">
        <v>2494</v>
      </c>
      <c r="F501" s="588" t="s">
        <v>996</v>
      </c>
      <c r="G501" s="653"/>
      <c r="H501" s="599">
        <v>44644</v>
      </c>
      <c r="I501" s="595">
        <f t="shared" si="32"/>
        <v>4634443.6363636358</v>
      </c>
      <c r="J501" s="595">
        <f t="shared" si="33"/>
        <v>463444.36363636359</v>
      </c>
      <c r="K501" s="596">
        <f>3300000+597888+1200000</f>
        <v>5097888</v>
      </c>
      <c r="L501" s="597"/>
    </row>
    <row r="502" spans="1:12" x14ac:dyDescent="0.2">
      <c r="A502" s="316">
        <v>141</v>
      </c>
      <c r="B502" s="591" t="s">
        <v>2108</v>
      </c>
      <c r="C502" s="602" t="s">
        <v>2495</v>
      </c>
      <c r="D502" s="603"/>
      <c r="E502" s="604" t="s">
        <v>1288</v>
      </c>
      <c r="F502" s="605" t="s">
        <v>1221</v>
      </c>
      <c r="G502" s="653"/>
      <c r="H502" s="606">
        <v>44644</v>
      </c>
      <c r="I502" s="607">
        <f t="shared" si="32"/>
        <v>3147545.4545454541</v>
      </c>
      <c r="J502" s="607">
        <f t="shared" si="33"/>
        <v>314754.54545454541</v>
      </c>
      <c r="K502" s="596">
        <v>3462300</v>
      </c>
      <c r="L502" s="597"/>
    </row>
    <row r="503" spans="1:12" x14ac:dyDescent="0.2">
      <c r="A503" s="316">
        <v>142</v>
      </c>
      <c r="B503" s="591" t="s">
        <v>2109</v>
      </c>
      <c r="C503" s="598" t="s">
        <v>2496</v>
      </c>
      <c r="D503" s="586"/>
      <c r="E503" s="587" t="s">
        <v>1043</v>
      </c>
      <c r="F503" s="588" t="s">
        <v>620</v>
      </c>
      <c r="G503" s="653"/>
      <c r="H503" s="599">
        <v>44645</v>
      </c>
      <c r="I503" s="595">
        <f t="shared" si="30"/>
        <v>393709.09090909088</v>
      </c>
      <c r="J503" s="595">
        <f t="shared" si="31"/>
        <v>39370.909090909088</v>
      </c>
      <c r="K503" s="596">
        <v>433080</v>
      </c>
      <c r="L503" s="597"/>
    </row>
    <row r="504" spans="1:12" x14ac:dyDescent="0.2">
      <c r="A504" s="316">
        <v>143</v>
      </c>
      <c r="B504" s="591" t="s">
        <v>2110</v>
      </c>
      <c r="C504" s="598" t="s">
        <v>2562</v>
      </c>
      <c r="D504" s="586"/>
      <c r="E504" s="587" t="s">
        <v>992</v>
      </c>
      <c r="F504" s="588" t="s">
        <v>993</v>
      </c>
      <c r="G504" s="653"/>
      <c r="H504" s="599">
        <v>44645</v>
      </c>
      <c r="I504" s="595">
        <f t="shared" si="30"/>
        <v>5054430.9090909082</v>
      </c>
      <c r="J504" s="595">
        <f t="shared" si="31"/>
        <v>505443.09090909082</v>
      </c>
      <c r="K504" s="596">
        <f>1492644+2759350+1307880</f>
        <v>5559874</v>
      </c>
      <c r="L504" s="597"/>
    </row>
    <row r="505" spans="1:12" x14ac:dyDescent="0.2">
      <c r="A505" s="316">
        <v>144</v>
      </c>
      <c r="B505" s="591" t="s">
        <v>2111</v>
      </c>
      <c r="C505" s="598" t="s">
        <v>2500</v>
      </c>
      <c r="D505" s="586"/>
      <c r="E505" s="587" t="s">
        <v>1103</v>
      </c>
      <c r="F505" s="588" t="s">
        <v>1104</v>
      </c>
      <c r="G505" s="653"/>
      <c r="H505" s="599">
        <v>44648</v>
      </c>
      <c r="I505" s="595">
        <f t="shared" si="30"/>
        <v>1363090.9090909089</v>
      </c>
      <c r="J505" s="595">
        <f t="shared" si="31"/>
        <v>136309.09090909091</v>
      </c>
      <c r="K505" s="596">
        <v>1499400</v>
      </c>
      <c r="L505" s="597"/>
    </row>
    <row r="506" spans="1:12" x14ac:dyDescent="0.2">
      <c r="A506" s="316">
        <v>145</v>
      </c>
      <c r="B506" s="591" t="s">
        <v>2112</v>
      </c>
      <c r="C506" s="598" t="s">
        <v>2503</v>
      </c>
      <c r="D506" s="586"/>
      <c r="E506" s="587" t="s">
        <v>1057</v>
      </c>
      <c r="F506" s="588" t="s">
        <v>1058</v>
      </c>
      <c r="G506" s="653"/>
      <c r="H506" s="599">
        <v>44648</v>
      </c>
      <c r="I506" s="595">
        <f t="shared" si="30"/>
        <v>5798431.8181818174</v>
      </c>
      <c r="J506" s="595">
        <f t="shared" si="31"/>
        <v>579843.18181818177</v>
      </c>
      <c r="K506" s="596">
        <v>6378275</v>
      </c>
      <c r="L506" s="597"/>
    </row>
    <row r="507" spans="1:12" x14ac:dyDescent="0.2">
      <c r="A507" s="316">
        <v>146</v>
      </c>
      <c r="B507" s="591" t="s">
        <v>2113</v>
      </c>
      <c r="C507" s="598" t="s">
        <v>2504</v>
      </c>
      <c r="D507" s="586"/>
      <c r="E507" s="587" t="s">
        <v>1325</v>
      </c>
      <c r="F507" s="588" t="s">
        <v>579</v>
      </c>
      <c r="G507" s="653"/>
      <c r="H507" s="599">
        <v>44645</v>
      </c>
      <c r="I507" s="595">
        <f t="shared" si="30"/>
        <v>523636.36363636359</v>
      </c>
      <c r="J507" s="595">
        <f t="shared" si="31"/>
        <v>52363.63636363636</v>
      </c>
      <c r="K507" s="596">
        <v>576000</v>
      </c>
      <c r="L507" s="597"/>
    </row>
    <row r="508" spans="1:12" x14ac:dyDescent="0.2">
      <c r="A508" s="316">
        <v>147</v>
      </c>
      <c r="B508" s="591" t="s">
        <v>2114</v>
      </c>
      <c r="C508" s="598" t="s">
        <v>2523</v>
      </c>
      <c r="D508" s="586"/>
      <c r="E508" s="587" t="s">
        <v>978</v>
      </c>
      <c r="F508" s="588" t="s">
        <v>590</v>
      </c>
      <c r="G508" s="653"/>
      <c r="H508" s="599">
        <v>44646</v>
      </c>
      <c r="I508" s="595">
        <f t="shared" si="30"/>
        <v>28210254.545454543</v>
      </c>
      <c r="J508" s="595">
        <f t="shared" si="31"/>
        <v>2821025.4545454546</v>
      </c>
      <c r="K508" s="596">
        <f>27594720+3436560</f>
        <v>31031280</v>
      </c>
      <c r="L508" s="597"/>
    </row>
    <row r="509" spans="1:12" x14ac:dyDescent="0.2">
      <c r="A509" s="316">
        <v>148</v>
      </c>
      <c r="B509" s="591" t="s">
        <v>2115</v>
      </c>
      <c r="C509" s="598" t="s">
        <v>2505</v>
      </c>
      <c r="D509" s="586"/>
      <c r="E509" s="587" t="s">
        <v>1040</v>
      </c>
      <c r="F509" s="588" t="s">
        <v>1019</v>
      </c>
      <c r="G509" s="653"/>
      <c r="H509" s="599">
        <v>44646</v>
      </c>
      <c r="I509" s="595">
        <f t="shared" si="30"/>
        <v>1009309.0909090908</v>
      </c>
      <c r="J509" s="595">
        <f t="shared" si="31"/>
        <v>100930.90909090909</v>
      </c>
      <c r="K509" s="596">
        <v>1110240</v>
      </c>
      <c r="L509" s="597"/>
    </row>
    <row r="510" spans="1:12" x14ac:dyDescent="0.2">
      <c r="A510" s="316">
        <v>149</v>
      </c>
      <c r="B510" s="591" t="s">
        <v>2116</v>
      </c>
      <c r="C510" s="598" t="s">
        <v>2554</v>
      </c>
      <c r="D510" s="586"/>
      <c r="E510" s="587" t="s">
        <v>1082</v>
      </c>
      <c r="F510" s="588" t="s">
        <v>1058</v>
      </c>
      <c r="G510" s="653"/>
      <c r="H510" s="599">
        <v>44646</v>
      </c>
      <c r="I510" s="595">
        <f t="shared" si="30"/>
        <v>10835045.454545453</v>
      </c>
      <c r="J510" s="595">
        <f t="shared" si="31"/>
        <v>1083504.5454545454</v>
      </c>
      <c r="K510" s="596">
        <f>7363650+4554900</f>
        <v>11918550</v>
      </c>
      <c r="L510" s="597"/>
    </row>
    <row r="511" spans="1:12" x14ac:dyDescent="0.2">
      <c r="A511" s="316">
        <v>150</v>
      </c>
      <c r="B511" s="591" t="s">
        <v>2117</v>
      </c>
      <c r="C511" s="602" t="s">
        <v>2506</v>
      </c>
      <c r="D511" s="603"/>
      <c r="E511" s="604" t="s">
        <v>2415</v>
      </c>
      <c r="F511" s="605" t="s">
        <v>590</v>
      </c>
      <c r="G511" s="653"/>
      <c r="H511" s="606">
        <v>44646</v>
      </c>
      <c r="I511" s="607">
        <f t="shared" si="30"/>
        <v>117409.0909090909</v>
      </c>
      <c r="J511" s="607">
        <f t="shared" si="31"/>
        <v>11740.90909090909</v>
      </c>
      <c r="K511" s="596">
        <v>129150</v>
      </c>
      <c r="L511" s="597"/>
    </row>
    <row r="512" spans="1:12" x14ac:dyDescent="0.2">
      <c r="A512" s="316">
        <v>151</v>
      </c>
      <c r="B512" s="591" t="s">
        <v>2118</v>
      </c>
      <c r="C512" s="598" t="s">
        <v>2511</v>
      </c>
      <c r="D512" s="586"/>
      <c r="E512" s="593" t="s">
        <v>1753</v>
      </c>
      <c r="F512" s="593" t="s">
        <v>1019</v>
      </c>
      <c r="G512" s="653"/>
      <c r="H512" s="599">
        <v>44646</v>
      </c>
      <c r="I512" s="595">
        <f t="shared" si="30"/>
        <v>1208618.1818181816</v>
      </c>
      <c r="J512" s="595">
        <f t="shared" si="31"/>
        <v>120861.81818181818</v>
      </c>
      <c r="K512" s="596">
        <v>1329480</v>
      </c>
      <c r="L512" s="597"/>
    </row>
    <row r="513" spans="1:12" x14ac:dyDescent="0.2">
      <c r="A513" s="316">
        <v>152</v>
      </c>
      <c r="B513" s="591" t="s">
        <v>2119</v>
      </c>
      <c r="C513" s="598" t="s">
        <v>2538</v>
      </c>
      <c r="D513" s="586"/>
      <c r="E513" s="587" t="s">
        <v>1034</v>
      </c>
      <c r="F513" s="588" t="s">
        <v>984</v>
      </c>
      <c r="G513" s="653"/>
      <c r="H513" s="599">
        <v>44646</v>
      </c>
      <c r="I513" s="595">
        <f t="shared" si="30"/>
        <v>2639290.9090909087</v>
      </c>
      <c r="J513" s="595">
        <f t="shared" si="31"/>
        <v>263929.09090909088</v>
      </c>
      <c r="K513" s="596">
        <f>993780+1909440</f>
        <v>2903220</v>
      </c>
      <c r="L513" s="597"/>
    </row>
    <row r="514" spans="1:12" x14ac:dyDescent="0.2">
      <c r="A514" s="316">
        <v>153</v>
      </c>
      <c r="B514" s="591" t="s">
        <v>2120</v>
      </c>
      <c r="C514" s="598" t="s">
        <v>2513</v>
      </c>
      <c r="D514" s="586"/>
      <c r="E514" s="587" t="s">
        <v>1765</v>
      </c>
      <c r="F514" s="588" t="s">
        <v>579</v>
      </c>
      <c r="G514" s="653"/>
      <c r="H514" s="599">
        <v>44646</v>
      </c>
      <c r="I514" s="595">
        <f t="shared" si="30"/>
        <v>100909.0909090909</v>
      </c>
      <c r="J514" s="595">
        <f t="shared" si="31"/>
        <v>10090.90909090909</v>
      </c>
      <c r="K514" s="596">
        <v>111000</v>
      </c>
      <c r="L514" s="597"/>
    </row>
    <row r="515" spans="1:12" x14ac:dyDescent="0.2">
      <c r="A515" s="316">
        <v>154</v>
      </c>
      <c r="B515" s="591" t="s">
        <v>2121</v>
      </c>
      <c r="C515" s="598" t="s">
        <v>2552</v>
      </c>
      <c r="D515" s="586"/>
      <c r="E515" s="587" t="s">
        <v>992</v>
      </c>
      <c r="F515" s="588" t="s">
        <v>673</v>
      </c>
      <c r="G515" s="653"/>
      <c r="H515" s="599">
        <v>44648</v>
      </c>
      <c r="I515" s="595">
        <f t="shared" si="30"/>
        <v>7643999.9999999991</v>
      </c>
      <c r="J515" s="595">
        <f t="shared" si="31"/>
        <v>764400</v>
      </c>
      <c r="K515" s="596">
        <f>2058000+6350400</f>
        <v>8408400</v>
      </c>
      <c r="L515" s="597"/>
    </row>
    <row r="516" spans="1:12" x14ac:dyDescent="0.2">
      <c r="A516" s="316">
        <v>155</v>
      </c>
      <c r="B516" s="591" t="s">
        <v>2122</v>
      </c>
      <c r="C516" s="598" t="s">
        <v>2515</v>
      </c>
      <c r="D516" s="586"/>
      <c r="E516" s="587" t="s">
        <v>989</v>
      </c>
      <c r="F516" s="588" t="s">
        <v>990</v>
      </c>
      <c r="G516" s="653"/>
      <c r="H516" s="599">
        <v>44648</v>
      </c>
      <c r="I516" s="595">
        <f t="shared" si="30"/>
        <v>82745.454545454544</v>
      </c>
      <c r="J516" s="595">
        <f t="shared" si="31"/>
        <v>8274.545454545454</v>
      </c>
      <c r="K516" s="596">
        <v>91020</v>
      </c>
      <c r="L516" s="597"/>
    </row>
    <row r="517" spans="1:12" x14ac:dyDescent="0.2">
      <c r="A517" s="316">
        <v>156</v>
      </c>
      <c r="B517" s="591" t="s">
        <v>2123</v>
      </c>
      <c r="C517" s="598" t="s">
        <v>2516</v>
      </c>
      <c r="D517" s="586"/>
      <c r="E517" s="587" t="s">
        <v>1306</v>
      </c>
      <c r="F517" s="588" t="s">
        <v>984</v>
      </c>
      <c r="G517" s="653"/>
      <c r="H517" s="599">
        <v>44648</v>
      </c>
      <c r="I517" s="595">
        <f t="shared" si="30"/>
        <v>654545.45454545447</v>
      </c>
      <c r="J517" s="595">
        <f t="shared" si="31"/>
        <v>65454.545454545449</v>
      </c>
      <c r="K517" s="596">
        <v>720000</v>
      </c>
      <c r="L517" s="597"/>
    </row>
    <row r="518" spans="1:12" x14ac:dyDescent="0.2">
      <c r="A518" s="316">
        <v>157</v>
      </c>
      <c r="B518" s="591" t="s">
        <v>2124</v>
      </c>
      <c r="C518" s="598" t="s">
        <v>2518</v>
      </c>
      <c r="D518" s="586"/>
      <c r="E518" s="587" t="s">
        <v>1037</v>
      </c>
      <c r="F518" s="588" t="s">
        <v>1038</v>
      </c>
      <c r="G518" s="653"/>
      <c r="H518" s="599">
        <v>44649</v>
      </c>
      <c r="I518" s="595">
        <f t="shared" si="30"/>
        <v>724799.99999999988</v>
      </c>
      <c r="J518" s="595">
        <f t="shared" si="31"/>
        <v>72479.999999999985</v>
      </c>
      <c r="K518" s="596">
        <v>797280</v>
      </c>
      <c r="L518" s="597"/>
    </row>
    <row r="519" spans="1:12" x14ac:dyDescent="0.2">
      <c r="A519" s="316">
        <v>158</v>
      </c>
      <c r="B519" s="591" t="s">
        <v>2125</v>
      </c>
      <c r="C519" s="598" t="s">
        <v>2519</v>
      </c>
      <c r="D519" s="586"/>
      <c r="E519" s="587" t="s">
        <v>1325</v>
      </c>
      <c r="F519" s="588" t="s">
        <v>673</v>
      </c>
      <c r="G519" s="653"/>
      <c r="H519" s="599">
        <v>44649</v>
      </c>
      <c r="I519" s="595">
        <f t="shared" si="30"/>
        <v>113636.36363636363</v>
      </c>
      <c r="J519" s="595">
        <f t="shared" si="31"/>
        <v>11363.636363636364</v>
      </c>
      <c r="K519" s="596">
        <v>125000</v>
      </c>
      <c r="L519" s="597"/>
    </row>
    <row r="520" spans="1:12" x14ac:dyDescent="0.2">
      <c r="A520" s="316">
        <v>159</v>
      </c>
      <c r="B520" s="591" t="s">
        <v>2126</v>
      </c>
      <c r="C520" s="598" t="s">
        <v>2521</v>
      </c>
      <c r="D520" s="586"/>
      <c r="E520" s="587" t="s">
        <v>1060</v>
      </c>
      <c r="F520" s="588" t="s">
        <v>1061</v>
      </c>
      <c r="G520" s="653"/>
      <c r="H520" s="599">
        <v>44649</v>
      </c>
      <c r="I520" s="595">
        <f t="shared" si="30"/>
        <v>533809.09090909082</v>
      </c>
      <c r="J520" s="595">
        <f t="shared" si="31"/>
        <v>53380.909090909088</v>
      </c>
      <c r="K520" s="596">
        <v>587190</v>
      </c>
      <c r="L520" s="597"/>
    </row>
    <row r="521" spans="1:12" x14ac:dyDescent="0.2">
      <c r="A521" s="316">
        <v>160</v>
      </c>
      <c r="B521" s="591" t="s">
        <v>2127</v>
      </c>
      <c r="C521" s="598" t="s">
        <v>2522</v>
      </c>
      <c r="D521" s="586"/>
      <c r="E521" s="587" t="s">
        <v>1793</v>
      </c>
      <c r="F521" s="588" t="s">
        <v>1015</v>
      </c>
      <c r="G521" s="653"/>
      <c r="H521" s="599">
        <v>44650</v>
      </c>
      <c r="I521" s="595">
        <f t="shared" si="30"/>
        <v>914072.72727272718</v>
      </c>
      <c r="J521" s="595">
        <f t="shared" si="31"/>
        <v>91407.272727272721</v>
      </c>
      <c r="K521" s="596">
        <v>1005480</v>
      </c>
      <c r="L521" s="597"/>
    </row>
    <row r="522" spans="1:12" x14ac:dyDescent="0.2">
      <c r="A522" s="316">
        <v>161</v>
      </c>
      <c r="B522" s="591" t="s">
        <v>2128</v>
      </c>
      <c r="C522" s="602" t="s">
        <v>2527</v>
      </c>
      <c r="D522" s="603"/>
      <c r="E522" s="604" t="s">
        <v>995</v>
      </c>
      <c r="F522" s="605" t="s">
        <v>996</v>
      </c>
      <c r="G522" s="653"/>
      <c r="H522" s="606">
        <v>44650</v>
      </c>
      <c r="I522" s="607">
        <f t="shared" ref="I522:I558" si="34">K522/1.1</f>
        <v>7651636.3636363633</v>
      </c>
      <c r="J522" s="607">
        <f t="shared" ref="J522:J558" si="35">I522*10%</f>
        <v>765163.63636363635</v>
      </c>
      <c r="K522" s="596">
        <v>8416800</v>
      </c>
      <c r="L522" s="597"/>
    </row>
    <row r="523" spans="1:12" x14ac:dyDescent="0.2">
      <c r="A523" s="316">
        <v>162</v>
      </c>
      <c r="B523" s="591" t="s">
        <v>2129</v>
      </c>
      <c r="C523" s="598" t="s">
        <v>2528</v>
      </c>
      <c r="D523" s="586"/>
      <c r="E523" s="593" t="s">
        <v>2367</v>
      </c>
      <c r="F523" s="593" t="s">
        <v>2368</v>
      </c>
      <c r="G523" s="653"/>
      <c r="H523" s="599">
        <v>44650</v>
      </c>
      <c r="I523" s="595">
        <f t="shared" si="34"/>
        <v>164209.09090909088</v>
      </c>
      <c r="J523" s="595">
        <f t="shared" si="35"/>
        <v>16420.909090909088</v>
      </c>
      <c r="K523" s="596">
        <v>180630</v>
      </c>
      <c r="L523" s="597"/>
    </row>
    <row r="524" spans="1:12" x14ac:dyDescent="0.2">
      <c r="A524" s="316">
        <v>163</v>
      </c>
      <c r="B524" s="591" t="s">
        <v>2130</v>
      </c>
      <c r="C524" s="598" t="s">
        <v>2532</v>
      </c>
      <c r="D524" s="586"/>
      <c r="E524" s="587" t="s">
        <v>1087</v>
      </c>
      <c r="F524" s="588" t="s">
        <v>1047</v>
      </c>
      <c r="G524" s="653"/>
      <c r="H524" s="599">
        <v>44651</v>
      </c>
      <c r="I524" s="595">
        <f t="shared" si="34"/>
        <v>447709.09090909088</v>
      </c>
      <c r="J524" s="595">
        <f t="shared" si="35"/>
        <v>44770.909090909088</v>
      </c>
      <c r="K524" s="596">
        <v>492480</v>
      </c>
      <c r="L524" s="597"/>
    </row>
    <row r="525" spans="1:12" x14ac:dyDescent="0.2">
      <c r="A525" s="316">
        <v>164</v>
      </c>
      <c r="B525" s="591" t="s">
        <v>2131</v>
      </c>
      <c r="C525" s="598" t="s">
        <v>2534</v>
      </c>
      <c r="D525" s="586"/>
      <c r="E525" s="587" t="s">
        <v>1716</v>
      </c>
      <c r="F525" s="588" t="s">
        <v>1055</v>
      </c>
      <c r="G525" s="653"/>
      <c r="H525" s="599">
        <v>44651</v>
      </c>
      <c r="I525" s="595">
        <f t="shared" si="34"/>
        <v>2298309.0909090908</v>
      </c>
      <c r="J525" s="595">
        <f t="shared" si="35"/>
        <v>229830.90909090909</v>
      </c>
      <c r="K525" s="596">
        <v>2528140</v>
      </c>
      <c r="L525" s="597"/>
    </row>
    <row r="526" spans="1:12" x14ac:dyDescent="0.2">
      <c r="A526" s="316">
        <v>165</v>
      </c>
      <c r="B526" s="591" t="s">
        <v>2132</v>
      </c>
      <c r="C526" s="598" t="s">
        <v>2535</v>
      </c>
      <c r="D526" s="586"/>
      <c r="E526" s="587" t="s">
        <v>1783</v>
      </c>
      <c r="F526" s="588" t="s">
        <v>1033</v>
      </c>
      <c r="G526" s="653"/>
      <c r="H526" s="599">
        <v>44651</v>
      </c>
      <c r="I526" s="595">
        <f t="shared" si="34"/>
        <v>1174090.9090909089</v>
      </c>
      <c r="J526" s="595">
        <f t="shared" si="35"/>
        <v>117409.0909090909</v>
      </c>
      <c r="K526" s="596">
        <v>1291500</v>
      </c>
      <c r="L526" s="597"/>
    </row>
    <row r="527" spans="1:12" x14ac:dyDescent="0.2">
      <c r="A527" s="316">
        <v>166</v>
      </c>
      <c r="B527" s="591" t="s">
        <v>2427</v>
      </c>
      <c r="C527" s="598" t="s">
        <v>2540</v>
      </c>
      <c r="D527" s="586"/>
      <c r="E527" s="587" t="s">
        <v>2541</v>
      </c>
      <c r="F527" s="588" t="s">
        <v>1191</v>
      </c>
      <c r="G527" s="653"/>
      <c r="H527" s="599">
        <v>44651</v>
      </c>
      <c r="I527" s="595">
        <f t="shared" si="34"/>
        <v>454090.90909090906</v>
      </c>
      <c r="J527" s="595">
        <f t="shared" si="35"/>
        <v>45409.090909090912</v>
      </c>
      <c r="K527" s="596">
        <v>499500</v>
      </c>
      <c r="L527" s="597"/>
    </row>
    <row r="528" spans="1:12" x14ac:dyDescent="0.2">
      <c r="A528" s="316">
        <v>167</v>
      </c>
      <c r="B528" s="591" t="s">
        <v>2428</v>
      </c>
      <c r="C528" s="598" t="s">
        <v>2544</v>
      </c>
      <c r="D528" s="586"/>
      <c r="E528" s="587" t="s">
        <v>1097</v>
      </c>
      <c r="F528" s="588" t="s">
        <v>1099</v>
      </c>
      <c r="G528" s="653"/>
      <c r="H528" s="599">
        <v>44651</v>
      </c>
      <c r="I528" s="595">
        <f t="shared" si="34"/>
        <v>2139136.3636363633</v>
      </c>
      <c r="J528" s="595">
        <f t="shared" si="35"/>
        <v>213913.63636363635</v>
      </c>
      <c r="K528" s="596">
        <v>2353050</v>
      </c>
      <c r="L528" s="597"/>
    </row>
    <row r="529" spans="1:12" x14ac:dyDescent="0.2">
      <c r="A529" s="316">
        <v>168</v>
      </c>
      <c r="B529" s="591" t="s">
        <v>2429</v>
      </c>
      <c r="C529" s="598" t="s">
        <v>2545</v>
      </c>
      <c r="D529" s="586"/>
      <c r="E529" s="587" t="s">
        <v>1054</v>
      </c>
      <c r="F529" s="588" t="s">
        <v>1055</v>
      </c>
      <c r="G529" s="653"/>
      <c r="H529" s="599">
        <v>44651</v>
      </c>
      <c r="I529" s="595">
        <f t="shared" si="34"/>
        <v>7366909.0909090899</v>
      </c>
      <c r="J529" s="595">
        <f t="shared" si="35"/>
        <v>736690.90909090906</v>
      </c>
      <c r="K529" s="596">
        <v>8103600</v>
      </c>
      <c r="L529" s="597"/>
    </row>
    <row r="530" spans="1:12" x14ac:dyDescent="0.2">
      <c r="A530" s="316">
        <v>169</v>
      </c>
      <c r="B530" s="591" t="s">
        <v>2430</v>
      </c>
      <c r="C530" s="598" t="s">
        <v>2546</v>
      </c>
      <c r="D530" s="586"/>
      <c r="E530" s="587" t="s">
        <v>1023</v>
      </c>
      <c r="F530" s="588" t="s">
        <v>1025</v>
      </c>
      <c r="G530" s="653"/>
      <c r="H530" s="599">
        <v>44651</v>
      </c>
      <c r="I530" s="595">
        <f t="shared" si="34"/>
        <v>4123636.3636363633</v>
      </c>
      <c r="J530" s="595">
        <f t="shared" si="35"/>
        <v>412363.63636363635</v>
      </c>
      <c r="K530" s="596">
        <v>4536000</v>
      </c>
      <c r="L530" s="597"/>
    </row>
    <row r="531" spans="1:12" x14ac:dyDescent="0.2">
      <c r="A531" s="316">
        <v>170</v>
      </c>
      <c r="B531" s="591" t="s">
        <v>2431</v>
      </c>
      <c r="C531" s="598" t="s">
        <v>2548</v>
      </c>
      <c r="D531" s="586"/>
      <c r="E531" s="587" t="s">
        <v>1072</v>
      </c>
      <c r="F531" s="588" t="s">
        <v>1058</v>
      </c>
      <c r="G531" s="653"/>
      <c r="H531" s="599">
        <v>44651</v>
      </c>
      <c r="I531" s="595">
        <f t="shared" si="34"/>
        <v>3968999.9999999995</v>
      </c>
      <c r="J531" s="595">
        <f t="shared" si="35"/>
        <v>396900</v>
      </c>
      <c r="K531" s="596">
        <v>4365900</v>
      </c>
      <c r="L531" s="597"/>
    </row>
    <row r="532" spans="1:12" x14ac:dyDescent="0.2">
      <c r="A532" s="316">
        <v>171</v>
      </c>
      <c r="B532" s="591" t="s">
        <v>2432</v>
      </c>
      <c r="C532" s="598" t="s">
        <v>2550</v>
      </c>
      <c r="D532" s="586"/>
      <c r="E532" s="587" t="s">
        <v>1014</v>
      </c>
      <c r="F532" s="588" t="s">
        <v>2551</v>
      </c>
      <c r="G532" s="653"/>
      <c r="H532" s="599">
        <v>44651</v>
      </c>
      <c r="I532" s="595">
        <f t="shared" si="34"/>
        <v>3951818.1818181816</v>
      </c>
      <c r="J532" s="595">
        <f t="shared" si="35"/>
        <v>395181.81818181818</v>
      </c>
      <c r="K532" s="596">
        <v>4347000</v>
      </c>
      <c r="L532" s="597"/>
    </row>
    <row r="533" spans="1:12" x14ac:dyDescent="0.2">
      <c r="A533" s="316">
        <v>172</v>
      </c>
      <c r="B533" s="591" t="s">
        <v>2433</v>
      </c>
      <c r="C533" s="598" t="s">
        <v>2553</v>
      </c>
      <c r="D533" s="586"/>
      <c r="E533" s="587" t="s">
        <v>1006</v>
      </c>
      <c r="F533" s="588" t="s">
        <v>984</v>
      </c>
      <c r="G533" s="653"/>
      <c r="H533" s="599">
        <v>44651</v>
      </c>
      <c r="I533" s="595">
        <f t="shared" si="34"/>
        <v>2147727.2727272725</v>
      </c>
      <c r="J533" s="595">
        <f t="shared" si="35"/>
        <v>214772.72727272726</v>
      </c>
      <c r="K533" s="596">
        <v>2362500</v>
      </c>
      <c r="L533" s="597"/>
    </row>
    <row r="534" spans="1:12" x14ac:dyDescent="0.2">
      <c r="A534" s="316">
        <v>173</v>
      </c>
      <c r="B534" s="591" t="s">
        <v>2434</v>
      </c>
      <c r="C534" s="598" t="s">
        <v>2555</v>
      </c>
      <c r="D534" s="586"/>
      <c r="E534" s="587" t="s">
        <v>2556</v>
      </c>
      <c r="F534" s="588" t="s">
        <v>590</v>
      </c>
      <c r="G534" s="653"/>
      <c r="H534" s="599">
        <v>44651</v>
      </c>
      <c r="I534" s="595">
        <f t="shared" si="34"/>
        <v>1493636.3636363635</v>
      </c>
      <c r="J534" s="595">
        <f t="shared" si="35"/>
        <v>149363.63636363635</v>
      </c>
      <c r="K534" s="596">
        <v>1643000</v>
      </c>
      <c r="L534" s="597"/>
    </row>
    <row r="535" spans="1:12" x14ac:dyDescent="0.2">
      <c r="A535" s="316">
        <v>174</v>
      </c>
      <c r="B535" s="591" t="s">
        <v>2435</v>
      </c>
      <c r="C535" s="598" t="s">
        <v>2558</v>
      </c>
      <c r="D535" s="586"/>
      <c r="E535" s="587" t="s">
        <v>1235</v>
      </c>
      <c r="F535" s="588" t="s">
        <v>1104</v>
      </c>
      <c r="G535" s="653"/>
      <c r="H535" s="599">
        <v>44651</v>
      </c>
      <c r="I535" s="595">
        <f t="shared" si="34"/>
        <v>1604290.9090909089</v>
      </c>
      <c r="J535" s="595">
        <f t="shared" si="35"/>
        <v>160429.09090909091</v>
      </c>
      <c r="K535" s="596">
        <v>1764720</v>
      </c>
      <c r="L535" s="597"/>
    </row>
    <row r="536" spans="1:12" x14ac:dyDescent="0.2">
      <c r="A536" s="316">
        <v>175</v>
      </c>
      <c r="B536" s="591" t="s">
        <v>2436</v>
      </c>
      <c r="C536" s="602" t="s">
        <v>2564</v>
      </c>
      <c r="D536" s="603"/>
      <c r="E536" s="604" t="s">
        <v>1124</v>
      </c>
      <c r="F536" s="605" t="s">
        <v>599</v>
      </c>
      <c r="G536" s="653"/>
      <c r="H536" s="606">
        <v>44651</v>
      </c>
      <c r="I536" s="607">
        <f t="shared" si="34"/>
        <v>1855636.3636363635</v>
      </c>
      <c r="J536" s="607">
        <f t="shared" si="35"/>
        <v>185563.63636363635</v>
      </c>
      <c r="K536" s="596">
        <v>2041200</v>
      </c>
      <c r="L536" s="597"/>
    </row>
    <row r="537" spans="1:12" x14ac:dyDescent="0.2">
      <c r="A537" s="316">
        <v>176</v>
      </c>
      <c r="B537" s="591" t="s">
        <v>2437</v>
      </c>
      <c r="C537" s="598" t="s">
        <v>2566</v>
      </c>
      <c r="D537" s="586"/>
      <c r="E537" s="587" t="s">
        <v>2567</v>
      </c>
      <c r="F537" s="588" t="s">
        <v>2368</v>
      </c>
      <c r="G537" s="653"/>
      <c r="H537" s="599">
        <v>44650</v>
      </c>
      <c r="I537" s="595">
        <f t="shared" si="34"/>
        <v>2999999.9999999995</v>
      </c>
      <c r="J537" s="595">
        <f t="shared" si="35"/>
        <v>299999.99999999994</v>
      </c>
      <c r="K537" s="596">
        <f>3300000</f>
        <v>3300000</v>
      </c>
      <c r="L537" s="597"/>
    </row>
    <row r="538" spans="1:12" x14ac:dyDescent="0.2">
      <c r="A538" s="316">
        <v>177</v>
      </c>
      <c r="B538" s="591" t="s">
        <v>2438</v>
      </c>
      <c r="C538" s="598" t="s">
        <v>2571</v>
      </c>
      <c r="D538" s="586"/>
      <c r="E538" s="587" t="s">
        <v>2568</v>
      </c>
      <c r="F538" s="588" t="s">
        <v>2368</v>
      </c>
      <c r="G538" s="653"/>
      <c r="H538" s="599">
        <v>44650</v>
      </c>
      <c r="I538" s="595">
        <f t="shared" si="34"/>
        <v>1203709.0909090908</v>
      </c>
      <c r="J538" s="595">
        <f t="shared" si="35"/>
        <v>120370.90909090909</v>
      </c>
      <c r="K538" s="596">
        <f>779760+544320</f>
        <v>1324080</v>
      </c>
      <c r="L538" s="597"/>
    </row>
    <row r="539" spans="1:12" x14ac:dyDescent="0.2">
      <c r="A539" s="316">
        <v>178</v>
      </c>
      <c r="B539" s="591" t="s">
        <v>2439</v>
      </c>
      <c r="C539" s="598" t="s">
        <v>2572</v>
      </c>
      <c r="D539" s="586"/>
      <c r="E539" s="587" t="s">
        <v>2565</v>
      </c>
      <c r="F539" s="588" t="s">
        <v>2368</v>
      </c>
      <c r="G539" s="653"/>
      <c r="H539" s="599">
        <v>44651</v>
      </c>
      <c r="I539" s="595">
        <f t="shared" si="34"/>
        <v>3869999.9999999995</v>
      </c>
      <c r="J539" s="595">
        <f t="shared" si="35"/>
        <v>387000</v>
      </c>
      <c r="K539" s="596">
        <f>54000+54000+60000+12750+154350+24500+789000+503100+57000+69000+552000+138000+414000+33500+1234800+60000+47000</f>
        <v>4257000</v>
      </c>
      <c r="L539" s="597"/>
    </row>
    <row r="540" spans="1:12" x14ac:dyDescent="0.2">
      <c r="A540" s="316">
        <v>179</v>
      </c>
      <c r="B540" s="591" t="s">
        <v>2440</v>
      </c>
      <c r="C540" s="598" t="s">
        <v>2570</v>
      </c>
      <c r="D540" s="586"/>
      <c r="E540" s="587" t="s">
        <v>2569</v>
      </c>
      <c r="F540" s="588" t="s">
        <v>2368</v>
      </c>
      <c r="G540" s="653"/>
      <c r="H540" s="599">
        <v>44651</v>
      </c>
      <c r="I540" s="595">
        <f t="shared" si="34"/>
        <v>2375218.1818181816</v>
      </c>
      <c r="J540" s="595">
        <f t="shared" si="35"/>
        <v>237521.81818181818</v>
      </c>
      <c r="K540" s="596">
        <v>2612740</v>
      </c>
      <c r="L540" s="597"/>
    </row>
    <row r="541" spans="1:12" x14ac:dyDescent="0.2">
      <c r="A541" s="316">
        <v>180</v>
      </c>
      <c r="B541" s="591" t="s">
        <v>2441</v>
      </c>
      <c r="C541" s="598" t="s">
        <v>2574</v>
      </c>
      <c r="D541" s="586"/>
      <c r="E541" s="587" t="s">
        <v>2573</v>
      </c>
      <c r="F541" s="588" t="s">
        <v>2368</v>
      </c>
      <c r="G541" s="653"/>
      <c r="H541" s="599">
        <v>44649</v>
      </c>
      <c r="I541" s="595">
        <f t="shared" si="34"/>
        <v>436727.27272727271</v>
      </c>
      <c r="J541" s="595">
        <f t="shared" si="35"/>
        <v>43672.727272727272</v>
      </c>
      <c r="K541" s="596">
        <f>70000+98400+312000</f>
        <v>480400</v>
      </c>
      <c r="L541" s="597"/>
    </row>
    <row r="542" spans="1:12" x14ac:dyDescent="0.2">
      <c r="A542" s="316">
        <v>181</v>
      </c>
      <c r="B542" s="591" t="s">
        <v>2442</v>
      </c>
      <c r="C542" s="598" t="s">
        <v>2575</v>
      </c>
      <c r="D542" s="586"/>
      <c r="E542" s="587" t="s">
        <v>2409</v>
      </c>
      <c r="F542" s="588" t="s">
        <v>2368</v>
      </c>
      <c r="G542" s="653"/>
      <c r="H542" s="599">
        <v>44651</v>
      </c>
      <c r="I542" s="595">
        <f t="shared" si="34"/>
        <v>692045.45454545447</v>
      </c>
      <c r="J542" s="595">
        <f t="shared" si="35"/>
        <v>69204.545454545456</v>
      </c>
      <c r="K542" s="596">
        <v>761250</v>
      </c>
      <c r="L542" s="597"/>
    </row>
    <row r="543" spans="1:12" x14ac:dyDescent="0.2">
      <c r="A543" s="316">
        <v>182</v>
      </c>
      <c r="B543" s="591" t="s">
        <v>2443</v>
      </c>
      <c r="C543" s="598" t="s">
        <v>2577</v>
      </c>
      <c r="D543" s="586"/>
      <c r="E543" s="587" t="s">
        <v>2578</v>
      </c>
      <c r="F543" s="588" t="s">
        <v>2579</v>
      </c>
      <c r="G543" s="653"/>
      <c r="H543" s="599">
        <v>44627</v>
      </c>
      <c r="I543" s="595">
        <f t="shared" si="34"/>
        <v>2247272.7272727271</v>
      </c>
      <c r="J543" s="595">
        <f t="shared" si="35"/>
        <v>224727.27272727271</v>
      </c>
      <c r="K543" s="596">
        <v>2472000</v>
      </c>
      <c r="L543" s="597"/>
    </row>
    <row r="544" spans="1:12" x14ac:dyDescent="0.2">
      <c r="A544" s="316">
        <v>183</v>
      </c>
      <c r="B544" s="591" t="s">
        <v>2444</v>
      </c>
      <c r="C544" s="598" t="s">
        <v>2582</v>
      </c>
      <c r="D544" s="586"/>
      <c r="E544" s="587" t="s">
        <v>2583</v>
      </c>
      <c r="F544" s="588" t="s">
        <v>966</v>
      </c>
      <c r="G544" s="653"/>
      <c r="H544" s="599">
        <v>44631</v>
      </c>
      <c r="I544" s="595">
        <f t="shared" si="34"/>
        <v>4727863.6363636358</v>
      </c>
      <c r="J544" s="595">
        <f t="shared" si="35"/>
        <v>472786.36363636359</v>
      </c>
      <c r="K544" s="596">
        <v>5200650</v>
      </c>
      <c r="L544" s="597"/>
    </row>
    <row r="545" spans="1:12" x14ac:dyDescent="0.2">
      <c r="A545" s="316">
        <v>184</v>
      </c>
      <c r="B545" s="591" t="s">
        <v>2445</v>
      </c>
      <c r="C545" s="602" t="s">
        <v>2584</v>
      </c>
      <c r="D545" s="603"/>
      <c r="E545" s="604" t="s">
        <v>2585</v>
      </c>
      <c r="F545" s="605" t="s">
        <v>587</v>
      </c>
      <c r="G545" s="653"/>
      <c r="H545" s="606">
        <v>44639</v>
      </c>
      <c r="I545" s="607">
        <f t="shared" si="34"/>
        <v>100909.0909090909</v>
      </c>
      <c r="J545" s="607">
        <f t="shared" si="35"/>
        <v>10090.90909090909</v>
      </c>
      <c r="K545" s="596">
        <v>111000</v>
      </c>
      <c r="L545" s="597"/>
    </row>
    <row r="546" spans="1:12" x14ac:dyDescent="0.2">
      <c r="A546" s="316">
        <v>185</v>
      </c>
      <c r="B546" s="591" t="s">
        <v>2446</v>
      </c>
      <c r="C546" s="598" t="s">
        <v>2586</v>
      </c>
      <c r="D546" s="586"/>
      <c r="E546" s="593" t="s">
        <v>972</v>
      </c>
      <c r="F546" s="593" t="s">
        <v>966</v>
      </c>
      <c r="G546" s="653"/>
      <c r="H546" s="599">
        <v>44641</v>
      </c>
      <c r="I546" s="595">
        <f t="shared" si="34"/>
        <v>14818363.636363635</v>
      </c>
      <c r="J546" s="595">
        <f t="shared" si="35"/>
        <v>1481836.3636363635</v>
      </c>
      <c r="K546" s="596">
        <v>16300200</v>
      </c>
      <c r="L546" s="597"/>
    </row>
    <row r="547" spans="1:12" x14ac:dyDescent="0.2">
      <c r="A547" s="316">
        <v>186</v>
      </c>
      <c r="B547" s="591" t="s">
        <v>2447</v>
      </c>
      <c r="C547" s="598" t="s">
        <v>2591</v>
      </c>
      <c r="D547" s="586"/>
      <c r="E547" s="587" t="s">
        <v>1062</v>
      </c>
      <c r="F547" s="588" t="s">
        <v>966</v>
      </c>
      <c r="G547" s="653"/>
      <c r="H547" s="599">
        <v>44642</v>
      </c>
      <c r="I547" s="595">
        <f t="shared" ref="I547:I548" si="36">K547/1.1</f>
        <v>16867136.363636363</v>
      </c>
      <c r="J547" s="595">
        <f t="shared" ref="J547:J548" si="37">I547*10%</f>
        <v>1686713.6363636365</v>
      </c>
      <c r="K547" s="596">
        <f>14906150+3647700</f>
        <v>18553850</v>
      </c>
      <c r="L547" s="597"/>
    </row>
    <row r="548" spans="1:12" x14ac:dyDescent="0.2">
      <c r="A548" s="316">
        <v>187</v>
      </c>
      <c r="B548" s="591" t="s">
        <v>2448</v>
      </c>
      <c r="C548" s="598" t="s">
        <v>2588</v>
      </c>
      <c r="D548" s="586"/>
      <c r="E548" s="587" t="s">
        <v>965</v>
      </c>
      <c r="F548" s="588" t="s">
        <v>966</v>
      </c>
      <c r="G548" s="653"/>
      <c r="H548" s="599">
        <v>44645</v>
      </c>
      <c r="I548" s="595">
        <f t="shared" si="36"/>
        <v>22643727.27272727</v>
      </c>
      <c r="J548" s="595">
        <f t="shared" si="37"/>
        <v>2264372.7272727271</v>
      </c>
      <c r="K548" s="596">
        <f>14301000+6919500+3687600</f>
        <v>24908100</v>
      </c>
      <c r="L548" s="597"/>
    </row>
    <row r="549" spans="1:12" x14ac:dyDescent="0.2">
      <c r="A549" s="316">
        <v>188</v>
      </c>
      <c r="B549" s="591" t="s">
        <v>2449</v>
      </c>
      <c r="C549" s="598" t="s">
        <v>2589</v>
      </c>
      <c r="D549" s="586"/>
      <c r="E549" s="587" t="s">
        <v>969</v>
      </c>
      <c r="F549" s="588" t="s">
        <v>966</v>
      </c>
      <c r="G549" s="653"/>
      <c r="H549" s="599">
        <v>44646</v>
      </c>
      <c r="I549" s="595">
        <v>34757545.454545453</v>
      </c>
      <c r="J549" s="595">
        <v>3475754.5454545454</v>
      </c>
      <c r="K549" s="596">
        <v>38233300</v>
      </c>
      <c r="L549" s="597"/>
    </row>
    <row r="550" spans="1:12" x14ac:dyDescent="0.2">
      <c r="A550" s="316">
        <v>189</v>
      </c>
      <c r="B550" s="591" t="s">
        <v>2450</v>
      </c>
      <c r="C550" s="598" t="s">
        <v>2587</v>
      </c>
      <c r="D550" s="586"/>
      <c r="E550" s="587" t="s">
        <v>1029</v>
      </c>
      <c r="F550" s="588" t="s">
        <v>966</v>
      </c>
      <c r="G550" s="653"/>
      <c r="H550" s="599">
        <v>44646</v>
      </c>
      <c r="I550" s="595">
        <v>4393454.5454545449</v>
      </c>
      <c r="J550" s="595">
        <v>439345.45454545453</v>
      </c>
      <c r="K550" s="596">
        <v>4832800</v>
      </c>
      <c r="L550" s="597"/>
    </row>
    <row r="551" spans="1:12" x14ac:dyDescent="0.2">
      <c r="A551" s="316">
        <v>190</v>
      </c>
      <c r="B551" s="591" t="s">
        <v>2451</v>
      </c>
      <c r="C551" s="598" t="s">
        <v>2590</v>
      </c>
      <c r="D551" s="586"/>
      <c r="E551" s="587" t="s">
        <v>969</v>
      </c>
      <c r="F551" s="588" t="s">
        <v>966</v>
      </c>
      <c r="G551" s="653"/>
      <c r="H551" s="599">
        <v>44650</v>
      </c>
      <c r="I551" s="595">
        <f t="shared" si="34"/>
        <v>4390909.0909090908</v>
      </c>
      <c r="J551" s="595">
        <f t="shared" si="35"/>
        <v>439090.90909090912</v>
      </c>
      <c r="K551" s="596">
        <v>4830000</v>
      </c>
      <c r="L551" s="597"/>
    </row>
    <row r="552" spans="1:12" x14ac:dyDescent="0.2">
      <c r="A552" s="316">
        <v>191</v>
      </c>
      <c r="B552" s="591" t="s">
        <v>2452</v>
      </c>
      <c r="C552" s="598" t="s">
        <v>2594</v>
      </c>
      <c r="D552" s="586"/>
      <c r="E552" s="587" t="s">
        <v>2576</v>
      </c>
      <c r="F552" s="588" t="s">
        <v>2368</v>
      </c>
      <c r="G552" s="653"/>
      <c r="H552" s="599">
        <v>44622</v>
      </c>
      <c r="I552" s="595">
        <f t="shared" si="34"/>
        <v>12216554.545454545</v>
      </c>
      <c r="J552" s="595">
        <f t="shared" si="35"/>
        <v>1221655.4545454546</v>
      </c>
      <c r="K552" s="596">
        <f>1182672+778644+2823552+756000+497424+785352+1002416+1644728+350622+2746800+870000</f>
        <v>13438210</v>
      </c>
      <c r="L552" s="597"/>
    </row>
    <row r="553" spans="1:12" x14ac:dyDescent="0.2">
      <c r="A553" s="316">
        <v>192</v>
      </c>
      <c r="B553" s="591" t="s">
        <v>2453</v>
      </c>
      <c r="C553" s="598" t="s">
        <v>2595</v>
      </c>
      <c r="D553" s="586"/>
      <c r="E553" s="587" t="s">
        <v>2576</v>
      </c>
      <c r="F553" s="588" t="s">
        <v>2368</v>
      </c>
      <c r="G553" s="653"/>
      <c r="H553" s="599">
        <v>44627</v>
      </c>
      <c r="I553" s="595">
        <f t="shared" si="34"/>
        <v>14069996.363636363</v>
      </c>
      <c r="J553" s="595">
        <f t="shared" si="35"/>
        <v>1406999.6363636365</v>
      </c>
      <c r="K553" s="596">
        <f>455112+196080+4596912+1201300+470592+260580+3281760+2972160+2042500</f>
        <v>15476996</v>
      </c>
      <c r="L553" s="597"/>
    </row>
    <row r="554" spans="1:12" x14ac:dyDescent="0.2">
      <c r="A554" s="316">
        <v>193</v>
      </c>
      <c r="B554" s="591" t="s">
        <v>2454</v>
      </c>
      <c r="C554" s="598" t="s">
        <v>2596</v>
      </c>
      <c r="D554" s="586"/>
      <c r="E554" s="587" t="s">
        <v>2576</v>
      </c>
      <c r="F554" s="588" t="s">
        <v>2368</v>
      </c>
      <c r="G554" s="653"/>
      <c r="H554" s="599">
        <v>44628</v>
      </c>
      <c r="I554" s="595">
        <f t="shared" si="34"/>
        <v>10284756.363636363</v>
      </c>
      <c r="J554" s="595">
        <f t="shared" si="35"/>
        <v>1028475.6363636364</v>
      </c>
      <c r="K554" s="596">
        <f>2823552+6393636+36000+172000+267804+516000+1104240</f>
        <v>11313232</v>
      </c>
      <c r="L554" s="597"/>
    </row>
    <row r="555" spans="1:12" x14ac:dyDescent="0.2">
      <c r="A555" s="316">
        <v>194</v>
      </c>
      <c r="B555" s="591" t="s">
        <v>2455</v>
      </c>
      <c r="C555" s="598" t="s">
        <v>2592</v>
      </c>
      <c r="D555" s="586"/>
      <c r="E555" s="587" t="s">
        <v>2576</v>
      </c>
      <c r="F555" s="588" t="s">
        <v>2368</v>
      </c>
      <c r="G555" s="653"/>
      <c r="H555" s="599">
        <v>44629</v>
      </c>
      <c r="I555" s="595">
        <f t="shared" si="34"/>
        <v>4376618.1818181816</v>
      </c>
      <c r="J555" s="595">
        <f t="shared" si="35"/>
        <v>437661.81818181818</v>
      </c>
      <c r="K555" s="596">
        <f>2022720+1424160+1367400</f>
        <v>4814280</v>
      </c>
      <c r="L555" s="597"/>
    </row>
    <row r="556" spans="1:12" x14ac:dyDescent="0.2">
      <c r="A556" s="316">
        <v>195</v>
      </c>
      <c r="B556" s="591" t="s">
        <v>2456</v>
      </c>
      <c r="C556" s="602" t="s">
        <v>2593</v>
      </c>
      <c r="D556" s="603"/>
      <c r="E556" s="604" t="s">
        <v>2576</v>
      </c>
      <c r="F556" s="605" t="s">
        <v>2368</v>
      </c>
      <c r="G556" s="653"/>
      <c r="H556" s="606">
        <v>44645</v>
      </c>
      <c r="I556" s="607">
        <f t="shared" ref="I556:I557" si="38">K556/1.1</f>
        <v>14949458.18181818</v>
      </c>
      <c r="J556" s="607">
        <f t="shared" ref="J556:J557" si="39">I556*10%</f>
        <v>1494945.8181818181</v>
      </c>
      <c r="K556" s="596">
        <v>16444404</v>
      </c>
      <c r="L556" s="597"/>
    </row>
    <row r="557" spans="1:12" x14ac:dyDescent="0.2">
      <c r="A557" s="316">
        <v>196</v>
      </c>
      <c r="B557" s="591" t="s">
        <v>2457</v>
      </c>
      <c r="C557" s="598" t="s">
        <v>2597</v>
      </c>
      <c r="D557" s="586"/>
      <c r="E557" s="593" t="s">
        <v>2576</v>
      </c>
      <c r="F557" s="593" t="s">
        <v>2368</v>
      </c>
      <c r="G557" s="653"/>
      <c r="H557" s="599">
        <v>44651</v>
      </c>
      <c r="I557" s="595">
        <f t="shared" si="38"/>
        <v>10116883.636363635</v>
      </c>
      <c r="J557" s="595">
        <f t="shared" si="39"/>
        <v>1011688.3636363635</v>
      </c>
      <c r="K557" s="596">
        <f>1634688+3642444+5851440</f>
        <v>11128572</v>
      </c>
      <c r="L557" s="597"/>
    </row>
    <row r="558" spans="1:12" x14ac:dyDescent="0.2">
      <c r="B558" s="591"/>
      <c r="C558" s="617"/>
      <c r="D558" s="618"/>
      <c r="E558" s="619"/>
      <c r="F558" s="620"/>
      <c r="G558" s="655"/>
      <c r="H558" s="621"/>
      <c r="I558" s="622">
        <f t="shared" si="34"/>
        <v>0</v>
      </c>
      <c r="J558" s="622">
        <f t="shared" si="35"/>
        <v>0</v>
      </c>
      <c r="K558" s="623"/>
      <c r="L558" s="624"/>
    </row>
    <row r="559" spans="1:12" ht="18" x14ac:dyDescent="0.25">
      <c r="B559" s="630" t="s">
        <v>289</v>
      </c>
      <c r="C559" s="631"/>
      <c r="D559" s="632"/>
      <c r="E559" s="633"/>
      <c r="F559" s="634"/>
      <c r="G559" s="656"/>
      <c r="H559" s="635"/>
      <c r="I559" s="636">
        <f>SUM(I362:I558)</f>
        <v>1173352414.5454547</v>
      </c>
      <c r="J559" s="636">
        <f>SUM(J362:J558)</f>
        <v>117335241.45454541</v>
      </c>
      <c r="K559" s="637">
        <f>SUM(K362:K558)</f>
        <v>1290687656</v>
      </c>
      <c r="L559" s="638"/>
    </row>
    <row r="560" spans="1:12" s="429" customFormat="1" ht="20.25" x14ac:dyDescent="0.3">
      <c r="A560" s="316"/>
      <c r="B560" s="639" t="s">
        <v>101</v>
      </c>
      <c r="C560" s="626"/>
      <c r="D560" s="627"/>
      <c r="E560" s="627"/>
      <c r="F560" s="627"/>
      <c r="G560" s="627"/>
      <c r="H560" s="640"/>
      <c r="I560" s="641"/>
      <c r="J560" s="641"/>
      <c r="K560" s="642"/>
      <c r="L560" s="643"/>
    </row>
    <row r="561" spans="1:12" s="429" customFormat="1" x14ac:dyDescent="0.2">
      <c r="A561" s="316">
        <v>1</v>
      </c>
      <c r="B561" s="591" t="s">
        <v>2134</v>
      </c>
      <c r="C561" s="598" t="s">
        <v>2326</v>
      </c>
      <c r="D561" s="627" t="s">
        <v>603</v>
      </c>
      <c r="E561" s="644" t="s">
        <v>608</v>
      </c>
      <c r="F561" s="645" t="s">
        <v>602</v>
      </c>
      <c r="G561" s="653" t="s">
        <v>1572</v>
      </c>
      <c r="H561" s="594">
        <v>44660</v>
      </c>
      <c r="I561" s="595">
        <f>K561/1.11</f>
        <v>4345945.9459459456</v>
      </c>
      <c r="J561" s="595">
        <f>I561*11%</f>
        <v>478054.05405405402</v>
      </c>
      <c r="K561" s="596">
        <f>[3]Invoice!$K$38</f>
        <v>4824000</v>
      </c>
      <c r="L561" s="759"/>
    </row>
    <row r="562" spans="1:12" s="429" customFormat="1" x14ac:dyDescent="0.2">
      <c r="A562" s="316">
        <v>2</v>
      </c>
      <c r="B562" s="591" t="s">
        <v>2138</v>
      </c>
      <c r="C562" s="592" t="s">
        <v>2327</v>
      </c>
      <c r="D562" s="586" t="s">
        <v>600</v>
      </c>
      <c r="E562" s="593" t="s">
        <v>598</v>
      </c>
      <c r="F562" s="593" t="s">
        <v>599</v>
      </c>
      <c r="G562" s="653" t="s">
        <v>1573</v>
      </c>
      <c r="H562" s="594">
        <v>44660</v>
      </c>
      <c r="I562" s="595">
        <f t="shared" ref="I562:I590" si="40">K562/1.11</f>
        <v>14854054.054054054</v>
      </c>
      <c r="J562" s="595">
        <f t="shared" ref="J562:J590" si="41">I562*11%</f>
        <v>1633945.9459459458</v>
      </c>
      <c r="K562" s="596">
        <f>[3]Invoice!$K$158</f>
        <v>16488000</v>
      </c>
      <c r="L562" s="597"/>
    </row>
    <row r="563" spans="1:12" s="429" customFormat="1" x14ac:dyDescent="0.2">
      <c r="A563" s="316">
        <v>3</v>
      </c>
      <c r="B563" s="591" t="s">
        <v>2135</v>
      </c>
      <c r="C563" s="598" t="s">
        <v>2328</v>
      </c>
      <c r="D563" s="586" t="s">
        <v>584</v>
      </c>
      <c r="E563" s="587" t="s">
        <v>582</v>
      </c>
      <c r="F563" s="588" t="s">
        <v>583</v>
      </c>
      <c r="G563" s="653" t="s">
        <v>1574</v>
      </c>
      <c r="H563" s="594">
        <v>44660</v>
      </c>
      <c r="I563" s="595">
        <f t="shared" si="40"/>
        <v>757945.94594594592</v>
      </c>
      <c r="J563" s="595">
        <f t="shared" si="41"/>
        <v>83374.054054054053</v>
      </c>
      <c r="K563" s="596">
        <f>[3]Invoice!$K$278</f>
        <v>841320</v>
      </c>
      <c r="L563" s="597"/>
    </row>
    <row r="564" spans="1:12" s="429" customFormat="1" x14ac:dyDescent="0.2">
      <c r="A564" s="316">
        <v>4</v>
      </c>
      <c r="B564" s="591" t="s">
        <v>2136</v>
      </c>
      <c r="C564" s="598" t="s">
        <v>2337</v>
      </c>
      <c r="D564" s="586" t="s">
        <v>580</v>
      </c>
      <c r="E564" s="587" t="s">
        <v>595</v>
      </c>
      <c r="F564" s="588" t="s">
        <v>579</v>
      </c>
      <c r="G564" s="653" t="s">
        <v>1575</v>
      </c>
      <c r="H564" s="594">
        <v>44662</v>
      </c>
      <c r="I564" s="595">
        <f t="shared" si="40"/>
        <v>8863912.1621621605</v>
      </c>
      <c r="J564" s="595">
        <f t="shared" si="41"/>
        <v>975030.33783783764</v>
      </c>
      <c r="K564" s="596">
        <f>[3]Invoice!$K$398</f>
        <v>9838942.5</v>
      </c>
      <c r="L564" s="597"/>
    </row>
    <row r="565" spans="1:12" s="429" customFormat="1" x14ac:dyDescent="0.2">
      <c r="A565" s="316">
        <v>5</v>
      </c>
      <c r="B565" s="591" t="s">
        <v>2137</v>
      </c>
      <c r="C565" s="598" t="s">
        <v>2338</v>
      </c>
      <c r="D565" s="586" t="s">
        <v>581</v>
      </c>
      <c r="E565" s="593" t="s">
        <v>596</v>
      </c>
      <c r="F565" s="593" t="s">
        <v>579</v>
      </c>
      <c r="G565" s="653" t="s">
        <v>1576</v>
      </c>
      <c r="H565" s="594">
        <v>44662</v>
      </c>
      <c r="I565" s="595">
        <f t="shared" si="40"/>
        <v>3574054.054054054</v>
      </c>
      <c r="J565" s="595">
        <f t="shared" si="41"/>
        <v>393145.94594594592</v>
      </c>
      <c r="K565" s="596">
        <f>[3]Invoice!$K$518</f>
        <v>3967200</v>
      </c>
      <c r="L565" s="597"/>
    </row>
    <row r="566" spans="1:12" s="429" customFormat="1" x14ac:dyDescent="0.2">
      <c r="A566" s="316">
        <v>6</v>
      </c>
      <c r="B566" s="591" t="s">
        <v>2139</v>
      </c>
      <c r="C566" s="598" t="s">
        <v>2340</v>
      </c>
      <c r="D566" s="586" t="s">
        <v>584</v>
      </c>
      <c r="E566" s="587" t="s">
        <v>582</v>
      </c>
      <c r="F566" s="588" t="s">
        <v>583</v>
      </c>
      <c r="G566" s="653" t="s">
        <v>1577</v>
      </c>
      <c r="H566" s="599">
        <v>44662</v>
      </c>
      <c r="I566" s="595">
        <f t="shared" si="40"/>
        <v>907686.48648648639</v>
      </c>
      <c r="J566" s="595">
        <f t="shared" si="41"/>
        <v>99845.513513513506</v>
      </c>
      <c r="K566" s="596">
        <f>[3]Invoice!$K$638</f>
        <v>1007532</v>
      </c>
      <c r="L566" s="597"/>
    </row>
    <row r="567" spans="1:12" s="429" customFormat="1" x14ac:dyDescent="0.2">
      <c r="A567" s="316">
        <v>7</v>
      </c>
      <c r="B567" s="591" t="s">
        <v>2140</v>
      </c>
      <c r="C567" s="598" t="s">
        <v>2341</v>
      </c>
      <c r="D567" s="586" t="s">
        <v>581</v>
      </c>
      <c r="E567" s="593" t="s">
        <v>596</v>
      </c>
      <c r="F567" s="593" t="s">
        <v>579</v>
      </c>
      <c r="G567" s="653" t="s">
        <v>1578</v>
      </c>
      <c r="H567" s="599">
        <v>44663</v>
      </c>
      <c r="I567" s="595">
        <f t="shared" si="40"/>
        <v>2451048.6486486485</v>
      </c>
      <c r="J567" s="595">
        <f t="shared" si="41"/>
        <v>269615.35135135136</v>
      </c>
      <c r="K567" s="596">
        <f>[3]Invoice!$K$758</f>
        <v>2720664</v>
      </c>
      <c r="L567" s="597"/>
    </row>
    <row r="568" spans="1:12" s="429" customFormat="1" x14ac:dyDescent="0.2">
      <c r="A568" s="316">
        <v>8</v>
      </c>
      <c r="B568" s="591" t="s">
        <v>2141</v>
      </c>
      <c r="C568" s="598" t="s">
        <v>2342</v>
      </c>
      <c r="D568" s="627" t="s">
        <v>1427</v>
      </c>
      <c r="E568" s="644" t="s">
        <v>425</v>
      </c>
      <c r="F568" s="645" t="s">
        <v>426</v>
      </c>
      <c r="G568" s="653" t="s">
        <v>1579</v>
      </c>
      <c r="H568" s="599">
        <v>44663</v>
      </c>
      <c r="I568" s="595">
        <f t="shared" si="40"/>
        <v>47759864.864864863</v>
      </c>
      <c r="J568" s="595">
        <f t="shared" si="41"/>
        <v>5253585.1351351347</v>
      </c>
      <c r="K568" s="596">
        <f>[3]Invoice!$K$878</f>
        <v>53013450</v>
      </c>
      <c r="L568" s="597"/>
    </row>
    <row r="569" spans="1:12" s="429" customFormat="1" x14ac:dyDescent="0.2">
      <c r="A569" s="316">
        <v>9</v>
      </c>
      <c r="B569" s="591" t="s">
        <v>2142</v>
      </c>
      <c r="C569" s="598" t="s">
        <v>2360</v>
      </c>
      <c r="D569" s="586" t="s">
        <v>581</v>
      </c>
      <c r="E569" s="593" t="s">
        <v>596</v>
      </c>
      <c r="F569" s="593" t="s">
        <v>579</v>
      </c>
      <c r="G569" s="653" t="s">
        <v>1580</v>
      </c>
      <c r="H569" s="599">
        <v>44664</v>
      </c>
      <c r="I569" s="595">
        <f t="shared" si="40"/>
        <v>9383302.7027027011</v>
      </c>
      <c r="J569" s="595">
        <f t="shared" si="41"/>
        <v>1032163.2972972972</v>
      </c>
      <c r="K569" s="596">
        <f>[3]Invoice!$K$998</f>
        <v>10415466</v>
      </c>
      <c r="L569" s="597"/>
    </row>
    <row r="570" spans="1:12" s="429" customFormat="1" x14ac:dyDescent="0.2">
      <c r="A570" s="316">
        <v>10</v>
      </c>
      <c r="B570" s="591" t="s">
        <v>2143</v>
      </c>
      <c r="C570" s="598" t="s">
        <v>2365</v>
      </c>
      <c r="D570" s="586" t="s">
        <v>581</v>
      </c>
      <c r="E570" s="593" t="s">
        <v>596</v>
      </c>
      <c r="F570" s="593" t="s">
        <v>579</v>
      </c>
      <c r="G570" s="653" t="s">
        <v>1581</v>
      </c>
      <c r="H570" s="599">
        <v>44665</v>
      </c>
      <c r="I570" s="595">
        <f t="shared" si="40"/>
        <v>1512389.1891891891</v>
      </c>
      <c r="J570" s="595">
        <f t="shared" si="41"/>
        <v>166362.8108108108</v>
      </c>
      <c r="K570" s="596">
        <f>[3]Invoice!$K$1118</f>
        <v>1678752</v>
      </c>
      <c r="L570" s="597"/>
    </row>
    <row r="571" spans="1:12" s="429" customFormat="1" x14ac:dyDescent="0.2">
      <c r="A571" s="316">
        <v>11</v>
      </c>
      <c r="B571" s="591" t="s">
        <v>2144</v>
      </c>
      <c r="C571" s="598" t="s">
        <v>2366</v>
      </c>
      <c r="D571" s="627" t="s">
        <v>1427</v>
      </c>
      <c r="E571" s="644" t="s">
        <v>425</v>
      </c>
      <c r="F571" s="645" t="s">
        <v>426</v>
      </c>
      <c r="G571" s="653" t="s">
        <v>1582</v>
      </c>
      <c r="H571" s="599">
        <v>44665</v>
      </c>
      <c r="I571" s="595">
        <f t="shared" si="40"/>
        <v>3269189.1891891891</v>
      </c>
      <c r="J571" s="595">
        <f t="shared" si="41"/>
        <v>359610.81081081083</v>
      </c>
      <c r="K571" s="596">
        <f>[3]Invoice!$K$1238</f>
        <v>3628800</v>
      </c>
      <c r="L571" s="597"/>
    </row>
    <row r="572" spans="1:12" s="429" customFormat="1" x14ac:dyDescent="0.2">
      <c r="A572" s="316">
        <v>12</v>
      </c>
      <c r="B572" s="591" t="s">
        <v>2145</v>
      </c>
      <c r="C572" s="598" t="s">
        <v>2376</v>
      </c>
      <c r="D572" s="586" t="s">
        <v>607</v>
      </c>
      <c r="E572" s="587" t="s">
        <v>605</v>
      </c>
      <c r="F572" s="588" t="s">
        <v>606</v>
      </c>
      <c r="G572" s="653" t="s">
        <v>1583</v>
      </c>
      <c r="H572" s="599">
        <v>44665</v>
      </c>
      <c r="I572" s="595">
        <f t="shared" si="40"/>
        <v>1055675.6756756755</v>
      </c>
      <c r="J572" s="595">
        <f t="shared" si="41"/>
        <v>116124.32432432431</v>
      </c>
      <c r="K572" s="596">
        <f>[3]Invoice!$K$1358</f>
        <v>1171800</v>
      </c>
      <c r="L572" s="597"/>
    </row>
    <row r="573" spans="1:12" s="429" customFormat="1" x14ac:dyDescent="0.2">
      <c r="A573" s="316">
        <v>13</v>
      </c>
      <c r="B573" s="591" t="s">
        <v>2146</v>
      </c>
      <c r="C573" s="598" t="s">
        <v>2386</v>
      </c>
      <c r="D573" s="586" t="s">
        <v>581</v>
      </c>
      <c r="E573" s="593" t="s">
        <v>596</v>
      </c>
      <c r="F573" s="593" t="s">
        <v>579</v>
      </c>
      <c r="G573" s="653" t="s">
        <v>1584</v>
      </c>
      <c r="H573" s="599">
        <v>44667</v>
      </c>
      <c r="I573" s="595">
        <f t="shared" si="40"/>
        <v>5959264.8648648644</v>
      </c>
      <c r="J573" s="595">
        <f t="shared" si="41"/>
        <v>655519.13513513503</v>
      </c>
      <c r="K573" s="596">
        <f>[3]Invoice!$K$1478</f>
        <v>6614784</v>
      </c>
      <c r="L573" s="597"/>
    </row>
    <row r="574" spans="1:12" s="429" customFormat="1" x14ac:dyDescent="0.2">
      <c r="A574" s="316">
        <v>14</v>
      </c>
      <c r="B574" s="591" t="s">
        <v>2147</v>
      </c>
      <c r="C574" s="598" t="s">
        <v>2387</v>
      </c>
      <c r="D574" s="586" t="s">
        <v>617</v>
      </c>
      <c r="E574" s="587" t="s">
        <v>616</v>
      </c>
      <c r="F574" s="588" t="s">
        <v>579</v>
      </c>
      <c r="G574" s="653" t="s">
        <v>1585</v>
      </c>
      <c r="H574" s="599">
        <v>44667</v>
      </c>
      <c r="I574" s="595">
        <f t="shared" si="40"/>
        <v>262702.70270270266</v>
      </c>
      <c r="J574" s="595">
        <f t="shared" si="41"/>
        <v>28897.297297297293</v>
      </c>
      <c r="K574" s="596">
        <f>[3]Invoice!$K$1598</f>
        <v>291600</v>
      </c>
      <c r="L574" s="597"/>
    </row>
    <row r="575" spans="1:12" s="429" customFormat="1" x14ac:dyDescent="0.2">
      <c r="A575" s="316">
        <v>15</v>
      </c>
      <c r="B575" s="591" t="s">
        <v>2148</v>
      </c>
      <c r="C575" s="598" t="s">
        <v>2397</v>
      </c>
      <c r="D575" s="586" t="s">
        <v>741</v>
      </c>
      <c r="E575" s="587" t="s">
        <v>740</v>
      </c>
      <c r="F575" s="588" t="s">
        <v>579</v>
      </c>
      <c r="G575" s="653" t="s">
        <v>1586</v>
      </c>
      <c r="H575" s="599">
        <v>44667</v>
      </c>
      <c r="I575" s="595">
        <f t="shared" si="40"/>
        <v>584594.59459459456</v>
      </c>
      <c r="J575" s="595">
        <f t="shared" si="41"/>
        <v>64305.4054054054</v>
      </c>
      <c r="K575" s="596">
        <f>[3]Invoice!$K$1718</f>
        <v>648900</v>
      </c>
      <c r="L575" s="597"/>
    </row>
    <row r="576" spans="1:12" s="429" customFormat="1" x14ac:dyDescent="0.2">
      <c r="A576" s="316">
        <v>16</v>
      </c>
      <c r="B576" s="591" t="s">
        <v>2149</v>
      </c>
      <c r="C576" s="598" t="s">
        <v>2529</v>
      </c>
      <c r="D576" s="627" t="s">
        <v>1427</v>
      </c>
      <c r="E576" s="644" t="s">
        <v>425</v>
      </c>
      <c r="F576" s="645" t="s">
        <v>426</v>
      </c>
      <c r="G576" s="653" t="s">
        <v>1586</v>
      </c>
      <c r="H576" s="599">
        <v>44669</v>
      </c>
      <c r="I576" s="595">
        <f t="shared" si="40"/>
        <v>52863243.24324324</v>
      </c>
      <c r="J576" s="595">
        <f t="shared" si="41"/>
        <v>5814956.7567567565</v>
      </c>
      <c r="K576" s="596">
        <f>[3]Invoice!$K$1838</f>
        <v>58678200</v>
      </c>
      <c r="L576" s="597"/>
    </row>
    <row r="577" spans="1:12" s="429" customFormat="1" x14ac:dyDescent="0.2">
      <c r="A577" s="316">
        <v>17</v>
      </c>
      <c r="B577" s="591" t="s">
        <v>2150</v>
      </c>
      <c r="C577" s="598" t="s">
        <v>2530</v>
      </c>
      <c r="D577" s="627" t="s">
        <v>1427</v>
      </c>
      <c r="E577" s="644" t="s">
        <v>425</v>
      </c>
      <c r="F577" s="645" t="s">
        <v>426</v>
      </c>
      <c r="G577" s="653" t="s">
        <v>1587</v>
      </c>
      <c r="H577" s="599">
        <v>44669</v>
      </c>
      <c r="I577" s="595">
        <f t="shared" si="40"/>
        <v>57545675.675675668</v>
      </c>
      <c r="J577" s="595">
        <f t="shared" si="41"/>
        <v>6330024.3243243238</v>
      </c>
      <c r="K577" s="596">
        <f>[3]Invoice!$K$1958</f>
        <v>63875700</v>
      </c>
      <c r="L577" s="597"/>
    </row>
    <row r="578" spans="1:12" s="429" customFormat="1" x14ac:dyDescent="0.2">
      <c r="A578" s="316">
        <v>18</v>
      </c>
      <c r="B578" s="591" t="s">
        <v>2151</v>
      </c>
      <c r="C578" s="598" t="s">
        <v>2531</v>
      </c>
      <c r="D578" s="627" t="s">
        <v>1427</v>
      </c>
      <c r="E578" s="644" t="s">
        <v>425</v>
      </c>
      <c r="F578" s="645" t="s">
        <v>426</v>
      </c>
      <c r="G578" s="653" t="s">
        <v>1588</v>
      </c>
      <c r="H578" s="599">
        <v>44669</v>
      </c>
      <c r="I578" s="595">
        <f t="shared" si="40"/>
        <v>51143198.198198192</v>
      </c>
      <c r="J578" s="595">
        <f t="shared" si="41"/>
        <v>5625751.8018018007</v>
      </c>
      <c r="K578" s="596">
        <f>[3]Invoice!$K$2078</f>
        <v>56768950</v>
      </c>
      <c r="L578" s="597"/>
    </row>
    <row r="579" spans="1:12" s="429" customFormat="1" x14ac:dyDescent="0.2">
      <c r="A579" s="316">
        <v>19</v>
      </c>
      <c r="B579" s="591" t="s">
        <v>2152</v>
      </c>
      <c r="C579" s="598" t="s">
        <v>2557</v>
      </c>
      <c r="D579" s="586" t="s">
        <v>621</v>
      </c>
      <c r="E579" s="587" t="s">
        <v>619</v>
      </c>
      <c r="F579" s="588" t="s">
        <v>620</v>
      </c>
      <c r="G579" s="653" t="s">
        <v>1589</v>
      </c>
      <c r="H579" s="599">
        <v>44669</v>
      </c>
      <c r="I579" s="595">
        <f t="shared" si="40"/>
        <v>1410972.9729729728</v>
      </c>
      <c r="J579" s="595">
        <f t="shared" si="41"/>
        <v>155207.02702702701</v>
      </c>
      <c r="K579" s="596">
        <f>[3]Invoice!$K$2198</f>
        <v>1566180</v>
      </c>
      <c r="L579" s="597"/>
    </row>
    <row r="580" spans="1:12" s="429" customFormat="1" x14ac:dyDescent="0.2">
      <c r="A580" s="316">
        <v>20</v>
      </c>
      <c r="B580" s="591" t="s">
        <v>2153</v>
      </c>
      <c r="C580" s="598" t="s">
        <v>2612</v>
      </c>
      <c r="D580" s="627" t="s">
        <v>1427</v>
      </c>
      <c r="E580" s="644" t="s">
        <v>425</v>
      </c>
      <c r="F580" s="645" t="s">
        <v>426</v>
      </c>
      <c r="G580" s="653" t="s">
        <v>1590</v>
      </c>
      <c r="H580" s="594">
        <v>44671</v>
      </c>
      <c r="I580" s="595">
        <f t="shared" si="40"/>
        <v>11748648.648648648</v>
      </c>
      <c r="J580" s="595">
        <f t="shared" si="41"/>
        <v>1292351.3513513512</v>
      </c>
      <c r="K580" s="596">
        <f>[3]Invoice!$K$2318</f>
        <v>13041000</v>
      </c>
      <c r="L580" s="597"/>
    </row>
    <row r="581" spans="1:12" s="429" customFormat="1" x14ac:dyDescent="0.2">
      <c r="A581" s="316">
        <v>21</v>
      </c>
      <c r="B581" s="591" t="s">
        <v>2154</v>
      </c>
      <c r="C581" s="598" t="s">
        <v>2618</v>
      </c>
      <c r="D581" s="586" t="s">
        <v>580</v>
      </c>
      <c r="E581" s="587" t="s">
        <v>595</v>
      </c>
      <c r="F581" s="588" t="s">
        <v>579</v>
      </c>
      <c r="G581" s="653" t="s">
        <v>1591</v>
      </c>
      <c r="H581" s="599">
        <v>44672</v>
      </c>
      <c r="I581" s="595">
        <f t="shared" si="40"/>
        <v>4410097.297297297</v>
      </c>
      <c r="J581" s="595">
        <f t="shared" si="41"/>
        <v>485110.70270270266</v>
      </c>
      <c r="K581" s="596">
        <f>[3]Invoice!$K$2438</f>
        <v>4895208</v>
      </c>
      <c r="L581" s="597"/>
    </row>
    <row r="582" spans="1:12" s="429" customFormat="1" x14ac:dyDescent="0.2">
      <c r="A582" s="316">
        <v>22</v>
      </c>
      <c r="B582" s="591" t="s">
        <v>2155</v>
      </c>
      <c r="C582" s="598" t="s">
        <v>2619</v>
      </c>
      <c r="D582" s="586" t="s">
        <v>581</v>
      </c>
      <c r="E582" s="593" t="s">
        <v>596</v>
      </c>
      <c r="F582" s="593" t="s">
        <v>579</v>
      </c>
      <c r="G582" s="653" t="s">
        <v>1592</v>
      </c>
      <c r="H582" s="599">
        <v>44672</v>
      </c>
      <c r="I582" s="595">
        <f t="shared" si="40"/>
        <v>2824443.2432432431</v>
      </c>
      <c r="J582" s="595">
        <f t="shared" si="41"/>
        <v>310688.75675675675</v>
      </c>
      <c r="K582" s="596">
        <f>[3]Invoice!$K$2558</f>
        <v>3135132</v>
      </c>
      <c r="L582" s="597"/>
    </row>
    <row r="583" spans="1:12" s="429" customFormat="1" x14ac:dyDescent="0.2">
      <c r="A583" s="316">
        <v>23</v>
      </c>
      <c r="B583" s="591" t="s">
        <v>2156</v>
      </c>
      <c r="C583" s="598" t="s">
        <v>2620</v>
      </c>
      <c r="D583" s="586" t="s">
        <v>617</v>
      </c>
      <c r="E583" s="587" t="s">
        <v>616</v>
      </c>
      <c r="F583" s="588" t="s">
        <v>579</v>
      </c>
      <c r="G583" s="653" t="s">
        <v>1593</v>
      </c>
      <c r="H583" s="599">
        <v>44672</v>
      </c>
      <c r="I583" s="595">
        <f t="shared" si="40"/>
        <v>1540216.2162162161</v>
      </c>
      <c r="J583" s="595">
        <f t="shared" si="41"/>
        <v>169423.78378378376</v>
      </c>
      <c r="K583" s="596">
        <f>[3]Invoice!$K$2678</f>
        <v>1709640</v>
      </c>
      <c r="L583" s="597"/>
    </row>
    <row r="584" spans="1:12" s="429" customFormat="1" ht="13.5" customHeight="1" x14ac:dyDescent="0.2">
      <c r="A584" s="316">
        <v>24</v>
      </c>
      <c r="B584" s="591" t="s">
        <v>2157</v>
      </c>
      <c r="C584" s="598" t="s">
        <v>2632</v>
      </c>
      <c r="D584" s="586" t="s">
        <v>600</v>
      </c>
      <c r="E584" s="593" t="s">
        <v>598</v>
      </c>
      <c r="F584" s="593" t="s">
        <v>599</v>
      </c>
      <c r="G584" s="653" t="s">
        <v>1594</v>
      </c>
      <c r="H584" s="599">
        <v>44674</v>
      </c>
      <c r="I584" s="595">
        <f t="shared" si="40"/>
        <v>8756756.7567567565</v>
      </c>
      <c r="J584" s="595">
        <f t="shared" si="41"/>
        <v>963243.2432432432</v>
      </c>
      <c r="K584" s="596">
        <f>[3]Invoice!$K$2798</f>
        <v>9720000</v>
      </c>
      <c r="L584" s="597"/>
    </row>
    <row r="585" spans="1:12" s="429" customFormat="1" x14ac:dyDescent="0.2">
      <c r="A585" s="316">
        <v>25</v>
      </c>
      <c r="B585" s="591" t="s">
        <v>2158</v>
      </c>
      <c r="C585" s="598" t="s">
        <v>2639</v>
      </c>
      <c r="D585" s="586" t="s">
        <v>581</v>
      </c>
      <c r="E585" s="593" t="s">
        <v>596</v>
      </c>
      <c r="F585" s="593" t="s">
        <v>579</v>
      </c>
      <c r="G585" s="653" t="s">
        <v>1595</v>
      </c>
      <c r="H585" s="599">
        <v>44676</v>
      </c>
      <c r="I585" s="595">
        <f t="shared" si="40"/>
        <v>4916205.405405405</v>
      </c>
      <c r="J585" s="595">
        <f t="shared" si="41"/>
        <v>540782.59459459456</v>
      </c>
      <c r="K585" s="596">
        <f>[3]Invoice!$K$2918</f>
        <v>5456988</v>
      </c>
      <c r="L585" s="597"/>
    </row>
    <row r="586" spans="1:12" x14ac:dyDescent="0.2">
      <c r="A586" s="316">
        <v>26</v>
      </c>
      <c r="B586" s="591" t="s">
        <v>2159</v>
      </c>
      <c r="C586" s="598" t="s">
        <v>2640</v>
      </c>
      <c r="D586" s="627" t="s">
        <v>1427</v>
      </c>
      <c r="E586" s="644" t="s">
        <v>425</v>
      </c>
      <c r="F586" s="645" t="s">
        <v>426</v>
      </c>
      <c r="G586" s="653" t="s">
        <v>1596</v>
      </c>
      <c r="H586" s="599">
        <v>44676</v>
      </c>
      <c r="I586" s="595">
        <f t="shared" si="40"/>
        <v>6981081.0810810803</v>
      </c>
      <c r="J586" s="595">
        <f t="shared" si="41"/>
        <v>767918.91891891882</v>
      </c>
      <c r="K586" s="596">
        <f>[3]Invoice!$K$3038</f>
        <v>7749000</v>
      </c>
      <c r="L586" s="597"/>
    </row>
    <row r="587" spans="1:12" x14ac:dyDescent="0.2">
      <c r="A587" s="316">
        <v>27</v>
      </c>
      <c r="B587" s="591" t="s">
        <v>2160</v>
      </c>
      <c r="C587" s="598" t="s">
        <v>2648</v>
      </c>
      <c r="D587" s="627" t="s">
        <v>1427</v>
      </c>
      <c r="E587" s="644" t="s">
        <v>425</v>
      </c>
      <c r="F587" s="645" t="s">
        <v>426</v>
      </c>
      <c r="G587" s="653" t="s">
        <v>1597</v>
      </c>
      <c r="H587" s="599">
        <v>44677</v>
      </c>
      <c r="I587" s="595">
        <f t="shared" si="40"/>
        <v>10539729.729729729</v>
      </c>
      <c r="J587" s="595">
        <f t="shared" si="41"/>
        <v>1159370.2702702701</v>
      </c>
      <c r="K587" s="596">
        <f>[3]Invoice!$K$3158</f>
        <v>11699100</v>
      </c>
      <c r="L587" s="597"/>
    </row>
    <row r="588" spans="1:12" x14ac:dyDescent="0.2">
      <c r="A588" s="316">
        <v>28</v>
      </c>
      <c r="B588" s="591" t="s">
        <v>2161</v>
      </c>
      <c r="C588" s="598" t="s">
        <v>2652</v>
      </c>
      <c r="D588" s="586" t="s">
        <v>581</v>
      </c>
      <c r="E588" s="593" t="s">
        <v>596</v>
      </c>
      <c r="F588" s="593" t="s">
        <v>579</v>
      </c>
      <c r="G588" s="653" t="s">
        <v>1598</v>
      </c>
      <c r="H588" s="599">
        <v>44677</v>
      </c>
      <c r="I588" s="595">
        <f t="shared" si="40"/>
        <v>3683783.7837837837</v>
      </c>
      <c r="J588" s="595">
        <f t="shared" si="41"/>
        <v>405216.21621621621</v>
      </c>
      <c r="K588" s="596">
        <f>[3]Invoice!$K$3278</f>
        <v>4089000</v>
      </c>
      <c r="L588" s="597"/>
    </row>
    <row r="589" spans="1:12" x14ac:dyDescent="0.2">
      <c r="A589" s="316">
        <v>29</v>
      </c>
      <c r="B589" s="591" t="s">
        <v>2162</v>
      </c>
      <c r="C589" s="598" t="s">
        <v>2656</v>
      </c>
      <c r="D589" s="586" t="s">
        <v>581</v>
      </c>
      <c r="E589" s="593" t="s">
        <v>596</v>
      </c>
      <c r="F589" s="593" t="s">
        <v>579</v>
      </c>
      <c r="G589" s="653" t="s">
        <v>1599</v>
      </c>
      <c r="H589" s="599">
        <v>44677</v>
      </c>
      <c r="I589" s="595">
        <f t="shared" si="40"/>
        <v>5223135.1351351347</v>
      </c>
      <c r="J589" s="595">
        <f t="shared" si="41"/>
        <v>574544.86486486485</v>
      </c>
      <c r="K589" s="596">
        <f>[3]Invoice!$K$3398</f>
        <v>5797680</v>
      </c>
      <c r="L589" s="597"/>
    </row>
    <row r="590" spans="1:12" x14ac:dyDescent="0.2">
      <c r="A590" s="316">
        <v>30</v>
      </c>
      <c r="B590" s="591" t="s">
        <v>2163</v>
      </c>
      <c r="C590" s="598" t="s">
        <v>2657</v>
      </c>
      <c r="D590" s="586" t="s">
        <v>580</v>
      </c>
      <c r="E590" s="587" t="s">
        <v>595</v>
      </c>
      <c r="F590" s="588" t="s">
        <v>579</v>
      </c>
      <c r="G590" s="653" t="s">
        <v>1600</v>
      </c>
      <c r="H590" s="599">
        <v>44677</v>
      </c>
      <c r="I590" s="595">
        <f t="shared" si="40"/>
        <v>5588990.9909909908</v>
      </c>
      <c r="J590" s="595">
        <f t="shared" si="41"/>
        <v>614789.00900900899</v>
      </c>
      <c r="K590" s="596">
        <f>[3]Invoice!$K$3518</f>
        <v>6203780</v>
      </c>
      <c r="L590" s="597"/>
    </row>
    <row r="591" spans="1:12" x14ac:dyDescent="0.2">
      <c r="A591" s="316">
        <v>31</v>
      </c>
      <c r="B591" s="591" t="s">
        <v>2705</v>
      </c>
      <c r="C591" s="598" t="s">
        <v>2764</v>
      </c>
      <c r="D591" s="586" t="s">
        <v>607</v>
      </c>
      <c r="E591" s="587" t="s">
        <v>605</v>
      </c>
      <c r="F591" s="588" t="s">
        <v>606</v>
      </c>
      <c r="G591" s="653" t="s">
        <v>1601</v>
      </c>
      <c r="H591" s="599">
        <v>44677</v>
      </c>
      <c r="I591" s="595">
        <f t="shared" ref="I591:I611" si="42">K591/1.11</f>
        <v>2451891.8918918916</v>
      </c>
      <c r="J591" s="595">
        <f t="shared" ref="J591:J619" si="43">I591*11%</f>
        <v>269708.10810810811</v>
      </c>
      <c r="K591" s="596">
        <f>[3]Invoice!$K$3638</f>
        <v>2721600</v>
      </c>
      <c r="L591" s="597"/>
    </row>
    <row r="592" spans="1:12" x14ac:dyDescent="0.2">
      <c r="A592" s="316">
        <v>32</v>
      </c>
      <c r="B592" s="591" t="s">
        <v>2706</v>
      </c>
      <c r="C592" s="598" t="s">
        <v>2775</v>
      </c>
      <c r="D592" s="586" t="s">
        <v>584</v>
      </c>
      <c r="E592" s="587" t="s">
        <v>582</v>
      </c>
      <c r="F592" s="588" t="s">
        <v>583</v>
      </c>
      <c r="G592" s="653" t="s">
        <v>1602</v>
      </c>
      <c r="H592" s="599">
        <v>44656</v>
      </c>
      <c r="I592" s="595">
        <f t="shared" si="42"/>
        <v>1074989.1891891891</v>
      </c>
      <c r="J592" s="595">
        <f t="shared" si="43"/>
        <v>118248.8108108108</v>
      </c>
      <c r="K592" s="596">
        <f>[3]Invoice!$K$3758</f>
        <v>1193238</v>
      </c>
      <c r="L592" s="597"/>
    </row>
    <row r="593" spans="1:12" x14ac:dyDescent="0.2">
      <c r="A593" s="316">
        <v>33</v>
      </c>
      <c r="B593" s="591" t="s">
        <v>2164</v>
      </c>
      <c r="C593" s="598" t="s">
        <v>2808</v>
      </c>
      <c r="D593" s="586"/>
      <c r="E593" s="587" t="s">
        <v>2576</v>
      </c>
      <c r="F593" s="588" t="s">
        <v>2368</v>
      </c>
      <c r="G593" s="653"/>
      <c r="H593" s="599">
        <v>44655</v>
      </c>
      <c r="I593" s="595">
        <f t="shared" si="42"/>
        <v>24788688.288288288</v>
      </c>
      <c r="J593" s="595">
        <f t="shared" si="43"/>
        <v>2726755.7117117117</v>
      </c>
      <c r="K593" s="596">
        <f>22878336+1470600+265040+2901468</f>
        <v>27515444</v>
      </c>
      <c r="L593" s="597"/>
    </row>
    <row r="594" spans="1:12" x14ac:dyDescent="0.2">
      <c r="A594" s="316">
        <v>34</v>
      </c>
      <c r="B594" s="591" t="s">
        <v>2165</v>
      </c>
      <c r="C594" s="598" t="s">
        <v>2768</v>
      </c>
      <c r="D594" s="586"/>
      <c r="E594" s="587" t="s">
        <v>1755</v>
      </c>
      <c r="F594" s="588" t="s">
        <v>1104</v>
      </c>
      <c r="G594" s="653"/>
      <c r="H594" s="599">
        <v>44655</v>
      </c>
      <c r="I594" s="595">
        <f t="shared" si="42"/>
        <v>1010616.2162162161</v>
      </c>
      <c r="J594" s="595">
        <f t="shared" si="43"/>
        <v>111167.78378378377</v>
      </c>
      <c r="K594" s="596">
        <v>1121784</v>
      </c>
      <c r="L594" s="597"/>
    </row>
    <row r="595" spans="1:12" s="742" customFormat="1" x14ac:dyDescent="0.2">
      <c r="A595" s="735">
        <v>35</v>
      </c>
      <c r="B595" s="736" t="s">
        <v>2166</v>
      </c>
      <c r="C595" s="598" t="s">
        <v>2770</v>
      </c>
      <c r="D595" s="737"/>
      <c r="E595" s="738" t="s">
        <v>1105</v>
      </c>
      <c r="F595" s="739" t="s">
        <v>1104</v>
      </c>
      <c r="G595" s="740"/>
      <c r="H595" s="741">
        <v>44655</v>
      </c>
      <c r="I595" s="595">
        <f t="shared" si="42"/>
        <v>810810.81081081077</v>
      </c>
      <c r="J595" s="595">
        <f t="shared" si="43"/>
        <v>89189.189189189186</v>
      </c>
      <c r="K595" s="596">
        <v>900000</v>
      </c>
      <c r="L595" s="597"/>
    </row>
    <row r="596" spans="1:12" x14ac:dyDescent="0.2">
      <c r="A596" s="316">
        <v>36</v>
      </c>
      <c r="B596" s="591" t="s">
        <v>2167</v>
      </c>
      <c r="C596" s="598" t="s">
        <v>2780</v>
      </c>
      <c r="D596" s="586"/>
      <c r="E596" s="593" t="s">
        <v>2781</v>
      </c>
      <c r="F596" s="593" t="s">
        <v>1058</v>
      </c>
      <c r="G596" s="653"/>
      <c r="H596" s="599">
        <v>44655</v>
      </c>
      <c r="I596" s="595">
        <f t="shared" si="42"/>
        <v>106666.66666666666</v>
      </c>
      <c r="J596" s="595">
        <f t="shared" si="43"/>
        <v>11733.333333333332</v>
      </c>
      <c r="K596" s="596">
        <v>118400</v>
      </c>
      <c r="L596" s="597"/>
    </row>
    <row r="597" spans="1:12" s="667" customFormat="1" x14ac:dyDescent="0.2">
      <c r="A597" s="663">
        <v>37</v>
      </c>
      <c r="B597" s="591" t="s">
        <v>2168</v>
      </c>
      <c r="C597" s="598" t="s">
        <v>2703</v>
      </c>
      <c r="D597" s="586"/>
      <c r="E597" s="587" t="s">
        <v>1029</v>
      </c>
      <c r="F597" s="588" t="s">
        <v>966</v>
      </c>
      <c r="G597" s="664"/>
      <c r="H597" s="599">
        <v>44656</v>
      </c>
      <c r="I597" s="595">
        <f t="shared" si="42"/>
        <v>4150313.5135135134</v>
      </c>
      <c r="J597" s="595">
        <f t="shared" si="43"/>
        <v>456534.48648648645</v>
      </c>
      <c r="K597" s="596">
        <v>4606848</v>
      </c>
      <c r="L597" s="597"/>
    </row>
    <row r="598" spans="1:12" x14ac:dyDescent="0.2">
      <c r="A598" s="316">
        <v>38</v>
      </c>
      <c r="B598" s="591" t="s">
        <v>2169</v>
      </c>
      <c r="C598" s="598" t="s">
        <v>2704</v>
      </c>
      <c r="D598" s="586"/>
      <c r="E598" s="593" t="s">
        <v>2583</v>
      </c>
      <c r="F598" s="593" t="s">
        <v>966</v>
      </c>
      <c r="G598" s="653"/>
      <c r="H598" s="594">
        <v>44656</v>
      </c>
      <c r="I598" s="595">
        <f t="shared" si="42"/>
        <v>5855855.8558558552</v>
      </c>
      <c r="J598" s="595">
        <f t="shared" si="43"/>
        <v>644144.14414414403</v>
      </c>
      <c r="K598" s="596">
        <v>6500000</v>
      </c>
      <c r="L598" s="600"/>
    </row>
    <row r="599" spans="1:12" x14ac:dyDescent="0.2">
      <c r="A599" s="316">
        <v>39</v>
      </c>
      <c r="B599" s="591" t="s">
        <v>2170</v>
      </c>
      <c r="C599" s="598" t="s">
        <v>2803</v>
      </c>
      <c r="D599" s="586"/>
      <c r="E599" s="587" t="s">
        <v>1062</v>
      </c>
      <c r="F599" s="588" t="s">
        <v>966</v>
      </c>
      <c r="G599" s="653"/>
      <c r="H599" s="599">
        <v>44656</v>
      </c>
      <c r="I599" s="595">
        <f t="shared" si="42"/>
        <v>4754637.8378378376</v>
      </c>
      <c r="J599" s="595">
        <f t="shared" si="43"/>
        <v>523010.16216216213</v>
      </c>
      <c r="K599" s="596">
        <f>2433456+2844192</f>
        <v>5277648</v>
      </c>
      <c r="L599" s="597"/>
    </row>
    <row r="600" spans="1:12" x14ac:dyDescent="0.2">
      <c r="A600" s="316">
        <v>40</v>
      </c>
      <c r="B600" s="591" t="s">
        <v>2171</v>
      </c>
      <c r="C600" s="598" t="s">
        <v>2805</v>
      </c>
      <c r="D600" s="586"/>
      <c r="E600" s="587" t="s">
        <v>972</v>
      </c>
      <c r="F600" s="588" t="s">
        <v>966</v>
      </c>
      <c r="G600" s="653"/>
      <c r="H600" s="599">
        <v>44656</v>
      </c>
      <c r="I600" s="595">
        <f t="shared" si="42"/>
        <v>3422335.1351351347</v>
      </c>
      <c r="J600" s="595">
        <f t="shared" si="43"/>
        <v>376456.86486486479</v>
      </c>
      <c r="K600" s="596">
        <f>1151712+2647080</f>
        <v>3798792</v>
      </c>
      <c r="L600" s="597"/>
    </row>
    <row r="601" spans="1:12" x14ac:dyDescent="0.2">
      <c r="A601" s="316">
        <v>41</v>
      </c>
      <c r="B601" s="591" t="s">
        <v>2172</v>
      </c>
      <c r="C601" s="598" t="s">
        <v>2804</v>
      </c>
      <c r="D601" s="586"/>
      <c r="E601" s="587" t="s">
        <v>969</v>
      </c>
      <c r="F601" s="588" t="s">
        <v>966</v>
      </c>
      <c r="G601" s="653"/>
      <c r="H601" s="599">
        <v>44656</v>
      </c>
      <c r="I601" s="595">
        <f t="shared" si="42"/>
        <v>8497037.8378378376</v>
      </c>
      <c r="J601" s="595">
        <f t="shared" si="43"/>
        <v>934674.16216216213</v>
      </c>
      <c r="K601" s="596">
        <f>1151712+8280000</f>
        <v>9431712</v>
      </c>
      <c r="L601" s="597"/>
    </row>
    <row r="602" spans="1:12" x14ac:dyDescent="0.2">
      <c r="A602" s="316">
        <v>42</v>
      </c>
      <c r="B602" s="591" t="s">
        <v>2173</v>
      </c>
      <c r="C602" s="598" t="s">
        <v>2802</v>
      </c>
      <c r="D602" s="586"/>
      <c r="E602" s="587" t="s">
        <v>965</v>
      </c>
      <c r="F602" s="588" t="s">
        <v>966</v>
      </c>
      <c r="G602" s="653"/>
      <c r="H602" s="599">
        <v>44656</v>
      </c>
      <c r="I602" s="595">
        <f t="shared" si="42"/>
        <v>11708461.26126126</v>
      </c>
      <c r="J602" s="595">
        <f t="shared" si="43"/>
        <v>1287930.7387387387</v>
      </c>
      <c r="K602" s="596">
        <f>1151712+4194680+7650000</f>
        <v>12996392</v>
      </c>
      <c r="L602" s="597"/>
    </row>
    <row r="603" spans="1:12" x14ac:dyDescent="0.2">
      <c r="A603" s="316">
        <v>43</v>
      </c>
      <c r="B603" s="591" t="s">
        <v>2174</v>
      </c>
      <c r="C603" s="598" t="s">
        <v>2707</v>
      </c>
      <c r="D603" s="586"/>
      <c r="E603" s="587" t="s">
        <v>974</v>
      </c>
      <c r="F603" s="588" t="s">
        <v>975</v>
      </c>
      <c r="G603" s="653"/>
      <c r="H603" s="599">
        <v>44656</v>
      </c>
      <c r="I603" s="595">
        <f t="shared" si="42"/>
        <v>2522522.5225225221</v>
      </c>
      <c r="J603" s="595">
        <f t="shared" si="43"/>
        <v>277477.47747747746</v>
      </c>
      <c r="K603" s="596">
        <v>2800000</v>
      </c>
      <c r="L603" s="597"/>
    </row>
    <row r="604" spans="1:12" x14ac:dyDescent="0.2">
      <c r="A604" s="316">
        <v>44</v>
      </c>
      <c r="B604" s="591" t="s">
        <v>2175</v>
      </c>
      <c r="C604" s="598" t="s">
        <v>2776</v>
      </c>
      <c r="D604" s="586"/>
      <c r="E604" s="587" t="s">
        <v>1072</v>
      </c>
      <c r="F604" s="588" t="s">
        <v>1058</v>
      </c>
      <c r="G604" s="653"/>
      <c r="H604" s="599">
        <v>44656</v>
      </c>
      <c r="I604" s="595">
        <f t="shared" si="42"/>
        <v>2811502.7027027025</v>
      </c>
      <c r="J604" s="595">
        <f t="shared" si="43"/>
        <v>309265.29729729728</v>
      </c>
      <c r="K604" s="596">
        <v>3120768</v>
      </c>
      <c r="L604" s="597"/>
    </row>
    <row r="605" spans="1:12" x14ac:dyDescent="0.2">
      <c r="A605" s="316">
        <v>45</v>
      </c>
      <c r="B605" s="591" t="s">
        <v>2176</v>
      </c>
      <c r="C605" s="598" t="s">
        <v>2777</v>
      </c>
      <c r="D605" s="586"/>
      <c r="E605" s="587" t="s">
        <v>1122</v>
      </c>
      <c r="F605" s="588" t="s">
        <v>1123</v>
      </c>
      <c r="G605" s="653"/>
      <c r="H605" s="599">
        <v>44656</v>
      </c>
      <c r="I605" s="595">
        <f t="shared" si="42"/>
        <v>2087243.2432432431</v>
      </c>
      <c r="J605" s="595">
        <f t="shared" si="43"/>
        <v>229596.75675675675</v>
      </c>
      <c r="K605" s="596">
        <v>2316840</v>
      </c>
      <c r="L605" s="597"/>
    </row>
    <row r="606" spans="1:12" x14ac:dyDescent="0.2">
      <c r="A606" s="316">
        <v>46</v>
      </c>
      <c r="B606" s="591" t="s">
        <v>2177</v>
      </c>
      <c r="C606" s="602" t="s">
        <v>2778</v>
      </c>
      <c r="D606" s="603"/>
      <c r="E606" s="604" t="s">
        <v>1085</v>
      </c>
      <c r="F606" s="605" t="s">
        <v>1047</v>
      </c>
      <c r="G606" s="653"/>
      <c r="H606" s="606">
        <v>44656</v>
      </c>
      <c r="I606" s="595">
        <f t="shared" si="42"/>
        <v>3680180.1801801799</v>
      </c>
      <c r="J606" s="595">
        <f t="shared" si="43"/>
        <v>404819.81981981976</v>
      </c>
      <c r="K606" s="596">
        <v>4085000</v>
      </c>
      <c r="L606" s="597"/>
    </row>
    <row r="607" spans="1:12" s="667" customFormat="1" x14ac:dyDescent="0.2">
      <c r="A607" s="663">
        <v>47</v>
      </c>
      <c r="B607" s="591" t="s">
        <v>2178</v>
      </c>
      <c r="C607" s="598" t="s">
        <v>2785</v>
      </c>
      <c r="D607" s="586"/>
      <c r="E607" s="587" t="s">
        <v>1189</v>
      </c>
      <c r="F607" s="588" t="s">
        <v>1191</v>
      </c>
      <c r="G607" s="664"/>
      <c r="H607" s="599">
        <v>44657</v>
      </c>
      <c r="I607" s="595">
        <f t="shared" si="42"/>
        <v>1346619.8198198196</v>
      </c>
      <c r="J607" s="595">
        <f t="shared" si="43"/>
        <v>148128.18018018015</v>
      </c>
      <c r="K607" s="596">
        <v>1494748</v>
      </c>
      <c r="L607" s="597"/>
    </row>
    <row r="608" spans="1:12" x14ac:dyDescent="0.2">
      <c r="A608" s="316">
        <v>48</v>
      </c>
      <c r="B608" s="591" t="s">
        <v>2179</v>
      </c>
      <c r="C608" s="598" t="s">
        <v>2708</v>
      </c>
      <c r="D608" s="586"/>
      <c r="E608" s="587" t="s">
        <v>1029</v>
      </c>
      <c r="F608" s="588" t="s">
        <v>966</v>
      </c>
      <c r="G608" s="653"/>
      <c r="H608" s="599">
        <v>44658</v>
      </c>
      <c r="I608" s="595">
        <f t="shared" si="42"/>
        <v>5641117.1171171162</v>
      </c>
      <c r="J608" s="595">
        <f t="shared" si="43"/>
        <v>620522.88288288284</v>
      </c>
      <c r="K608" s="596">
        <v>6261640</v>
      </c>
      <c r="L608" s="597"/>
    </row>
    <row r="609" spans="1:12" x14ac:dyDescent="0.2">
      <c r="A609" s="316">
        <v>49</v>
      </c>
      <c r="B609" s="591" t="s">
        <v>2180</v>
      </c>
      <c r="C609" s="598" t="s">
        <v>2995</v>
      </c>
      <c r="D609" s="586"/>
      <c r="E609" s="587" t="s">
        <v>2787</v>
      </c>
      <c r="F609" s="588" t="s">
        <v>1042</v>
      </c>
      <c r="G609" s="653"/>
      <c r="H609" s="599">
        <v>44658</v>
      </c>
      <c r="I609" s="595">
        <f t="shared" si="42"/>
        <v>2161621.6216216213</v>
      </c>
      <c r="J609" s="595">
        <f t="shared" si="43"/>
        <v>237778.37837837834</v>
      </c>
      <c r="K609" s="596">
        <f>2399400</f>
        <v>2399400</v>
      </c>
      <c r="L609" s="597"/>
    </row>
    <row r="610" spans="1:12" x14ac:dyDescent="0.2">
      <c r="A610" s="316">
        <v>50</v>
      </c>
      <c r="B610" s="591" t="s">
        <v>2181</v>
      </c>
      <c r="C610" s="598" t="s">
        <v>2789</v>
      </c>
      <c r="D610" s="586"/>
      <c r="E610" s="587" t="s">
        <v>2790</v>
      </c>
      <c r="F610" s="588" t="s">
        <v>1042</v>
      </c>
      <c r="G610" s="653"/>
      <c r="H610" s="599">
        <v>44658</v>
      </c>
      <c r="I610" s="595">
        <f t="shared" ref="I610" si="44">K610/1.11</f>
        <v>12450940.540540539</v>
      </c>
      <c r="J610" s="595">
        <f t="shared" si="43"/>
        <v>1369603.4594594592</v>
      </c>
      <c r="K610" s="596">
        <v>13820544</v>
      </c>
      <c r="L610" s="597"/>
    </row>
    <row r="611" spans="1:12" x14ac:dyDescent="0.2">
      <c r="A611" s="316">
        <v>51</v>
      </c>
      <c r="B611" s="591" t="s">
        <v>2182</v>
      </c>
      <c r="C611" s="598" t="s">
        <v>2791</v>
      </c>
      <c r="D611" s="586"/>
      <c r="E611" s="587" t="s">
        <v>2792</v>
      </c>
      <c r="F611" s="588" t="s">
        <v>587</v>
      </c>
      <c r="G611" s="653"/>
      <c r="H611" s="599">
        <v>44658</v>
      </c>
      <c r="I611" s="595">
        <f t="shared" si="42"/>
        <v>157657.65765765763</v>
      </c>
      <c r="J611" s="595">
        <f t="shared" si="43"/>
        <v>17342.342342342341</v>
      </c>
      <c r="K611" s="596">
        <v>175000</v>
      </c>
      <c r="L611" s="597"/>
    </row>
    <row r="612" spans="1:12" x14ac:dyDescent="0.2">
      <c r="A612" s="316">
        <v>52</v>
      </c>
      <c r="B612" s="591" t="s">
        <v>2183</v>
      </c>
      <c r="C612" s="598" t="s">
        <v>2709</v>
      </c>
      <c r="D612" s="586"/>
      <c r="E612" s="587" t="s">
        <v>1315</v>
      </c>
      <c r="F612" s="588" t="s">
        <v>966</v>
      </c>
      <c r="G612" s="653"/>
      <c r="H612" s="599">
        <v>44659</v>
      </c>
      <c r="I612" s="595">
        <f t="shared" ref="I612" si="45">K612/1.11</f>
        <v>9800281.0810810793</v>
      </c>
      <c r="J612" s="595">
        <f t="shared" si="43"/>
        <v>1078030.9189189188</v>
      </c>
      <c r="K612" s="596">
        <v>10878312</v>
      </c>
      <c r="L612" s="597"/>
    </row>
    <row r="613" spans="1:12" x14ac:dyDescent="0.2">
      <c r="A613" s="316">
        <v>53</v>
      </c>
      <c r="B613" s="591" t="s">
        <v>2184</v>
      </c>
      <c r="C613" s="598" t="s">
        <v>2772</v>
      </c>
      <c r="D613" s="586"/>
      <c r="E613" s="587" t="s">
        <v>1739</v>
      </c>
      <c r="F613" s="588" t="s">
        <v>1328</v>
      </c>
      <c r="G613" s="653"/>
      <c r="H613" s="599">
        <v>44659</v>
      </c>
      <c r="I613" s="595">
        <f t="shared" ref="I613:I659" si="46">K613/1.11</f>
        <v>14334797.297297295</v>
      </c>
      <c r="J613" s="595">
        <f t="shared" si="43"/>
        <v>1576827.7027027025</v>
      </c>
      <c r="K613" s="596">
        <f>9536625+6375000</f>
        <v>15911625</v>
      </c>
      <c r="L613" s="597"/>
    </row>
    <row r="614" spans="1:12" x14ac:dyDescent="0.2">
      <c r="A614" s="316">
        <v>54</v>
      </c>
      <c r="B614" s="591" t="s">
        <v>2185</v>
      </c>
      <c r="C614" s="598" t="s">
        <v>2710</v>
      </c>
      <c r="D614" s="586"/>
      <c r="E614" s="587" t="s">
        <v>1006</v>
      </c>
      <c r="F614" s="588" t="s">
        <v>984</v>
      </c>
      <c r="G614" s="653"/>
      <c r="H614" s="599">
        <v>44659</v>
      </c>
      <c r="I614" s="595">
        <f t="shared" si="46"/>
        <v>7012139.6396396393</v>
      </c>
      <c r="J614" s="595">
        <f t="shared" si="43"/>
        <v>771335.36036036036</v>
      </c>
      <c r="K614" s="596">
        <v>7783475</v>
      </c>
      <c r="L614" s="597"/>
    </row>
    <row r="615" spans="1:12" x14ac:dyDescent="0.2">
      <c r="A615" s="316">
        <v>55</v>
      </c>
      <c r="B615" s="591" t="s">
        <v>2186</v>
      </c>
      <c r="C615" s="598" t="s">
        <v>2795</v>
      </c>
      <c r="D615" s="586"/>
      <c r="E615" s="587" t="s">
        <v>1032</v>
      </c>
      <c r="F615" s="588" t="s">
        <v>1033</v>
      </c>
      <c r="G615" s="653"/>
      <c r="H615" s="599">
        <v>44659</v>
      </c>
      <c r="I615" s="595">
        <f t="shared" si="46"/>
        <v>3889189.1891891886</v>
      </c>
      <c r="J615" s="595">
        <f t="shared" si="43"/>
        <v>427810.81081081077</v>
      </c>
      <c r="K615" s="596">
        <v>4317000</v>
      </c>
      <c r="L615" s="597"/>
    </row>
    <row r="616" spans="1:12" x14ac:dyDescent="0.2">
      <c r="A616" s="316">
        <v>56</v>
      </c>
      <c r="B616" s="591" t="s">
        <v>2187</v>
      </c>
      <c r="C616" s="598" t="s">
        <v>2796</v>
      </c>
      <c r="D616" s="586"/>
      <c r="E616" s="587" t="s">
        <v>1752</v>
      </c>
      <c r="F616" s="588" t="s">
        <v>673</v>
      </c>
      <c r="G616" s="653"/>
      <c r="H616" s="599">
        <v>44659</v>
      </c>
      <c r="I616" s="595">
        <f t="shared" si="46"/>
        <v>2030270.2702702701</v>
      </c>
      <c r="J616" s="595">
        <f t="shared" si="43"/>
        <v>223329.7297297297</v>
      </c>
      <c r="K616" s="596">
        <v>2253600</v>
      </c>
      <c r="L616" s="597"/>
    </row>
    <row r="617" spans="1:12" x14ac:dyDescent="0.2">
      <c r="A617" s="316">
        <v>57</v>
      </c>
      <c r="B617" s="591" t="s">
        <v>2188</v>
      </c>
      <c r="C617" s="602" t="s">
        <v>2801</v>
      </c>
      <c r="D617" s="603"/>
      <c r="E617" s="604" t="s">
        <v>1864</v>
      </c>
      <c r="F617" s="605" t="s">
        <v>1042</v>
      </c>
      <c r="G617" s="653"/>
      <c r="H617" s="606">
        <v>44659</v>
      </c>
      <c r="I617" s="595">
        <f t="shared" si="46"/>
        <v>733657.65765765763</v>
      </c>
      <c r="J617" s="595">
        <f t="shared" si="43"/>
        <v>80702.342342342337</v>
      </c>
      <c r="K617" s="596">
        <v>814360</v>
      </c>
      <c r="L617" s="597"/>
    </row>
    <row r="618" spans="1:12" x14ac:dyDescent="0.2">
      <c r="A618" s="316">
        <v>58</v>
      </c>
      <c r="B618" s="591" t="s">
        <v>2189</v>
      </c>
      <c r="C618" s="598" t="s">
        <v>2783</v>
      </c>
      <c r="D618" s="586"/>
      <c r="E618" s="587" t="s">
        <v>1007</v>
      </c>
      <c r="F618" s="588" t="s">
        <v>1008</v>
      </c>
      <c r="G618" s="653"/>
      <c r="H618" s="599">
        <v>44660</v>
      </c>
      <c r="I618" s="595">
        <f t="shared" si="46"/>
        <v>7787297.297297297</v>
      </c>
      <c r="J618" s="595">
        <f t="shared" si="43"/>
        <v>856602.70270270272</v>
      </c>
      <c r="K618" s="596">
        <f>974160+4851740+2818000</f>
        <v>8643900</v>
      </c>
      <c r="L618" s="597"/>
    </row>
    <row r="619" spans="1:12" x14ac:dyDescent="0.2">
      <c r="A619" s="316">
        <v>59</v>
      </c>
      <c r="B619" s="591" t="s">
        <v>2190</v>
      </c>
      <c r="C619" s="598" t="s">
        <v>2774</v>
      </c>
      <c r="D619" s="586"/>
      <c r="E619" s="587" t="s">
        <v>992</v>
      </c>
      <c r="F619" s="588" t="s">
        <v>673</v>
      </c>
      <c r="G619" s="653"/>
      <c r="H619" s="599">
        <v>44660</v>
      </c>
      <c r="I619" s="595">
        <f t="shared" si="46"/>
        <v>7607612.6126126116</v>
      </c>
      <c r="J619" s="595">
        <f t="shared" si="43"/>
        <v>836837.38738738734</v>
      </c>
      <c r="K619" s="596">
        <f>1793750+4687200+1963500</f>
        <v>8444450</v>
      </c>
      <c r="L619" s="597"/>
    </row>
    <row r="620" spans="1:12" x14ac:dyDescent="0.2">
      <c r="A620" s="316">
        <v>60</v>
      </c>
      <c r="B620" s="591" t="s">
        <v>2191</v>
      </c>
      <c r="C620" s="598" t="s">
        <v>2806</v>
      </c>
      <c r="D620" s="586"/>
      <c r="E620" s="587" t="s">
        <v>965</v>
      </c>
      <c r="F620" s="588" t="s">
        <v>966</v>
      </c>
      <c r="G620" s="653"/>
      <c r="H620" s="599">
        <v>44660</v>
      </c>
      <c r="I620" s="595">
        <f t="shared" si="46"/>
        <v>12915340.540540539</v>
      </c>
      <c r="J620" s="595">
        <f t="shared" ref="J620:J650" si="47">I620*11%</f>
        <v>1420687.4594594592</v>
      </c>
      <c r="K620" s="596">
        <f>4944828+1651200+7740000</f>
        <v>14336028</v>
      </c>
      <c r="L620" s="597"/>
    </row>
    <row r="621" spans="1:12" x14ac:dyDescent="0.2">
      <c r="A621" s="316">
        <v>61</v>
      </c>
      <c r="B621" s="591" t="s">
        <v>2192</v>
      </c>
      <c r="C621" s="598" t="s">
        <v>2807</v>
      </c>
      <c r="D621" s="586"/>
      <c r="E621" s="587" t="s">
        <v>969</v>
      </c>
      <c r="F621" s="588" t="s">
        <v>966</v>
      </c>
      <c r="G621" s="653"/>
      <c r="H621" s="599">
        <v>44660</v>
      </c>
      <c r="I621" s="595">
        <f t="shared" si="46"/>
        <v>24679729.729729727</v>
      </c>
      <c r="J621" s="595">
        <f t="shared" si="47"/>
        <v>2714770.2702702698</v>
      </c>
      <c r="K621" s="596">
        <f>1083600+13759200+12551700</f>
        <v>27394500</v>
      </c>
      <c r="L621" s="597"/>
    </row>
    <row r="622" spans="1:12" x14ac:dyDescent="0.2">
      <c r="A622" s="316">
        <v>62</v>
      </c>
      <c r="B622" s="591" t="s">
        <v>2193</v>
      </c>
      <c r="C622" s="598" t="s">
        <v>2711</v>
      </c>
      <c r="D622" s="586"/>
      <c r="E622" s="587" t="s">
        <v>1317</v>
      </c>
      <c r="F622" s="588" t="s">
        <v>966</v>
      </c>
      <c r="G622" s="653"/>
      <c r="H622" s="599">
        <v>44660</v>
      </c>
      <c r="I622" s="595">
        <f t="shared" si="46"/>
        <v>1115427.9279279278</v>
      </c>
      <c r="J622" s="595">
        <f t="shared" si="47"/>
        <v>122697.07207207206</v>
      </c>
      <c r="K622" s="596">
        <v>1238125</v>
      </c>
      <c r="L622" s="597"/>
    </row>
    <row r="623" spans="1:12" x14ac:dyDescent="0.2">
      <c r="A623" s="316">
        <v>63</v>
      </c>
      <c r="B623" s="591" t="s">
        <v>2194</v>
      </c>
      <c r="C623" s="598" t="s">
        <v>2797</v>
      </c>
      <c r="D623" s="586"/>
      <c r="E623" s="587" t="s">
        <v>1009</v>
      </c>
      <c r="F623" s="588" t="s">
        <v>1008</v>
      </c>
      <c r="G623" s="653"/>
      <c r="H623" s="599">
        <v>44660</v>
      </c>
      <c r="I623" s="595">
        <f t="shared" ref="I623:I658" si="48">K623/1.11</f>
        <v>8494450.4504504502</v>
      </c>
      <c r="J623" s="595">
        <f t="shared" si="47"/>
        <v>934389.54954954947</v>
      </c>
      <c r="K623" s="596">
        <f>2330600+1939272+5158968</f>
        <v>9428840</v>
      </c>
      <c r="L623" s="597"/>
    </row>
    <row r="624" spans="1:12" x14ac:dyDescent="0.2">
      <c r="A624" s="316">
        <v>64</v>
      </c>
      <c r="B624" s="591" t="s">
        <v>2195</v>
      </c>
      <c r="C624" s="598" t="s">
        <v>2793</v>
      </c>
      <c r="D624" s="586"/>
      <c r="E624" s="587" t="s">
        <v>2712</v>
      </c>
      <c r="F624" s="588" t="s">
        <v>1042</v>
      </c>
      <c r="G624" s="653"/>
      <c r="H624" s="599">
        <v>44660</v>
      </c>
      <c r="I624" s="595">
        <f t="shared" si="48"/>
        <v>7436081.0810810803</v>
      </c>
      <c r="J624" s="595">
        <f t="shared" si="47"/>
        <v>817968.91891891882</v>
      </c>
      <c r="K624" s="596">
        <f>3326400+4927650</f>
        <v>8254050</v>
      </c>
      <c r="L624" s="597"/>
    </row>
    <row r="625" spans="1:12" s="667" customFormat="1" x14ac:dyDescent="0.2">
      <c r="A625" s="663">
        <v>65</v>
      </c>
      <c r="B625" s="591" t="s">
        <v>2196</v>
      </c>
      <c r="C625" s="598" t="s">
        <v>2809</v>
      </c>
      <c r="D625" s="586"/>
      <c r="E625" s="601" t="s">
        <v>1744</v>
      </c>
      <c r="F625" s="588" t="s">
        <v>1745</v>
      </c>
      <c r="G625" s="664"/>
      <c r="H625" s="599">
        <v>44660</v>
      </c>
      <c r="I625" s="595">
        <f t="shared" si="48"/>
        <v>7032927.9279279271</v>
      </c>
      <c r="J625" s="595">
        <f t="shared" si="47"/>
        <v>773622.07207207195</v>
      </c>
      <c r="K625" s="596">
        <f>774900+3732750+3298900</f>
        <v>7806550</v>
      </c>
      <c r="L625" s="597"/>
    </row>
    <row r="626" spans="1:12" s="742" customFormat="1" x14ac:dyDescent="0.2">
      <c r="A626" s="735">
        <v>66</v>
      </c>
      <c r="B626" s="736" t="s">
        <v>2197</v>
      </c>
      <c r="C626" s="598" t="s">
        <v>2788</v>
      </c>
      <c r="D626" s="737"/>
      <c r="E626" s="738" t="s">
        <v>2713</v>
      </c>
      <c r="F626" s="739" t="s">
        <v>620</v>
      </c>
      <c r="G626" s="740"/>
      <c r="H626" s="741">
        <v>44660</v>
      </c>
      <c r="I626" s="595">
        <f t="shared" si="48"/>
        <v>4600702.702702702</v>
      </c>
      <c r="J626" s="595">
        <f t="shared" si="47"/>
        <v>506077.29729729722</v>
      </c>
      <c r="K626" s="596">
        <f>(1943100-112320)+3276000</f>
        <v>5106780</v>
      </c>
      <c r="L626" s="597"/>
    </row>
    <row r="627" spans="1:12" x14ac:dyDescent="0.2">
      <c r="A627" s="316">
        <v>67</v>
      </c>
      <c r="B627" s="591" t="s">
        <v>2198</v>
      </c>
      <c r="C627" s="598" t="s">
        <v>2810</v>
      </c>
      <c r="D627" s="586"/>
      <c r="E627" s="587" t="s">
        <v>1023</v>
      </c>
      <c r="F627" s="588" t="s">
        <v>1025</v>
      </c>
      <c r="G627" s="653"/>
      <c r="H627" s="599">
        <v>44660</v>
      </c>
      <c r="I627" s="595">
        <f t="shared" si="48"/>
        <v>5772252.2522522518</v>
      </c>
      <c r="J627" s="595">
        <f t="shared" si="47"/>
        <v>634947.74774774769</v>
      </c>
      <c r="K627" s="596">
        <f>1720000+2343600+2343600</f>
        <v>6407200</v>
      </c>
      <c r="L627" s="597"/>
    </row>
    <row r="628" spans="1:12" x14ac:dyDescent="0.2">
      <c r="A628" s="316">
        <v>68</v>
      </c>
      <c r="B628" s="591" t="s">
        <v>2199</v>
      </c>
      <c r="C628" s="598" t="s">
        <v>2799</v>
      </c>
      <c r="D628" s="586"/>
      <c r="E628" s="587" t="s">
        <v>1194</v>
      </c>
      <c r="F628" s="588" t="s">
        <v>620</v>
      </c>
      <c r="G628" s="653"/>
      <c r="H628" s="599">
        <v>44660</v>
      </c>
      <c r="I628" s="595">
        <f t="shared" si="48"/>
        <v>165945.94594594592</v>
      </c>
      <c r="J628" s="595">
        <f t="shared" si="47"/>
        <v>18254.05405405405</v>
      </c>
      <c r="K628" s="596">
        <v>184200</v>
      </c>
      <c r="L628" s="597"/>
    </row>
    <row r="629" spans="1:12" x14ac:dyDescent="0.2">
      <c r="A629" s="316">
        <v>69</v>
      </c>
      <c r="B629" s="591" t="s">
        <v>2200</v>
      </c>
      <c r="C629" s="598" t="s">
        <v>2800</v>
      </c>
      <c r="D629" s="586"/>
      <c r="E629" s="587" t="s">
        <v>1087</v>
      </c>
      <c r="F629" s="588" t="s">
        <v>1047</v>
      </c>
      <c r="G629" s="653"/>
      <c r="H629" s="599">
        <v>44660</v>
      </c>
      <c r="I629" s="595">
        <f t="shared" si="48"/>
        <v>4445945.9459459456</v>
      </c>
      <c r="J629" s="595">
        <f t="shared" si="47"/>
        <v>489054.05405405402</v>
      </c>
      <c r="K629" s="596">
        <v>4935000</v>
      </c>
      <c r="L629" s="597"/>
    </row>
    <row r="630" spans="1:12" x14ac:dyDescent="0.2">
      <c r="A630" s="316">
        <v>70</v>
      </c>
      <c r="B630" s="591" t="s">
        <v>2201</v>
      </c>
      <c r="C630" s="598" t="s">
        <v>2811</v>
      </c>
      <c r="D630" s="586"/>
      <c r="E630" s="587" t="s">
        <v>986</v>
      </c>
      <c r="F630" s="588" t="s">
        <v>980</v>
      </c>
      <c r="G630" s="653"/>
      <c r="H630" s="599">
        <v>44662</v>
      </c>
      <c r="I630" s="595">
        <f t="shared" si="48"/>
        <v>5381837.8378378376</v>
      </c>
      <c r="J630" s="595">
        <f t="shared" si="47"/>
        <v>592002.16216216213</v>
      </c>
      <c r="K630" s="596">
        <f>2761560+1205280+2007000</f>
        <v>5973840</v>
      </c>
      <c r="L630" s="597"/>
    </row>
    <row r="631" spans="1:12" x14ac:dyDescent="0.2">
      <c r="A631" s="316">
        <v>71</v>
      </c>
      <c r="B631" s="591" t="s">
        <v>2202</v>
      </c>
      <c r="C631" s="598" t="s">
        <v>2812</v>
      </c>
      <c r="D631" s="586"/>
      <c r="E631" s="587" t="s">
        <v>970</v>
      </c>
      <c r="F631" s="588" t="s">
        <v>971</v>
      </c>
      <c r="G631" s="653"/>
      <c r="H631" s="599">
        <v>44662</v>
      </c>
      <c r="I631" s="595">
        <f t="shared" si="48"/>
        <v>2226756.7567567565</v>
      </c>
      <c r="J631" s="595">
        <f t="shared" si="47"/>
        <v>244943.24324324323</v>
      </c>
      <c r="K631" s="596">
        <f>1554000+195300+722400</f>
        <v>2471700</v>
      </c>
      <c r="L631" s="597"/>
    </row>
    <row r="632" spans="1:12" x14ac:dyDescent="0.2">
      <c r="A632" s="316">
        <v>72</v>
      </c>
      <c r="B632" s="591" t="s">
        <v>2203</v>
      </c>
      <c r="C632" s="598" t="s">
        <v>2813</v>
      </c>
      <c r="D632" s="586"/>
      <c r="E632" s="587" t="s">
        <v>1220</v>
      </c>
      <c r="F632" s="588" t="s">
        <v>1221</v>
      </c>
      <c r="G632" s="653"/>
      <c r="H632" s="599">
        <v>44662</v>
      </c>
      <c r="I632" s="595">
        <f t="shared" si="48"/>
        <v>4726882.8828828828</v>
      </c>
      <c r="J632" s="595">
        <f t="shared" si="47"/>
        <v>519957.1171171171</v>
      </c>
      <c r="K632" s="596">
        <f>1242000+4004840</f>
        <v>5246840</v>
      </c>
      <c r="L632" s="597"/>
    </row>
    <row r="633" spans="1:12" x14ac:dyDescent="0.2">
      <c r="A633" s="316">
        <v>73</v>
      </c>
      <c r="B633" s="591" t="s">
        <v>2204</v>
      </c>
      <c r="C633" s="598" t="s">
        <v>2814</v>
      </c>
      <c r="D633" s="586"/>
      <c r="E633" s="587" t="s">
        <v>992</v>
      </c>
      <c r="F633" s="588" t="s">
        <v>1075</v>
      </c>
      <c r="G633" s="653"/>
      <c r="H633" s="599">
        <v>44662</v>
      </c>
      <c r="I633" s="595">
        <f t="shared" si="48"/>
        <v>7030745.9459459456</v>
      </c>
      <c r="J633" s="595">
        <f t="shared" si="47"/>
        <v>773382.05405405397</v>
      </c>
      <c r="K633" s="596">
        <f>1290000+2805120+3709008</f>
        <v>7804128</v>
      </c>
      <c r="L633" s="597"/>
    </row>
    <row r="634" spans="1:12" x14ac:dyDescent="0.2">
      <c r="A634" s="316">
        <v>74</v>
      </c>
      <c r="B634" s="591" t="s">
        <v>2205</v>
      </c>
      <c r="C634" s="598" t="s">
        <v>2815</v>
      </c>
      <c r="D634" s="586"/>
      <c r="E634" s="587" t="s">
        <v>992</v>
      </c>
      <c r="F634" s="588" t="s">
        <v>673</v>
      </c>
      <c r="G634" s="653"/>
      <c r="H634" s="599">
        <v>44662</v>
      </c>
      <c r="I634" s="595">
        <f t="shared" si="48"/>
        <v>19265765.765765764</v>
      </c>
      <c r="J634" s="595">
        <f t="shared" si="47"/>
        <v>2119234.2342342339</v>
      </c>
      <c r="K634" s="596">
        <f>3885000+8750000+8750000</f>
        <v>21385000</v>
      </c>
      <c r="L634" s="597"/>
    </row>
    <row r="635" spans="1:12" s="667" customFormat="1" x14ac:dyDescent="0.2">
      <c r="A635" s="663">
        <v>75</v>
      </c>
      <c r="B635" s="591" t="s">
        <v>2206</v>
      </c>
      <c r="C635" s="598" t="s">
        <v>2816</v>
      </c>
      <c r="D635" s="586"/>
      <c r="E635" s="587" t="s">
        <v>1288</v>
      </c>
      <c r="F635" s="588" t="s">
        <v>1221</v>
      </c>
      <c r="G635" s="664"/>
      <c r="H635" s="599">
        <v>44662</v>
      </c>
      <c r="I635" s="595">
        <f t="shared" si="48"/>
        <v>9414234.2342342343</v>
      </c>
      <c r="J635" s="595">
        <f t="shared" si="47"/>
        <v>1035565.7657657658</v>
      </c>
      <c r="K635" s="596">
        <f>3575520+4680080+2194200</f>
        <v>10449800</v>
      </c>
      <c r="L635" s="597"/>
    </row>
    <row r="636" spans="1:12" x14ac:dyDescent="0.2">
      <c r="A636" s="316">
        <v>76</v>
      </c>
      <c r="B636" s="591" t="s">
        <v>2207</v>
      </c>
      <c r="C636" s="598" t="s">
        <v>2817</v>
      </c>
      <c r="D636" s="586"/>
      <c r="E636" s="587" t="s">
        <v>1205</v>
      </c>
      <c r="F636" s="588" t="s">
        <v>1206</v>
      </c>
      <c r="G636" s="653"/>
      <c r="H636" s="599">
        <v>44662</v>
      </c>
      <c r="I636" s="595">
        <f t="shared" si="48"/>
        <v>3494054.054054054</v>
      </c>
      <c r="J636" s="595">
        <f t="shared" si="47"/>
        <v>384345.94594594592</v>
      </c>
      <c r="K636" s="596">
        <f>819000+2358600+700800</f>
        <v>3878400</v>
      </c>
      <c r="L636" s="597"/>
    </row>
    <row r="637" spans="1:12" x14ac:dyDescent="0.2">
      <c r="A637" s="316">
        <v>77</v>
      </c>
      <c r="B637" s="591" t="s">
        <v>2208</v>
      </c>
      <c r="C637" s="598" t="s">
        <v>2714</v>
      </c>
      <c r="D637" s="586"/>
      <c r="E637" s="587" t="s">
        <v>1135</v>
      </c>
      <c r="F637" s="588" t="s">
        <v>620</v>
      </c>
      <c r="G637" s="653"/>
      <c r="H637" s="599">
        <v>44662</v>
      </c>
      <c r="I637" s="595">
        <f t="shared" si="48"/>
        <v>214594.59459459459</v>
      </c>
      <c r="J637" s="595">
        <f t="shared" si="47"/>
        <v>23605.405405405403</v>
      </c>
      <c r="K637" s="596">
        <v>238200</v>
      </c>
      <c r="L637" s="597"/>
    </row>
    <row r="638" spans="1:12" x14ac:dyDescent="0.2">
      <c r="A638" s="316">
        <v>78</v>
      </c>
      <c r="B638" s="591" t="s">
        <v>2209</v>
      </c>
      <c r="C638" s="598" t="s">
        <v>2818</v>
      </c>
      <c r="D638" s="586"/>
      <c r="E638" s="587" t="s">
        <v>1760</v>
      </c>
      <c r="F638" s="588" t="s">
        <v>606</v>
      </c>
      <c r="G638" s="653"/>
      <c r="H638" s="599">
        <v>44662</v>
      </c>
      <c r="I638" s="595">
        <f t="shared" si="48"/>
        <v>11697567.567567566</v>
      </c>
      <c r="J638" s="595">
        <f t="shared" si="47"/>
        <v>1286732.4324324324</v>
      </c>
      <c r="K638" s="596">
        <f>3912300+6350400+2721600</f>
        <v>12984300</v>
      </c>
      <c r="L638" s="597"/>
    </row>
    <row r="639" spans="1:12" x14ac:dyDescent="0.2">
      <c r="A639" s="316">
        <v>79</v>
      </c>
      <c r="B639" s="591" t="s">
        <v>2210</v>
      </c>
      <c r="C639" s="598" t="s">
        <v>2782</v>
      </c>
      <c r="D639" s="586"/>
      <c r="E639" s="587" t="s">
        <v>976</v>
      </c>
      <c r="F639" s="588" t="s">
        <v>977</v>
      </c>
      <c r="G639" s="653"/>
      <c r="H639" s="599">
        <v>44662</v>
      </c>
      <c r="I639" s="595">
        <f t="shared" si="48"/>
        <v>11441693.693693692</v>
      </c>
      <c r="J639" s="595">
        <f t="shared" si="47"/>
        <v>1258586.306306306</v>
      </c>
      <c r="K639" s="596">
        <f>5050280+7650000</f>
        <v>12700280</v>
      </c>
      <c r="L639" s="597"/>
    </row>
    <row r="640" spans="1:12" x14ac:dyDescent="0.2">
      <c r="A640" s="316">
        <v>80</v>
      </c>
      <c r="B640" s="591" t="s">
        <v>2211</v>
      </c>
      <c r="C640" s="598" t="s">
        <v>2784</v>
      </c>
      <c r="D640" s="586"/>
      <c r="E640" s="587" t="s">
        <v>2715</v>
      </c>
      <c r="F640" s="588" t="s">
        <v>1711</v>
      </c>
      <c r="G640" s="653"/>
      <c r="H640" s="599">
        <v>44662</v>
      </c>
      <c r="I640" s="595">
        <f t="shared" si="48"/>
        <v>6950918.9189189179</v>
      </c>
      <c r="J640" s="595">
        <f t="shared" si="47"/>
        <v>764601.08108108095</v>
      </c>
      <c r="K640" s="596">
        <f>3369600+2160000+2185920</f>
        <v>7715520</v>
      </c>
      <c r="L640" s="597"/>
    </row>
    <row r="641" spans="1:12" x14ac:dyDescent="0.2">
      <c r="A641" s="316">
        <v>81</v>
      </c>
      <c r="B641" s="591" t="s">
        <v>2212</v>
      </c>
      <c r="C641" s="598" t="s">
        <v>2716</v>
      </c>
      <c r="D641" s="586"/>
      <c r="E641" s="587" t="s">
        <v>1286</v>
      </c>
      <c r="F641" s="588" t="s">
        <v>996</v>
      </c>
      <c r="G641" s="653"/>
      <c r="H641" s="599">
        <v>44662</v>
      </c>
      <c r="I641" s="595">
        <f t="shared" si="48"/>
        <v>3153153.1531531527</v>
      </c>
      <c r="J641" s="595">
        <f t="shared" si="47"/>
        <v>346846.84684684681</v>
      </c>
      <c r="K641" s="596">
        <v>3500000</v>
      </c>
      <c r="L641" s="597"/>
    </row>
    <row r="642" spans="1:12" x14ac:dyDescent="0.2">
      <c r="A642" s="316">
        <v>82</v>
      </c>
      <c r="B642" s="591" t="s">
        <v>2213</v>
      </c>
      <c r="C642" s="598" t="s">
        <v>2819</v>
      </c>
      <c r="D642" s="586"/>
      <c r="E642" s="587" t="s">
        <v>1007</v>
      </c>
      <c r="F642" s="588" t="s">
        <v>1008</v>
      </c>
      <c r="G642" s="653"/>
      <c r="H642" s="599">
        <v>44662</v>
      </c>
      <c r="I642" s="595">
        <f t="shared" si="48"/>
        <v>1523675.6756756755</v>
      </c>
      <c r="J642" s="595">
        <f t="shared" si="47"/>
        <v>167604.32432432432</v>
      </c>
      <c r="K642" s="596">
        <f>1047600+643680</f>
        <v>1691280</v>
      </c>
      <c r="L642" s="597"/>
    </row>
    <row r="643" spans="1:12" x14ac:dyDescent="0.2">
      <c r="A643" s="316">
        <v>83</v>
      </c>
      <c r="B643" s="591" t="s">
        <v>2214</v>
      </c>
      <c r="C643" s="598" t="s">
        <v>2769</v>
      </c>
      <c r="D643" s="586"/>
      <c r="E643" s="587" t="s">
        <v>1016</v>
      </c>
      <c r="F643" s="588" t="s">
        <v>1017</v>
      </c>
      <c r="G643" s="653"/>
      <c r="H643" s="599">
        <v>44662</v>
      </c>
      <c r="I643" s="595">
        <f t="shared" si="48"/>
        <v>2536576.5765765766</v>
      </c>
      <c r="J643" s="595">
        <f t="shared" si="47"/>
        <v>279023.42342342343</v>
      </c>
      <c r="K643" s="596">
        <f>1849575+966025</f>
        <v>2815600</v>
      </c>
      <c r="L643" s="597"/>
    </row>
    <row r="644" spans="1:12" x14ac:dyDescent="0.2">
      <c r="A644" s="316">
        <v>84</v>
      </c>
      <c r="B644" s="591" t="s">
        <v>2215</v>
      </c>
      <c r="C644" s="598" t="s">
        <v>2717</v>
      </c>
      <c r="D644" s="586"/>
      <c r="E644" s="593" t="s">
        <v>1222</v>
      </c>
      <c r="F644" s="593" t="s">
        <v>620</v>
      </c>
      <c r="G644" s="653"/>
      <c r="H644" s="594">
        <v>44662</v>
      </c>
      <c r="I644" s="595">
        <f t="shared" si="48"/>
        <v>1265945.9459459458</v>
      </c>
      <c r="J644" s="595">
        <f t="shared" si="47"/>
        <v>139254.05405405405</v>
      </c>
      <c r="K644" s="596">
        <v>1405200</v>
      </c>
      <c r="L644" s="597"/>
    </row>
    <row r="645" spans="1:12" s="757" customFormat="1" x14ac:dyDescent="0.2">
      <c r="A645" s="755">
        <v>85</v>
      </c>
      <c r="B645" s="736" t="s">
        <v>2216</v>
      </c>
      <c r="C645" s="598" t="s">
        <v>2820</v>
      </c>
      <c r="D645" s="737"/>
      <c r="E645" s="738" t="s">
        <v>1869</v>
      </c>
      <c r="F645" s="739" t="s">
        <v>1022</v>
      </c>
      <c r="G645" s="756"/>
      <c r="H645" s="741">
        <v>44662</v>
      </c>
      <c r="I645" s="595">
        <f t="shared" si="48"/>
        <v>16441216.216216214</v>
      </c>
      <c r="J645" s="595">
        <f t="shared" si="47"/>
        <v>1808533.7837837834</v>
      </c>
      <c r="K645" s="596">
        <f>15528150+2721600</f>
        <v>18249750</v>
      </c>
      <c r="L645" s="597"/>
    </row>
    <row r="646" spans="1:12" x14ac:dyDescent="0.2">
      <c r="A646" s="316">
        <v>86</v>
      </c>
      <c r="B646" s="591" t="s">
        <v>2217</v>
      </c>
      <c r="C646" s="598" t="s">
        <v>2718</v>
      </c>
      <c r="D646" s="586"/>
      <c r="E646" s="587" t="s">
        <v>1193</v>
      </c>
      <c r="F646" s="588" t="s">
        <v>620</v>
      </c>
      <c r="G646" s="653"/>
      <c r="H646" s="599">
        <v>44663</v>
      </c>
      <c r="I646" s="595">
        <f t="shared" si="48"/>
        <v>2071148.6486486485</v>
      </c>
      <c r="J646" s="595">
        <f t="shared" si="47"/>
        <v>227826.35135135133</v>
      </c>
      <c r="K646" s="596">
        <v>2298975</v>
      </c>
      <c r="L646" s="597"/>
    </row>
    <row r="647" spans="1:12" s="742" customFormat="1" x14ac:dyDescent="0.2">
      <c r="A647" s="735">
        <v>87</v>
      </c>
      <c r="B647" s="736" t="s">
        <v>2218</v>
      </c>
      <c r="C647" s="598" t="s">
        <v>2719</v>
      </c>
      <c r="D647" s="737"/>
      <c r="E647" s="738" t="s">
        <v>2565</v>
      </c>
      <c r="F647" s="739" t="s">
        <v>2368</v>
      </c>
      <c r="G647" s="740"/>
      <c r="H647" s="741">
        <v>44663</v>
      </c>
      <c r="I647" s="595">
        <f t="shared" si="48"/>
        <v>723891.89189189184</v>
      </c>
      <c r="J647" s="595">
        <f t="shared" si="47"/>
        <v>79628.108108108107</v>
      </c>
      <c r="K647" s="596">
        <v>803520</v>
      </c>
      <c r="L647" s="597"/>
    </row>
    <row r="648" spans="1:12" x14ac:dyDescent="0.2">
      <c r="A648" s="316">
        <v>88</v>
      </c>
      <c r="B648" s="591" t="s">
        <v>2219</v>
      </c>
      <c r="C648" s="598" t="s">
        <v>2720</v>
      </c>
      <c r="D648" s="586"/>
      <c r="E648" s="587" t="s">
        <v>1243</v>
      </c>
      <c r="F648" s="588" t="s">
        <v>1244</v>
      </c>
      <c r="G648" s="653"/>
      <c r="H648" s="599">
        <v>44663</v>
      </c>
      <c r="I648" s="595">
        <f t="shared" si="48"/>
        <v>1606918.9189189188</v>
      </c>
      <c r="J648" s="595">
        <f t="shared" si="47"/>
        <v>176761.08108108107</v>
      </c>
      <c r="K648" s="596">
        <v>1783680</v>
      </c>
      <c r="L648" s="597"/>
    </row>
    <row r="649" spans="1:12" x14ac:dyDescent="0.2">
      <c r="A649" s="316">
        <v>89</v>
      </c>
      <c r="B649" s="591" t="s">
        <v>2220</v>
      </c>
      <c r="C649" s="598" t="s">
        <v>2821</v>
      </c>
      <c r="D649" s="586"/>
      <c r="E649" s="587" t="s">
        <v>978</v>
      </c>
      <c r="F649" s="588" t="s">
        <v>590</v>
      </c>
      <c r="G649" s="653"/>
      <c r="H649" s="599">
        <v>44663</v>
      </c>
      <c r="I649" s="595">
        <f t="shared" si="48"/>
        <v>7160778.3783783773</v>
      </c>
      <c r="J649" s="595">
        <f t="shared" si="47"/>
        <v>787685.62162162154</v>
      </c>
      <c r="K649" s="596">
        <f>1176480+3362256+3409728</f>
        <v>7948464</v>
      </c>
      <c r="L649" s="597"/>
    </row>
    <row r="650" spans="1:12" x14ac:dyDescent="0.2">
      <c r="A650" s="316">
        <v>90</v>
      </c>
      <c r="B650" s="591" t="s">
        <v>2221</v>
      </c>
      <c r="C650" s="598" t="s">
        <v>2721</v>
      </c>
      <c r="D650" s="586"/>
      <c r="E650" s="587" t="s">
        <v>1053</v>
      </c>
      <c r="F650" s="588" t="s">
        <v>620</v>
      </c>
      <c r="G650" s="653"/>
      <c r="H650" s="599">
        <v>44663</v>
      </c>
      <c r="I650" s="595">
        <f t="shared" si="48"/>
        <v>1892999.9999999998</v>
      </c>
      <c r="J650" s="595">
        <f t="shared" si="47"/>
        <v>208229.99999999997</v>
      </c>
      <c r="K650" s="596">
        <v>2101230</v>
      </c>
      <c r="L650" s="597"/>
    </row>
    <row r="651" spans="1:12" x14ac:dyDescent="0.2">
      <c r="A651" s="316">
        <v>91</v>
      </c>
      <c r="B651" s="591" t="s">
        <v>2222</v>
      </c>
      <c r="C651" s="598" t="s">
        <v>2822</v>
      </c>
      <c r="D651" s="586"/>
      <c r="E651" s="587" t="s">
        <v>1090</v>
      </c>
      <c r="F651" s="588" t="s">
        <v>606</v>
      </c>
      <c r="G651" s="653"/>
      <c r="H651" s="599">
        <v>44663</v>
      </c>
      <c r="I651" s="595">
        <f t="shared" si="48"/>
        <v>6588513.5135135129</v>
      </c>
      <c r="J651" s="595">
        <f t="shared" ref="J651:J697" si="49">I651*11%</f>
        <v>724736.48648648639</v>
      </c>
      <c r="K651" s="596">
        <f>3458700+2002350+1852200</f>
        <v>7313250</v>
      </c>
      <c r="L651" s="597"/>
    </row>
    <row r="652" spans="1:12" x14ac:dyDescent="0.2">
      <c r="A652" s="316">
        <v>92</v>
      </c>
      <c r="B652" s="591" t="s">
        <v>2223</v>
      </c>
      <c r="C652" s="598" t="s">
        <v>2722</v>
      </c>
      <c r="D652" s="586"/>
      <c r="E652" s="587" t="s">
        <v>992</v>
      </c>
      <c r="F652" s="588" t="s">
        <v>1127</v>
      </c>
      <c r="G652" s="653"/>
      <c r="H652" s="599">
        <v>44663</v>
      </c>
      <c r="I652" s="595">
        <f t="shared" si="48"/>
        <v>5022972.9729729723</v>
      </c>
      <c r="J652" s="595">
        <f t="shared" si="49"/>
        <v>552527.02702702698</v>
      </c>
      <c r="K652" s="596">
        <v>5575500</v>
      </c>
      <c r="L652" s="597"/>
    </row>
    <row r="653" spans="1:12" x14ac:dyDescent="0.2">
      <c r="A653" s="316">
        <v>93</v>
      </c>
      <c r="B653" s="591" t="s">
        <v>2224</v>
      </c>
      <c r="C653" s="598" t="s">
        <v>2723</v>
      </c>
      <c r="D653" s="586"/>
      <c r="E653" s="587" t="s">
        <v>1054</v>
      </c>
      <c r="F653" s="588" t="s">
        <v>1055</v>
      </c>
      <c r="G653" s="653"/>
      <c r="H653" s="599">
        <v>44663</v>
      </c>
      <c r="I653" s="595">
        <f t="shared" si="48"/>
        <v>2422702.7027027025</v>
      </c>
      <c r="J653" s="595">
        <f t="shared" si="49"/>
        <v>266497.29729729728</v>
      </c>
      <c r="K653" s="596">
        <v>2689200</v>
      </c>
      <c r="L653" s="597"/>
    </row>
    <row r="654" spans="1:12" s="667" customFormat="1" x14ac:dyDescent="0.2">
      <c r="A654" s="663">
        <v>94</v>
      </c>
      <c r="B654" s="591" t="s">
        <v>2225</v>
      </c>
      <c r="C654" s="598" t="s">
        <v>2794</v>
      </c>
      <c r="D654" s="586"/>
      <c r="E654" s="587" t="s">
        <v>1277</v>
      </c>
      <c r="F654" s="588" t="s">
        <v>1019</v>
      </c>
      <c r="G654" s="664"/>
      <c r="H654" s="599">
        <v>44663</v>
      </c>
      <c r="I654" s="595">
        <f t="shared" si="48"/>
        <v>459729.7297297297</v>
      </c>
      <c r="J654" s="595">
        <f t="shared" si="49"/>
        <v>50570.270270270266</v>
      </c>
      <c r="K654" s="596">
        <v>510300</v>
      </c>
      <c r="L654" s="597"/>
    </row>
    <row r="655" spans="1:12" x14ac:dyDescent="0.2">
      <c r="A655" s="316">
        <v>95</v>
      </c>
      <c r="B655" s="591" t="s">
        <v>2226</v>
      </c>
      <c r="C655" s="598" t="s">
        <v>2724</v>
      </c>
      <c r="D655" s="586"/>
      <c r="E655" s="593" t="s">
        <v>1026</v>
      </c>
      <c r="F655" s="593" t="s">
        <v>579</v>
      </c>
      <c r="G655" s="653"/>
      <c r="H655" s="594">
        <v>44664</v>
      </c>
      <c r="I655" s="595">
        <f t="shared" si="48"/>
        <v>1118918.9189189188</v>
      </c>
      <c r="J655" s="595">
        <f t="shared" si="49"/>
        <v>123081.08108108107</v>
      </c>
      <c r="K655" s="596">
        <v>1242000</v>
      </c>
      <c r="L655" s="597"/>
    </row>
    <row r="656" spans="1:12" x14ac:dyDescent="0.2">
      <c r="A656" s="316">
        <v>96</v>
      </c>
      <c r="B656" s="591" t="s">
        <v>2227</v>
      </c>
      <c r="C656" s="598" t="s">
        <v>2725</v>
      </c>
      <c r="D656" s="586"/>
      <c r="E656" s="587" t="s">
        <v>1750</v>
      </c>
      <c r="F656" s="588" t="s">
        <v>1328</v>
      </c>
      <c r="G656" s="653"/>
      <c r="H656" s="599">
        <v>44664</v>
      </c>
      <c r="I656" s="595">
        <f t="shared" si="48"/>
        <v>881621.62162162154</v>
      </c>
      <c r="J656" s="595">
        <f t="shared" si="49"/>
        <v>96978.378378378373</v>
      </c>
      <c r="K656" s="596">
        <v>978600</v>
      </c>
      <c r="L656" s="597"/>
    </row>
    <row r="657" spans="1:12" x14ac:dyDescent="0.2">
      <c r="A657" s="316">
        <v>97</v>
      </c>
      <c r="B657" s="591" t="s">
        <v>2228</v>
      </c>
      <c r="C657" s="598" t="s">
        <v>2823</v>
      </c>
      <c r="D657" s="586"/>
      <c r="E657" s="587" t="s">
        <v>979</v>
      </c>
      <c r="F657" s="588" t="s">
        <v>980</v>
      </c>
      <c r="G657" s="653"/>
      <c r="H657" s="599">
        <v>44664</v>
      </c>
      <c r="I657" s="595">
        <f t="shared" si="48"/>
        <v>12964151.351351351</v>
      </c>
      <c r="J657" s="595">
        <f t="shared" si="49"/>
        <v>1426056.6486486485</v>
      </c>
      <c r="K657" s="596">
        <f>2476800+767808+11145600</f>
        <v>14390208</v>
      </c>
      <c r="L657" s="597"/>
    </row>
    <row r="658" spans="1:12" x14ac:dyDescent="0.2">
      <c r="A658" s="316">
        <v>98</v>
      </c>
      <c r="B658" s="591" t="s">
        <v>2229</v>
      </c>
      <c r="C658" s="598" t="s">
        <v>2771</v>
      </c>
      <c r="D658" s="586"/>
      <c r="E658" s="587" t="s">
        <v>981</v>
      </c>
      <c r="F658" s="588" t="s">
        <v>980</v>
      </c>
      <c r="G658" s="653"/>
      <c r="H658" s="599">
        <v>44664</v>
      </c>
      <c r="I658" s="595">
        <f t="shared" si="48"/>
        <v>18183654.054054052</v>
      </c>
      <c r="J658" s="595">
        <f t="shared" si="49"/>
        <v>2000201.9459459458</v>
      </c>
      <c r="K658" s="596">
        <f>18245760+1938096</f>
        <v>20183856</v>
      </c>
      <c r="L658" s="597"/>
    </row>
    <row r="659" spans="1:12" s="742" customFormat="1" x14ac:dyDescent="0.2">
      <c r="A659" s="735">
        <v>99</v>
      </c>
      <c r="B659" s="736" t="s">
        <v>2230</v>
      </c>
      <c r="C659" s="598" t="s">
        <v>2726</v>
      </c>
      <c r="D659" s="737"/>
      <c r="E659" s="738" t="s">
        <v>2727</v>
      </c>
      <c r="F659" s="739" t="s">
        <v>2368</v>
      </c>
      <c r="G659" s="740"/>
      <c r="H659" s="741">
        <v>44664</v>
      </c>
      <c r="I659" s="595">
        <f t="shared" si="46"/>
        <v>723891.89189189184</v>
      </c>
      <c r="J659" s="595">
        <f t="shared" si="49"/>
        <v>79628.108108108107</v>
      </c>
      <c r="K659" s="596">
        <v>803520</v>
      </c>
      <c r="L659" s="597"/>
    </row>
    <row r="660" spans="1:12" s="742" customFormat="1" x14ac:dyDescent="0.2">
      <c r="A660" s="735">
        <v>100</v>
      </c>
      <c r="B660" s="736" t="s">
        <v>2231</v>
      </c>
      <c r="C660" s="598" t="s">
        <v>2728</v>
      </c>
      <c r="D660" s="737"/>
      <c r="E660" s="738" t="s">
        <v>1315</v>
      </c>
      <c r="F660" s="739" t="s">
        <v>966</v>
      </c>
      <c r="G660" s="740"/>
      <c r="H660" s="741">
        <v>44664</v>
      </c>
      <c r="I660" s="595">
        <f t="shared" ref="I660:I668" si="50">K660/1.11</f>
        <v>10588378.378378378</v>
      </c>
      <c r="J660" s="595">
        <f t="shared" si="49"/>
        <v>1164721.6216216215</v>
      </c>
      <c r="K660" s="596">
        <v>11753100</v>
      </c>
      <c r="L660" s="597"/>
    </row>
    <row r="661" spans="1:12" s="742" customFormat="1" x14ac:dyDescent="0.2">
      <c r="A661" s="735">
        <v>101</v>
      </c>
      <c r="B661" s="736" t="s">
        <v>2232</v>
      </c>
      <c r="C661" s="598" t="s">
        <v>2824</v>
      </c>
      <c r="D661" s="737"/>
      <c r="E661" s="738" t="s">
        <v>972</v>
      </c>
      <c r="F661" s="739" t="s">
        <v>966</v>
      </c>
      <c r="G661" s="740"/>
      <c r="H661" s="741">
        <v>44664</v>
      </c>
      <c r="I661" s="595">
        <f t="shared" si="50"/>
        <v>16104256.756756755</v>
      </c>
      <c r="J661" s="595">
        <f t="shared" si="49"/>
        <v>1771468.2432432431</v>
      </c>
      <c r="K661" s="596">
        <f>13566525+2998800+1310400</f>
        <v>17875725</v>
      </c>
      <c r="L661" s="597"/>
    </row>
    <row r="662" spans="1:12" x14ac:dyDescent="0.2">
      <c r="A662" s="316">
        <v>102</v>
      </c>
      <c r="B662" s="591" t="s">
        <v>2233</v>
      </c>
      <c r="C662" s="602" t="s">
        <v>2779</v>
      </c>
      <c r="D662" s="603"/>
      <c r="E662" s="604" t="s">
        <v>992</v>
      </c>
      <c r="F662" s="605" t="s">
        <v>993</v>
      </c>
      <c r="G662" s="653"/>
      <c r="H662" s="606">
        <v>44665</v>
      </c>
      <c r="I662" s="595">
        <f t="shared" si="50"/>
        <v>8110521.6216216208</v>
      </c>
      <c r="J662" s="595">
        <f t="shared" si="49"/>
        <v>892157.37837837834</v>
      </c>
      <c r="K662" s="596">
        <f>4019271+3825000+1158408</f>
        <v>9002679</v>
      </c>
      <c r="L662" s="597"/>
    </row>
    <row r="663" spans="1:12" x14ac:dyDescent="0.2">
      <c r="A663" s="316">
        <v>103</v>
      </c>
      <c r="B663" s="591" t="s">
        <v>2234</v>
      </c>
      <c r="C663" s="598" t="s">
        <v>2729</v>
      </c>
      <c r="D663" s="586"/>
      <c r="E663" s="593" t="s">
        <v>2730</v>
      </c>
      <c r="F663" s="593" t="s">
        <v>579</v>
      </c>
      <c r="G663" s="653"/>
      <c r="H663" s="599">
        <v>44665</v>
      </c>
      <c r="I663" s="595">
        <f t="shared" si="50"/>
        <v>1514324.3243243243</v>
      </c>
      <c r="J663" s="595">
        <f t="shared" si="49"/>
        <v>166575.67567567568</v>
      </c>
      <c r="K663" s="596">
        <v>1680900</v>
      </c>
      <c r="L663" s="597"/>
    </row>
    <row r="664" spans="1:12" x14ac:dyDescent="0.2">
      <c r="A664" s="316">
        <v>104</v>
      </c>
      <c r="B664" s="591" t="s">
        <v>2235</v>
      </c>
      <c r="C664" s="598" t="s">
        <v>2731</v>
      </c>
      <c r="D664" s="586"/>
      <c r="E664" s="587" t="s">
        <v>1787</v>
      </c>
      <c r="F664" s="588" t="s">
        <v>1788</v>
      </c>
      <c r="G664" s="653"/>
      <c r="H664" s="599">
        <v>44665</v>
      </c>
      <c r="I664" s="595">
        <f t="shared" si="50"/>
        <v>411486.48648648645</v>
      </c>
      <c r="J664" s="595">
        <f t="shared" si="49"/>
        <v>45263.513513513513</v>
      </c>
      <c r="K664" s="596">
        <v>456750</v>
      </c>
      <c r="L664" s="597"/>
    </row>
    <row r="665" spans="1:12" x14ac:dyDescent="0.2">
      <c r="A665" s="316">
        <v>105</v>
      </c>
      <c r="B665" s="591" t="s">
        <v>2236</v>
      </c>
      <c r="C665" s="598" t="s">
        <v>2732</v>
      </c>
      <c r="D665" s="586"/>
      <c r="E665" s="587" t="s">
        <v>1126</v>
      </c>
      <c r="F665" s="588" t="s">
        <v>1127</v>
      </c>
      <c r="G665" s="653"/>
      <c r="H665" s="599">
        <v>44665</v>
      </c>
      <c r="I665" s="595">
        <f t="shared" si="50"/>
        <v>1055675.6756756755</v>
      </c>
      <c r="J665" s="595">
        <f t="shared" si="49"/>
        <v>116124.32432432431</v>
      </c>
      <c r="K665" s="596">
        <v>1171800</v>
      </c>
      <c r="L665" s="597"/>
    </row>
    <row r="666" spans="1:12" x14ac:dyDescent="0.2">
      <c r="A666" s="316">
        <v>106</v>
      </c>
      <c r="B666" s="591" t="s">
        <v>2237</v>
      </c>
      <c r="C666" s="598" t="s">
        <v>2733</v>
      </c>
      <c r="D666" s="586"/>
      <c r="E666" s="587" t="s">
        <v>1298</v>
      </c>
      <c r="F666" s="588" t="s">
        <v>426</v>
      </c>
      <c r="G666" s="653"/>
      <c r="H666" s="599">
        <v>44665</v>
      </c>
      <c r="I666" s="595">
        <f t="shared" si="50"/>
        <v>176418.91891891891</v>
      </c>
      <c r="J666" s="595">
        <f t="shared" si="49"/>
        <v>19406.08108108108</v>
      </c>
      <c r="K666" s="596">
        <v>195825</v>
      </c>
      <c r="L666" s="597"/>
    </row>
    <row r="667" spans="1:12" s="742" customFormat="1" x14ac:dyDescent="0.2">
      <c r="A667" s="735">
        <v>107</v>
      </c>
      <c r="B667" s="736" t="s">
        <v>2238</v>
      </c>
      <c r="C667" s="598" t="s">
        <v>2734</v>
      </c>
      <c r="D667" s="737"/>
      <c r="E667" s="738" t="s">
        <v>2585</v>
      </c>
      <c r="F667" s="739" t="s">
        <v>587</v>
      </c>
      <c r="G667" s="740"/>
      <c r="H667" s="741">
        <v>44665</v>
      </c>
      <c r="I667" s="595">
        <f t="shared" si="50"/>
        <v>2685405.405405405</v>
      </c>
      <c r="J667" s="595">
        <f t="shared" si="49"/>
        <v>295394.59459459456</v>
      </c>
      <c r="K667" s="596">
        <v>2980800</v>
      </c>
      <c r="L667" s="597"/>
    </row>
    <row r="668" spans="1:12" s="742" customFormat="1" x14ac:dyDescent="0.2">
      <c r="A668" s="735">
        <v>108</v>
      </c>
      <c r="B668" s="736" t="s">
        <v>2239</v>
      </c>
      <c r="C668" s="598" t="s">
        <v>2735</v>
      </c>
      <c r="D668" s="737"/>
      <c r="E668" s="738" t="s">
        <v>1029</v>
      </c>
      <c r="F668" s="739" t="s">
        <v>966</v>
      </c>
      <c r="G668" s="740"/>
      <c r="H668" s="741">
        <v>44665</v>
      </c>
      <c r="I668" s="595">
        <f t="shared" si="50"/>
        <v>27052792.79279279</v>
      </c>
      <c r="J668" s="595">
        <f t="shared" si="49"/>
        <v>2975807.2072072071</v>
      </c>
      <c r="K668" s="596">
        <v>30028600</v>
      </c>
      <c r="L668" s="597"/>
    </row>
    <row r="669" spans="1:12" x14ac:dyDescent="0.2">
      <c r="A669" s="316">
        <v>109</v>
      </c>
      <c r="B669" s="591" t="s">
        <v>2240</v>
      </c>
      <c r="C669" s="598" t="s">
        <v>2736</v>
      </c>
      <c r="D669" s="586"/>
      <c r="E669" s="587" t="s">
        <v>2712</v>
      </c>
      <c r="F669" s="588" t="s">
        <v>602</v>
      </c>
      <c r="G669" s="653"/>
      <c r="H669" s="599">
        <v>44667</v>
      </c>
      <c r="I669" s="595">
        <f t="shared" ref="I669:I675" si="51">K669/1.11</f>
        <v>78828.828828828817</v>
      </c>
      <c r="J669" s="595">
        <f t="shared" si="49"/>
        <v>8671.1711711711705</v>
      </c>
      <c r="K669" s="596">
        <v>87500</v>
      </c>
      <c r="L669" s="597"/>
    </row>
    <row r="670" spans="1:12" s="667" customFormat="1" x14ac:dyDescent="0.2">
      <c r="A670" s="663">
        <v>110</v>
      </c>
      <c r="B670" s="591" t="s">
        <v>2241</v>
      </c>
      <c r="C670" s="602" t="s">
        <v>2825</v>
      </c>
      <c r="D670" s="654"/>
      <c r="E670" s="604" t="s">
        <v>1040</v>
      </c>
      <c r="F670" s="605" t="s">
        <v>1019</v>
      </c>
      <c r="G670" s="664"/>
      <c r="H670" s="606">
        <v>44667</v>
      </c>
      <c r="I670" s="595">
        <f t="shared" si="51"/>
        <v>11376765.765765766</v>
      </c>
      <c r="J670" s="595">
        <f t="shared" si="49"/>
        <v>1251444.2342342343</v>
      </c>
      <c r="K670" s="596">
        <f>1191400+6820080+4616730</f>
        <v>12628210</v>
      </c>
      <c r="L670" s="597"/>
    </row>
    <row r="671" spans="1:12" x14ac:dyDescent="0.2">
      <c r="A671" s="316">
        <v>111</v>
      </c>
      <c r="B671" s="591" t="s">
        <v>2242</v>
      </c>
      <c r="C671" s="598" t="s">
        <v>2737</v>
      </c>
      <c r="D671" s="586"/>
      <c r="E671" s="587" t="s">
        <v>1246</v>
      </c>
      <c r="F671" s="588" t="s">
        <v>579</v>
      </c>
      <c r="G671" s="653"/>
      <c r="H671" s="599">
        <v>44667</v>
      </c>
      <c r="I671" s="595">
        <f t="shared" si="51"/>
        <v>1569567.5675675673</v>
      </c>
      <c r="J671" s="595">
        <f t="shared" si="49"/>
        <v>172652.4324324324</v>
      </c>
      <c r="K671" s="596">
        <v>1742220</v>
      </c>
      <c r="L671" s="597"/>
    </row>
    <row r="672" spans="1:12" x14ac:dyDescent="0.2">
      <c r="A672" s="316">
        <v>112</v>
      </c>
      <c r="B672" s="591" t="s">
        <v>2243</v>
      </c>
      <c r="C672" s="598" t="s">
        <v>2738</v>
      </c>
      <c r="D672" s="586"/>
      <c r="E672" s="587" t="s">
        <v>1090</v>
      </c>
      <c r="F672" s="588" t="s">
        <v>2472</v>
      </c>
      <c r="G672" s="653"/>
      <c r="H672" s="599">
        <v>44667</v>
      </c>
      <c r="I672" s="595">
        <f t="shared" si="51"/>
        <v>472972.97297297296</v>
      </c>
      <c r="J672" s="595">
        <f t="shared" si="49"/>
        <v>52027.027027027027</v>
      </c>
      <c r="K672" s="596">
        <v>525000</v>
      </c>
      <c r="L672" s="597"/>
    </row>
    <row r="673" spans="1:12" x14ac:dyDescent="0.2">
      <c r="A673" s="316">
        <v>113</v>
      </c>
      <c r="B673" s="591" t="s">
        <v>2244</v>
      </c>
      <c r="C673" s="598" t="s">
        <v>2741</v>
      </c>
      <c r="D673" s="586"/>
      <c r="E673" s="587" t="s">
        <v>2739</v>
      </c>
      <c r="F673" s="588" t="s">
        <v>2740</v>
      </c>
      <c r="G673" s="653"/>
      <c r="H673" s="599">
        <v>44667</v>
      </c>
      <c r="I673" s="595">
        <f t="shared" si="51"/>
        <v>10795081.081081079</v>
      </c>
      <c r="J673" s="595">
        <f t="shared" si="49"/>
        <v>1187458.9189189188</v>
      </c>
      <c r="K673" s="596">
        <f>3505460+3945580+3126600+1404900</f>
        <v>11982540</v>
      </c>
      <c r="L673" s="597"/>
    </row>
    <row r="674" spans="1:12" x14ac:dyDescent="0.2">
      <c r="A674" s="316">
        <v>114</v>
      </c>
      <c r="B674" s="591" t="s">
        <v>2245</v>
      </c>
      <c r="C674" s="598" t="s">
        <v>2742</v>
      </c>
      <c r="D674" s="586"/>
      <c r="E674" s="587" t="s">
        <v>992</v>
      </c>
      <c r="F674" s="588" t="s">
        <v>1033</v>
      </c>
      <c r="G674" s="653"/>
      <c r="H674" s="599">
        <v>44667</v>
      </c>
      <c r="I674" s="595">
        <f t="shared" si="51"/>
        <v>1313513.5135135134</v>
      </c>
      <c r="J674" s="595">
        <f t="shared" si="49"/>
        <v>144486.48648648648</v>
      </c>
      <c r="K674" s="596">
        <v>1458000</v>
      </c>
      <c r="L674" s="597"/>
    </row>
    <row r="675" spans="1:12" x14ac:dyDescent="0.2">
      <c r="A675" s="316">
        <v>115</v>
      </c>
      <c r="B675" s="591" t="s">
        <v>2246</v>
      </c>
      <c r="C675" s="602" t="s">
        <v>2826</v>
      </c>
      <c r="D675" s="603"/>
      <c r="E675" s="604" t="s">
        <v>1014</v>
      </c>
      <c r="F675" s="605" t="s">
        <v>1015</v>
      </c>
      <c r="G675" s="653"/>
      <c r="H675" s="606">
        <v>44669</v>
      </c>
      <c r="I675" s="595">
        <f t="shared" si="51"/>
        <v>5600432.4324324317</v>
      </c>
      <c r="J675" s="595">
        <f t="shared" si="49"/>
        <v>616047.56756756746</v>
      </c>
      <c r="K675" s="596">
        <f>2717280+699840+2799360</f>
        <v>6216480</v>
      </c>
      <c r="L675" s="597"/>
    </row>
    <row r="676" spans="1:12" s="667" customFormat="1" x14ac:dyDescent="0.2">
      <c r="A676" s="663">
        <v>116</v>
      </c>
      <c r="B676" s="591" t="s">
        <v>2247</v>
      </c>
      <c r="C676" s="598" t="s">
        <v>2827</v>
      </c>
      <c r="D676" s="586"/>
      <c r="E676" s="587" t="s">
        <v>986</v>
      </c>
      <c r="F676" s="588" t="s">
        <v>980</v>
      </c>
      <c r="G676" s="664"/>
      <c r="H676" s="599">
        <v>44669</v>
      </c>
      <c r="I676" s="595">
        <f t="shared" ref="I676:I697" si="52">K676/1.11</f>
        <v>4911567.5675675673</v>
      </c>
      <c r="J676" s="595">
        <f t="shared" si="49"/>
        <v>540272.43243243243</v>
      </c>
      <c r="K676" s="596">
        <f>630720+4821120</f>
        <v>5451840</v>
      </c>
      <c r="L676" s="597"/>
    </row>
    <row r="677" spans="1:12" x14ac:dyDescent="0.2">
      <c r="A677" s="316">
        <v>117</v>
      </c>
      <c r="B677" s="591" t="s">
        <v>2248</v>
      </c>
      <c r="C677" s="598" t="s">
        <v>2744</v>
      </c>
      <c r="D677" s="586"/>
      <c r="E677" s="587" t="s">
        <v>1225</v>
      </c>
      <c r="F677" s="588" t="s">
        <v>1206</v>
      </c>
      <c r="G677" s="653"/>
      <c r="H677" s="599">
        <v>44669</v>
      </c>
      <c r="I677" s="595">
        <f t="shared" si="52"/>
        <v>2623009.0090090088</v>
      </c>
      <c r="J677" s="595">
        <f t="shared" si="49"/>
        <v>288530.99099099095</v>
      </c>
      <c r="K677" s="596">
        <v>2911540</v>
      </c>
      <c r="L677" s="597"/>
    </row>
    <row r="678" spans="1:12" x14ac:dyDescent="0.2">
      <c r="A678" s="316">
        <v>118</v>
      </c>
      <c r="B678" s="591" t="s">
        <v>2249</v>
      </c>
      <c r="C678" s="598" t="s">
        <v>2828</v>
      </c>
      <c r="D678" s="586"/>
      <c r="E678" s="587" t="s">
        <v>969</v>
      </c>
      <c r="F678" s="588" t="s">
        <v>966</v>
      </c>
      <c r="G678" s="653"/>
      <c r="H678" s="599">
        <v>44669</v>
      </c>
      <c r="I678" s="595">
        <f t="shared" si="52"/>
        <v>24114527.027027026</v>
      </c>
      <c r="J678" s="595">
        <f t="shared" si="49"/>
        <v>2652597.9729729728</v>
      </c>
      <c r="K678" s="596">
        <f>1512000+14041125+11214000</f>
        <v>26767125</v>
      </c>
      <c r="L678" s="597"/>
    </row>
    <row r="679" spans="1:12" x14ac:dyDescent="0.2">
      <c r="A679" s="316">
        <v>119</v>
      </c>
      <c r="B679" s="591" t="s">
        <v>2250</v>
      </c>
      <c r="C679" s="598" t="s">
        <v>2798</v>
      </c>
      <c r="D679" s="586"/>
      <c r="E679" s="587" t="s">
        <v>1756</v>
      </c>
      <c r="F679" s="588" t="s">
        <v>673</v>
      </c>
      <c r="G679" s="653"/>
      <c r="H679" s="599">
        <v>44670</v>
      </c>
      <c r="I679" s="595">
        <f t="shared" si="52"/>
        <v>5313162.1621621614</v>
      </c>
      <c r="J679" s="595">
        <f t="shared" si="49"/>
        <v>584447.83783783775</v>
      </c>
      <c r="K679" s="596">
        <f>2109450+3276000+512160</f>
        <v>5897610</v>
      </c>
      <c r="L679" s="597"/>
    </row>
    <row r="680" spans="1:12" s="667" customFormat="1" x14ac:dyDescent="0.2">
      <c r="A680" s="663">
        <v>120</v>
      </c>
      <c r="B680" s="591" t="s">
        <v>2251</v>
      </c>
      <c r="C680" s="598" t="s">
        <v>2980</v>
      </c>
      <c r="D680" s="586"/>
      <c r="E680" s="587" t="s">
        <v>992</v>
      </c>
      <c r="F680" s="588" t="s">
        <v>673</v>
      </c>
      <c r="G680" s="586"/>
      <c r="H680" s="599">
        <v>44670</v>
      </c>
      <c r="I680" s="595">
        <f t="shared" si="52"/>
        <v>24710450.450450446</v>
      </c>
      <c r="J680" s="595">
        <f t="shared" si="49"/>
        <v>2718149.5495495494</v>
      </c>
      <c r="K680" s="596">
        <f>3528000+5304600+18596000</f>
        <v>27428600</v>
      </c>
      <c r="L680" s="597"/>
    </row>
    <row r="681" spans="1:12" x14ac:dyDescent="0.2">
      <c r="A681" s="316">
        <v>121</v>
      </c>
      <c r="B681" s="591" t="s">
        <v>2252</v>
      </c>
      <c r="C681" s="598" t="s">
        <v>2981</v>
      </c>
      <c r="D681" s="586"/>
      <c r="E681" s="587" t="s">
        <v>1034</v>
      </c>
      <c r="F681" s="588" t="s">
        <v>984</v>
      </c>
      <c r="G681" s="586"/>
      <c r="H681" s="599">
        <v>44670</v>
      </c>
      <c r="I681" s="595">
        <f t="shared" si="52"/>
        <v>2911135.1351351347</v>
      </c>
      <c r="J681" s="595">
        <f t="shared" si="49"/>
        <v>320224.86486486479</v>
      </c>
      <c r="K681" s="596">
        <f>1052460+2178900</f>
        <v>3231360</v>
      </c>
      <c r="L681" s="597"/>
    </row>
    <row r="682" spans="1:12" x14ac:dyDescent="0.2">
      <c r="A682" s="316">
        <v>122</v>
      </c>
      <c r="B682" s="591" t="s">
        <v>2253</v>
      </c>
      <c r="C682" s="598" t="s">
        <v>2745</v>
      </c>
      <c r="D682" s="586"/>
      <c r="E682" s="587" t="s">
        <v>1800</v>
      </c>
      <c r="F682" s="588" t="s">
        <v>620</v>
      </c>
      <c r="G682" s="586"/>
      <c r="H682" s="599">
        <v>44670</v>
      </c>
      <c r="I682" s="595">
        <f t="shared" si="52"/>
        <v>47297.297297297293</v>
      </c>
      <c r="J682" s="595">
        <f t="shared" si="49"/>
        <v>5202.7027027027025</v>
      </c>
      <c r="K682" s="596">
        <v>52500</v>
      </c>
      <c r="L682" s="597"/>
    </row>
    <row r="683" spans="1:12" x14ac:dyDescent="0.2">
      <c r="A683" s="316">
        <v>123</v>
      </c>
      <c r="B683" s="591" t="s">
        <v>2254</v>
      </c>
      <c r="C683" s="602" t="s">
        <v>2982</v>
      </c>
      <c r="D683" s="603"/>
      <c r="E683" s="604" t="s">
        <v>2576</v>
      </c>
      <c r="F683" s="605" t="s">
        <v>2368</v>
      </c>
      <c r="G683" s="654"/>
      <c r="H683" s="606">
        <v>44670</v>
      </c>
      <c r="I683" s="595">
        <f t="shared" si="52"/>
        <v>5963286.4864864862</v>
      </c>
      <c r="J683" s="595">
        <f t="shared" si="49"/>
        <v>655961.51351351349</v>
      </c>
      <c r="K683" s="596">
        <f>5950512+668736</f>
        <v>6619248</v>
      </c>
      <c r="L683" s="597"/>
    </row>
    <row r="684" spans="1:12" x14ac:dyDescent="0.2">
      <c r="A684" s="316">
        <v>124</v>
      </c>
      <c r="B684" s="591" t="s">
        <v>2255</v>
      </c>
      <c r="C684" s="598" t="s">
        <v>2746</v>
      </c>
      <c r="D684" s="586"/>
      <c r="E684" s="593" t="s">
        <v>992</v>
      </c>
      <c r="F684" s="593" t="s">
        <v>583</v>
      </c>
      <c r="G684" s="586"/>
      <c r="H684" s="599">
        <v>44670</v>
      </c>
      <c r="I684" s="595">
        <f t="shared" si="52"/>
        <v>804324.32432432426</v>
      </c>
      <c r="J684" s="595">
        <f t="shared" si="49"/>
        <v>88475.675675675666</v>
      </c>
      <c r="K684" s="596">
        <v>892800</v>
      </c>
      <c r="L684" s="597"/>
    </row>
    <row r="685" spans="1:12" x14ac:dyDescent="0.2">
      <c r="A685" s="316">
        <v>125</v>
      </c>
      <c r="B685" s="591" t="s">
        <v>2256</v>
      </c>
      <c r="C685" s="598" t="s">
        <v>2747</v>
      </c>
      <c r="D685" s="586"/>
      <c r="E685" s="587" t="s">
        <v>1093</v>
      </c>
      <c r="F685" s="588" t="s">
        <v>1094</v>
      </c>
      <c r="G685" s="586"/>
      <c r="H685" s="599">
        <v>44671</v>
      </c>
      <c r="I685" s="595">
        <f t="shared" si="52"/>
        <v>397297.29729729728</v>
      </c>
      <c r="J685" s="595">
        <f t="shared" si="49"/>
        <v>43702.7027027027</v>
      </c>
      <c r="K685" s="596">
        <v>441000</v>
      </c>
      <c r="L685" s="597"/>
    </row>
    <row r="686" spans="1:12" x14ac:dyDescent="0.2">
      <c r="A686" s="316">
        <v>126</v>
      </c>
      <c r="B686" s="591" t="s">
        <v>2257</v>
      </c>
      <c r="C686" s="598" t="s">
        <v>2748</v>
      </c>
      <c r="D686" s="586"/>
      <c r="E686" s="587" t="s">
        <v>1296</v>
      </c>
      <c r="F686" s="588" t="s">
        <v>1033</v>
      </c>
      <c r="G686" s="586"/>
      <c r="H686" s="599">
        <v>44671</v>
      </c>
      <c r="I686" s="595">
        <f t="shared" si="52"/>
        <v>3247567.5675675673</v>
      </c>
      <c r="J686" s="595">
        <f t="shared" si="49"/>
        <v>357232.43243243243</v>
      </c>
      <c r="K686" s="596">
        <v>3604800</v>
      </c>
      <c r="L686" s="597"/>
    </row>
    <row r="687" spans="1:12" s="742" customFormat="1" x14ac:dyDescent="0.2">
      <c r="A687" s="735">
        <v>127</v>
      </c>
      <c r="B687" s="736" t="s">
        <v>2258</v>
      </c>
      <c r="C687" s="598" t="s">
        <v>2743</v>
      </c>
      <c r="D687" s="737"/>
      <c r="E687" s="738" t="s">
        <v>1006</v>
      </c>
      <c r="F687" s="739" t="s">
        <v>984</v>
      </c>
      <c r="G687" s="740"/>
      <c r="H687" s="741">
        <v>44672</v>
      </c>
      <c r="I687" s="595">
        <f t="shared" si="52"/>
        <v>1038648.6486486485</v>
      </c>
      <c r="J687" s="595">
        <f t="shared" si="49"/>
        <v>114251.35135135133</v>
      </c>
      <c r="K687" s="596">
        <v>1152900</v>
      </c>
      <c r="L687" s="597"/>
    </row>
    <row r="688" spans="1:12" x14ac:dyDescent="0.2">
      <c r="A688" s="316">
        <v>128</v>
      </c>
      <c r="B688" s="591" t="s">
        <v>2259</v>
      </c>
      <c r="C688" s="598" t="s">
        <v>2983</v>
      </c>
      <c r="D688" s="586"/>
      <c r="E688" s="587" t="s">
        <v>1108</v>
      </c>
      <c r="F688" s="588" t="s">
        <v>1109</v>
      </c>
      <c r="G688" s="586"/>
      <c r="H688" s="599">
        <v>44672</v>
      </c>
      <c r="I688" s="595">
        <f t="shared" si="52"/>
        <v>2977657.6576576573</v>
      </c>
      <c r="J688" s="595">
        <f t="shared" si="49"/>
        <v>327542.34234234231</v>
      </c>
      <c r="K688" s="596">
        <f>1555200+1750000</f>
        <v>3305200</v>
      </c>
      <c r="L688" s="597"/>
    </row>
    <row r="689" spans="1:12" x14ac:dyDescent="0.2">
      <c r="A689" s="316">
        <v>129</v>
      </c>
      <c r="B689" s="591" t="s">
        <v>2260</v>
      </c>
      <c r="C689" s="602" t="s">
        <v>2984</v>
      </c>
      <c r="D689" s="603"/>
      <c r="E689" s="604" t="s">
        <v>1062</v>
      </c>
      <c r="F689" s="605" t="s">
        <v>966</v>
      </c>
      <c r="G689" s="654"/>
      <c r="H689" s="606">
        <v>44672</v>
      </c>
      <c r="I689" s="595">
        <f t="shared" si="52"/>
        <v>7472972.9729729723</v>
      </c>
      <c r="J689" s="595">
        <f t="shared" si="49"/>
        <v>822027.02702702698</v>
      </c>
      <c r="K689" s="596">
        <f>1963500+6331500</f>
        <v>8295000</v>
      </c>
      <c r="L689" s="597"/>
    </row>
    <row r="690" spans="1:12" x14ac:dyDescent="0.2">
      <c r="A690" s="316">
        <v>130</v>
      </c>
      <c r="B690" s="591" t="s">
        <v>2261</v>
      </c>
      <c r="C690" s="598" t="s">
        <v>2773</v>
      </c>
      <c r="D690" s="586"/>
      <c r="E690" s="587" t="s">
        <v>995</v>
      </c>
      <c r="F690" s="588" t="s">
        <v>996</v>
      </c>
      <c r="G690" s="586"/>
      <c r="H690" s="599">
        <v>44672</v>
      </c>
      <c r="I690" s="595">
        <f t="shared" si="52"/>
        <v>3415135.1351351347</v>
      </c>
      <c r="J690" s="595">
        <f t="shared" si="49"/>
        <v>375664.86486486479</v>
      </c>
      <c r="K690" s="596">
        <f>2656800+1134000</f>
        <v>3790800</v>
      </c>
      <c r="L690" s="597"/>
    </row>
    <row r="691" spans="1:12" x14ac:dyDescent="0.2">
      <c r="A691" s="316">
        <v>131</v>
      </c>
      <c r="B691" s="591" t="s">
        <v>2262</v>
      </c>
      <c r="C691" s="598" t="s">
        <v>2985</v>
      </c>
      <c r="D691" s="586"/>
      <c r="E691" s="587" t="s">
        <v>1082</v>
      </c>
      <c r="F691" s="588" t="s">
        <v>1058</v>
      </c>
      <c r="G691" s="586"/>
      <c r="H691" s="599">
        <v>44672</v>
      </c>
      <c r="I691" s="595">
        <f t="shared" si="52"/>
        <v>4137567.5675675673</v>
      </c>
      <c r="J691" s="595">
        <f t="shared" si="49"/>
        <v>455132.43243243243</v>
      </c>
      <c r="K691" s="596">
        <f>1871100+2721600</f>
        <v>4592700</v>
      </c>
      <c r="L691" s="597"/>
    </row>
    <row r="692" spans="1:12" x14ac:dyDescent="0.2">
      <c r="A692" s="316">
        <v>132</v>
      </c>
      <c r="B692" s="591" t="s">
        <v>2263</v>
      </c>
      <c r="C692" s="598" t="s">
        <v>2749</v>
      </c>
      <c r="D692" s="586"/>
      <c r="E692" s="587" t="s">
        <v>1200</v>
      </c>
      <c r="F692" s="588" t="s">
        <v>971</v>
      </c>
      <c r="G692" s="586"/>
      <c r="H692" s="599">
        <v>44672</v>
      </c>
      <c r="I692" s="595">
        <f t="shared" si="52"/>
        <v>65315.315315315311</v>
      </c>
      <c r="J692" s="595">
        <f t="shared" si="49"/>
        <v>7184.6846846846838</v>
      </c>
      <c r="K692" s="596">
        <v>72500</v>
      </c>
      <c r="L692" s="597"/>
    </row>
    <row r="693" spans="1:12" s="667" customFormat="1" x14ac:dyDescent="0.2">
      <c r="A693" s="663">
        <v>133</v>
      </c>
      <c r="B693" s="591" t="s">
        <v>2264</v>
      </c>
      <c r="C693" s="602" t="s">
        <v>2986</v>
      </c>
      <c r="D693" s="654"/>
      <c r="E693" s="604" t="s">
        <v>992</v>
      </c>
      <c r="F693" s="605" t="s">
        <v>993</v>
      </c>
      <c r="G693" s="654"/>
      <c r="H693" s="606">
        <v>44672</v>
      </c>
      <c r="I693" s="595">
        <f t="shared" si="52"/>
        <v>10470124.324324323</v>
      </c>
      <c r="J693" s="595">
        <f t="shared" si="49"/>
        <v>1151713.6756756755</v>
      </c>
      <c r="K693" s="596">
        <f>1849716+3272122+6500000</f>
        <v>11621838</v>
      </c>
      <c r="L693" s="597"/>
    </row>
    <row r="694" spans="1:12" x14ac:dyDescent="0.2">
      <c r="A694" s="316">
        <v>134</v>
      </c>
      <c r="B694" s="591" t="s">
        <v>2265</v>
      </c>
      <c r="C694" s="598" t="s">
        <v>2987</v>
      </c>
      <c r="D694" s="586"/>
      <c r="E694" s="587" t="s">
        <v>1090</v>
      </c>
      <c r="F694" s="588" t="s">
        <v>606</v>
      </c>
      <c r="G694" s="586"/>
      <c r="H694" s="599">
        <v>44673</v>
      </c>
      <c r="I694" s="595">
        <f t="shared" si="52"/>
        <v>15503423.423423423</v>
      </c>
      <c r="J694" s="595">
        <f t="shared" si="49"/>
        <v>1705376.5765765766</v>
      </c>
      <c r="K694" s="596">
        <f>3704400+2721600+10782800</f>
        <v>17208800</v>
      </c>
      <c r="L694" s="597"/>
    </row>
    <row r="695" spans="1:12" x14ac:dyDescent="0.2">
      <c r="A695" s="316">
        <v>135</v>
      </c>
      <c r="B695" s="591" t="s">
        <v>2266</v>
      </c>
      <c r="C695" s="598" t="s">
        <v>2750</v>
      </c>
      <c r="D695" s="586"/>
      <c r="E695" s="587" t="s">
        <v>1228</v>
      </c>
      <c r="F695" s="588" t="s">
        <v>1025</v>
      </c>
      <c r="G695" s="586"/>
      <c r="H695" s="599">
        <v>44673</v>
      </c>
      <c r="I695" s="595">
        <f t="shared" si="52"/>
        <v>485225.22522522521</v>
      </c>
      <c r="J695" s="595">
        <f t="shared" si="49"/>
        <v>53374.774774774771</v>
      </c>
      <c r="K695" s="596">
        <v>538600</v>
      </c>
      <c r="L695" s="597"/>
    </row>
    <row r="696" spans="1:12" s="667" customFormat="1" x14ac:dyDescent="0.2">
      <c r="A696" s="663">
        <v>136</v>
      </c>
      <c r="B696" s="591" t="s">
        <v>2267</v>
      </c>
      <c r="C696" s="602" t="s">
        <v>3011</v>
      </c>
      <c r="D696" s="654"/>
      <c r="E696" s="604" t="s">
        <v>1021</v>
      </c>
      <c r="F696" s="605" t="s">
        <v>1022</v>
      </c>
      <c r="G696" s="654"/>
      <c r="H696" s="606">
        <v>44673</v>
      </c>
      <c r="I696" s="595">
        <f t="shared" si="52"/>
        <v>2545864.8648648649</v>
      </c>
      <c r="J696" s="595">
        <f t="shared" si="49"/>
        <v>280045.13513513515</v>
      </c>
      <c r="K696" s="596">
        <f>1338120+1487790</f>
        <v>2825910</v>
      </c>
      <c r="L696" s="597"/>
    </row>
    <row r="697" spans="1:12" x14ac:dyDescent="0.2">
      <c r="A697" s="316">
        <v>137</v>
      </c>
      <c r="B697" s="591" t="s">
        <v>2268</v>
      </c>
      <c r="C697" s="598" t="s">
        <v>2990</v>
      </c>
      <c r="D697" s="586"/>
      <c r="E697" s="587" t="s">
        <v>978</v>
      </c>
      <c r="F697" s="588" t="s">
        <v>590</v>
      </c>
      <c r="G697" s="653"/>
      <c r="H697" s="599">
        <v>44673</v>
      </c>
      <c r="I697" s="595">
        <f t="shared" si="52"/>
        <v>4437794.5945945941</v>
      </c>
      <c r="J697" s="595">
        <f t="shared" si="49"/>
        <v>488157.40540540533</v>
      </c>
      <c r="K697" s="596">
        <f>2204352+2721600</f>
        <v>4925952</v>
      </c>
      <c r="L697" s="597"/>
    </row>
    <row r="698" spans="1:12" x14ac:dyDescent="0.2">
      <c r="A698" s="316">
        <v>138</v>
      </c>
      <c r="B698" s="591" t="s">
        <v>2269</v>
      </c>
      <c r="C698" s="598" t="s">
        <v>2751</v>
      </c>
      <c r="D698" s="586"/>
      <c r="E698" s="587" t="s">
        <v>2752</v>
      </c>
      <c r="F698" s="588" t="s">
        <v>1025</v>
      </c>
      <c r="G698" s="653"/>
      <c r="H698" s="599">
        <v>44673</v>
      </c>
      <c r="I698" s="595">
        <f t="shared" ref="I698:I709" si="53">K698/1.11</f>
        <v>340180.18018018018</v>
      </c>
      <c r="J698" s="595">
        <f t="shared" ref="J698:J709" si="54">I698*11%</f>
        <v>37419.819819819822</v>
      </c>
      <c r="K698" s="596">
        <v>377600</v>
      </c>
      <c r="L698" s="597"/>
    </row>
    <row r="699" spans="1:12" s="667" customFormat="1" x14ac:dyDescent="0.2">
      <c r="A699" s="663">
        <v>139</v>
      </c>
      <c r="B699" s="591" t="s">
        <v>2270</v>
      </c>
      <c r="C699" s="598" t="s">
        <v>2753</v>
      </c>
      <c r="D699" s="586"/>
      <c r="E699" s="587" t="s">
        <v>2754</v>
      </c>
      <c r="F699" s="588" t="s">
        <v>2755</v>
      </c>
      <c r="G699" s="664"/>
      <c r="H699" s="599">
        <v>44673</v>
      </c>
      <c r="I699" s="595">
        <f t="shared" si="53"/>
        <v>216216.21621621618</v>
      </c>
      <c r="J699" s="595">
        <f t="shared" si="54"/>
        <v>23783.78378378378</v>
      </c>
      <c r="K699" s="596">
        <v>240000</v>
      </c>
      <c r="L699" s="597"/>
    </row>
    <row r="700" spans="1:12" x14ac:dyDescent="0.2">
      <c r="A700" s="316">
        <v>140</v>
      </c>
      <c r="B700" s="591" t="s">
        <v>2271</v>
      </c>
      <c r="C700" s="598" t="s">
        <v>2756</v>
      </c>
      <c r="D700" s="586"/>
      <c r="E700" s="587" t="s">
        <v>965</v>
      </c>
      <c r="F700" s="588" t="s">
        <v>966</v>
      </c>
      <c r="G700" s="653"/>
      <c r="H700" s="599">
        <v>44673</v>
      </c>
      <c r="I700" s="595">
        <f t="shared" si="53"/>
        <v>4540540.5405405406</v>
      </c>
      <c r="J700" s="595">
        <f t="shared" si="54"/>
        <v>499459.45945945947</v>
      </c>
      <c r="K700" s="596">
        <v>5040000</v>
      </c>
      <c r="L700" s="597"/>
    </row>
    <row r="701" spans="1:12" x14ac:dyDescent="0.2">
      <c r="A701" s="316">
        <v>141</v>
      </c>
      <c r="B701" s="591" t="s">
        <v>2272</v>
      </c>
      <c r="C701" s="598" t="s">
        <v>2994</v>
      </c>
      <c r="D701" s="586"/>
      <c r="E701" s="587" t="s">
        <v>1765</v>
      </c>
      <c r="F701" s="588" t="s">
        <v>579</v>
      </c>
      <c r="G701" s="586"/>
      <c r="H701" s="599">
        <v>44673</v>
      </c>
      <c r="I701" s="595">
        <f t="shared" si="53"/>
        <v>363063.06306306302</v>
      </c>
      <c r="J701" s="595">
        <f t="shared" si="54"/>
        <v>39936.936936936931</v>
      </c>
      <c r="K701" s="596">
        <v>403000</v>
      </c>
      <c r="L701" s="597"/>
    </row>
    <row r="702" spans="1:12" x14ac:dyDescent="0.2">
      <c r="A702" s="316">
        <v>142</v>
      </c>
      <c r="B702" s="591" t="s">
        <v>2273</v>
      </c>
      <c r="C702" s="598" t="s">
        <v>2757</v>
      </c>
      <c r="D702" s="586"/>
      <c r="E702" s="587" t="s">
        <v>2758</v>
      </c>
      <c r="F702" s="588" t="s">
        <v>1130</v>
      </c>
      <c r="G702" s="653"/>
      <c r="H702" s="599">
        <v>44674</v>
      </c>
      <c r="I702" s="595">
        <f t="shared" si="53"/>
        <v>105081.08108108107</v>
      </c>
      <c r="J702" s="595">
        <f t="shared" si="54"/>
        <v>11558.918918918916</v>
      </c>
      <c r="K702" s="596">
        <v>116640</v>
      </c>
      <c r="L702" s="597"/>
    </row>
    <row r="703" spans="1:12" x14ac:dyDescent="0.2">
      <c r="A703" s="316">
        <v>143</v>
      </c>
      <c r="B703" s="591" t="s">
        <v>2274</v>
      </c>
      <c r="C703" s="602" t="s">
        <v>2759</v>
      </c>
      <c r="D703" s="603"/>
      <c r="E703" s="604" t="s">
        <v>979</v>
      </c>
      <c r="F703" s="605" t="s">
        <v>980</v>
      </c>
      <c r="G703" s="653"/>
      <c r="H703" s="606">
        <v>44674</v>
      </c>
      <c r="I703" s="595">
        <f t="shared" si="53"/>
        <v>2409859.4594594594</v>
      </c>
      <c r="J703" s="595">
        <f t="shared" si="54"/>
        <v>265084.54054054053</v>
      </c>
      <c r="K703" s="596">
        <v>2674944</v>
      </c>
      <c r="L703" s="597"/>
    </row>
    <row r="704" spans="1:12" x14ac:dyDescent="0.2">
      <c r="A704" s="316">
        <v>144</v>
      </c>
      <c r="B704" s="591" t="s">
        <v>2275</v>
      </c>
      <c r="C704" s="598" t="s">
        <v>2786</v>
      </c>
      <c r="D704" s="586"/>
      <c r="E704" s="587" t="s">
        <v>1753</v>
      </c>
      <c r="F704" s="588" t="s">
        <v>1019</v>
      </c>
      <c r="G704" s="653"/>
      <c r="H704" s="599">
        <v>44674</v>
      </c>
      <c r="I704" s="595">
        <f t="shared" si="53"/>
        <v>6764367.5675675673</v>
      </c>
      <c r="J704" s="595">
        <f t="shared" si="54"/>
        <v>744080.43243243243</v>
      </c>
      <c r="K704" s="596">
        <f>4821120+2687328</f>
        <v>7508448</v>
      </c>
      <c r="L704" s="597"/>
    </row>
    <row r="705" spans="1:12" x14ac:dyDescent="0.2">
      <c r="A705" s="316">
        <v>145</v>
      </c>
      <c r="B705" s="591" t="s">
        <v>2276</v>
      </c>
      <c r="C705" s="598" t="s">
        <v>2996</v>
      </c>
      <c r="D705" s="586"/>
      <c r="E705" s="587" t="s">
        <v>1068</v>
      </c>
      <c r="F705" s="588" t="s">
        <v>1058</v>
      </c>
      <c r="G705" s="653"/>
      <c r="H705" s="599">
        <v>44674</v>
      </c>
      <c r="I705" s="595">
        <f t="shared" si="53"/>
        <v>6494864.8648648644</v>
      </c>
      <c r="J705" s="595">
        <f t="shared" si="54"/>
        <v>714435.13513513503</v>
      </c>
      <c r="K705" s="596">
        <f>2721600+3175200+1312500</f>
        <v>7209300</v>
      </c>
      <c r="L705" s="597"/>
    </row>
    <row r="706" spans="1:12" x14ac:dyDescent="0.2">
      <c r="A706" s="316">
        <v>146</v>
      </c>
      <c r="B706" s="591" t="s">
        <v>2277</v>
      </c>
      <c r="C706" s="598" t="s">
        <v>2760</v>
      </c>
      <c r="D706" s="586"/>
      <c r="E706" s="587" t="s">
        <v>1093</v>
      </c>
      <c r="F706" s="588" t="s">
        <v>1094</v>
      </c>
      <c r="G706" s="586"/>
      <c r="H706" s="599">
        <v>44674</v>
      </c>
      <c r="I706" s="595">
        <f t="shared" si="53"/>
        <v>1463963.9639639638</v>
      </c>
      <c r="J706" s="595">
        <f t="shared" si="54"/>
        <v>161036.03603603601</v>
      </c>
      <c r="K706" s="596">
        <v>1625000</v>
      </c>
      <c r="L706" s="597"/>
    </row>
    <row r="707" spans="1:12" x14ac:dyDescent="0.2">
      <c r="A707" s="316">
        <v>147</v>
      </c>
      <c r="B707" s="591" t="s">
        <v>2278</v>
      </c>
      <c r="C707" s="598" t="s">
        <v>2761</v>
      </c>
      <c r="D707" s="586"/>
      <c r="E707" s="593" t="s">
        <v>1095</v>
      </c>
      <c r="F707" s="593" t="s">
        <v>1096</v>
      </c>
      <c r="G707" s="586"/>
      <c r="H707" s="599">
        <v>44674</v>
      </c>
      <c r="I707" s="595">
        <f t="shared" si="53"/>
        <v>5855855.8558558552</v>
      </c>
      <c r="J707" s="595">
        <f t="shared" si="54"/>
        <v>644144.14414414403</v>
      </c>
      <c r="K707" s="596">
        <v>6500000</v>
      </c>
      <c r="L707" s="597"/>
    </row>
    <row r="708" spans="1:12" x14ac:dyDescent="0.2">
      <c r="A708" s="316">
        <v>148</v>
      </c>
      <c r="B708" s="591" t="s">
        <v>2279</v>
      </c>
      <c r="C708" s="730" t="s">
        <v>2762</v>
      </c>
      <c r="D708" s="731"/>
      <c r="E708" s="732" t="s">
        <v>1246</v>
      </c>
      <c r="F708" s="733" t="s">
        <v>579</v>
      </c>
      <c r="G708" s="731"/>
      <c r="H708" s="734">
        <v>44674</v>
      </c>
      <c r="I708" s="595">
        <f t="shared" si="53"/>
        <v>1171171.1711711711</v>
      </c>
      <c r="J708" s="595">
        <f t="shared" si="54"/>
        <v>128828.82882882883</v>
      </c>
      <c r="K708" s="596">
        <v>1300000</v>
      </c>
      <c r="L708" s="597"/>
    </row>
    <row r="709" spans="1:12" x14ac:dyDescent="0.2">
      <c r="A709" s="316">
        <v>149</v>
      </c>
      <c r="B709" s="591" t="s">
        <v>2280</v>
      </c>
      <c r="C709" s="598" t="s">
        <v>2763</v>
      </c>
      <c r="D709" s="586"/>
      <c r="E709" s="587" t="s">
        <v>1288</v>
      </c>
      <c r="F709" s="588" t="s">
        <v>1221</v>
      </c>
      <c r="G709" s="586"/>
      <c r="H709" s="599">
        <v>44674</v>
      </c>
      <c r="I709" s="595">
        <f t="shared" si="53"/>
        <v>2451891.8918918916</v>
      </c>
      <c r="J709" s="595">
        <f t="shared" si="54"/>
        <v>269708.10810810811</v>
      </c>
      <c r="K709" s="596">
        <v>2721600</v>
      </c>
      <c r="L709" s="597"/>
    </row>
    <row r="710" spans="1:12" x14ac:dyDescent="0.2">
      <c r="B710" s="591"/>
      <c r="C710" s="598"/>
      <c r="D710" s="586"/>
      <c r="E710" s="587"/>
      <c r="F710" s="588"/>
      <c r="G710" s="653"/>
      <c r="H710" s="599"/>
      <c r="I710" s="595">
        <f t="shared" ref="I710" si="55">K710/1.11</f>
        <v>0</v>
      </c>
      <c r="J710" s="595">
        <f t="shared" ref="J710" si="56">I710*11%</f>
        <v>0</v>
      </c>
      <c r="K710" s="596"/>
      <c r="L710" s="597"/>
    </row>
    <row r="711" spans="1:12" ht="18" x14ac:dyDescent="0.25">
      <c r="B711" s="630" t="s">
        <v>290</v>
      </c>
      <c r="C711" s="631"/>
      <c r="D711" s="632"/>
      <c r="E711" s="633"/>
      <c r="F711" s="634"/>
      <c r="G711" s="656"/>
      <c r="H711" s="635"/>
      <c r="I711" s="636">
        <f>SUM(I561:I710)</f>
        <v>993327915.76576567</v>
      </c>
      <c r="J711" s="636">
        <f>SUM(J561:J710)</f>
        <v>109266070.73423418</v>
      </c>
      <c r="K711" s="637">
        <f>SUM(K561:K710)</f>
        <v>1102593986.5</v>
      </c>
      <c r="L711" s="638"/>
    </row>
    <row r="712" spans="1:12" s="429" customFormat="1" ht="20.25" x14ac:dyDescent="0.3">
      <c r="A712" s="316"/>
      <c r="B712" s="639" t="s">
        <v>102</v>
      </c>
      <c r="C712" s="626"/>
      <c r="D712" s="627"/>
      <c r="E712" s="627"/>
      <c r="F712" s="627"/>
      <c r="G712" s="627"/>
      <c r="H712" s="640"/>
      <c r="I712" s="641"/>
      <c r="J712" s="641"/>
      <c r="K712" s="642"/>
      <c r="L712" s="643"/>
    </row>
    <row r="713" spans="1:12" s="743" customFormat="1" x14ac:dyDescent="0.2">
      <c r="A713" s="316">
        <v>1</v>
      </c>
      <c r="B713" s="591" t="s">
        <v>2695</v>
      </c>
      <c r="C713" s="598" t="s">
        <v>2694</v>
      </c>
      <c r="D713" s="586" t="s">
        <v>600</v>
      </c>
      <c r="E713" s="593" t="s">
        <v>598</v>
      </c>
      <c r="F713" s="593" t="s">
        <v>599</v>
      </c>
      <c r="G713" s="653" t="s">
        <v>1603</v>
      </c>
      <c r="H713" s="594">
        <v>44690</v>
      </c>
      <c r="I713" s="595">
        <f t="shared" ref="I713:I795" si="57">K713/1.11</f>
        <v>2854054.054054054</v>
      </c>
      <c r="J713" s="595">
        <f t="shared" ref="J713:J795" si="58">I713*11%</f>
        <v>313945.94594594592</v>
      </c>
      <c r="K713" s="596">
        <v>3168000</v>
      </c>
      <c r="L713" s="759"/>
    </row>
    <row r="714" spans="1:12" x14ac:dyDescent="0.2">
      <c r="A714" s="316">
        <v>2</v>
      </c>
      <c r="B714" s="591" t="s">
        <v>2829</v>
      </c>
      <c r="C714" s="598" t="s">
        <v>3017</v>
      </c>
      <c r="D714" s="586" t="s">
        <v>581</v>
      </c>
      <c r="E714" s="593" t="s">
        <v>596</v>
      </c>
      <c r="F714" s="593" t="s">
        <v>579</v>
      </c>
      <c r="G714" s="653" t="s">
        <v>1604</v>
      </c>
      <c r="H714" s="599">
        <v>44695</v>
      </c>
      <c r="I714" s="595">
        <f t="shared" ref="I714:I727" si="59">K714/1.11</f>
        <v>1611145.9459459458</v>
      </c>
      <c r="J714" s="595">
        <f t="shared" ref="J714:J727" si="60">I714*11%</f>
        <v>177226.05405405405</v>
      </c>
      <c r="K714" s="596">
        <v>1788372</v>
      </c>
      <c r="L714" s="597"/>
    </row>
    <row r="715" spans="1:12" s="742" customFormat="1" x14ac:dyDescent="0.2">
      <c r="A715" s="316">
        <v>3</v>
      </c>
      <c r="B715" s="736" t="s">
        <v>2869</v>
      </c>
      <c r="C715" s="747" t="s">
        <v>3028</v>
      </c>
      <c r="D715" s="737" t="s">
        <v>617</v>
      </c>
      <c r="E715" s="738" t="s">
        <v>616</v>
      </c>
      <c r="F715" s="739" t="s">
        <v>579</v>
      </c>
      <c r="G715" s="740" t="s">
        <v>1605</v>
      </c>
      <c r="H715" s="749">
        <v>44698</v>
      </c>
      <c r="I715" s="595">
        <f t="shared" si="59"/>
        <v>1234702.7027027025</v>
      </c>
      <c r="J715" s="595">
        <f t="shared" si="60"/>
        <v>135817.29729729728</v>
      </c>
      <c r="K715" s="596">
        <v>1370520</v>
      </c>
      <c r="L715" s="597"/>
    </row>
    <row r="716" spans="1:12" s="742" customFormat="1" x14ac:dyDescent="0.2">
      <c r="A716" s="316">
        <v>4</v>
      </c>
      <c r="B716" s="736" t="s">
        <v>2880</v>
      </c>
      <c r="C716" s="747" t="s">
        <v>3034</v>
      </c>
      <c r="D716" s="737" t="s">
        <v>580</v>
      </c>
      <c r="E716" s="738" t="s">
        <v>595</v>
      </c>
      <c r="F716" s="739" t="s">
        <v>579</v>
      </c>
      <c r="G716" s="740" t="s">
        <v>1606</v>
      </c>
      <c r="H716" s="749">
        <v>44699</v>
      </c>
      <c r="I716" s="595">
        <f t="shared" si="59"/>
        <v>2322875.6756756753</v>
      </c>
      <c r="J716" s="595">
        <f t="shared" si="60"/>
        <v>255516.32432432429</v>
      </c>
      <c r="K716" s="596">
        <v>2578392</v>
      </c>
      <c r="L716" s="597"/>
    </row>
    <row r="717" spans="1:12" s="742" customFormat="1" x14ac:dyDescent="0.2">
      <c r="A717" s="316">
        <v>5</v>
      </c>
      <c r="B717" s="736" t="s">
        <v>2886</v>
      </c>
      <c r="C717" s="747" t="s">
        <v>3055</v>
      </c>
      <c r="D717" s="737" t="s">
        <v>581</v>
      </c>
      <c r="E717" s="746" t="s">
        <v>596</v>
      </c>
      <c r="F717" s="746" t="s">
        <v>579</v>
      </c>
      <c r="G717" s="740" t="s">
        <v>1607</v>
      </c>
      <c r="H717" s="741">
        <v>44700</v>
      </c>
      <c r="I717" s="595">
        <f t="shared" si="59"/>
        <v>3670475.6756756753</v>
      </c>
      <c r="J717" s="595">
        <f t="shared" si="60"/>
        <v>403752.32432432426</v>
      </c>
      <c r="K717" s="596">
        <v>4074228</v>
      </c>
      <c r="L717" s="597"/>
    </row>
    <row r="718" spans="1:12" s="742" customFormat="1" x14ac:dyDescent="0.2">
      <c r="A718" s="316">
        <v>6</v>
      </c>
      <c r="B718" s="736" t="s">
        <v>2887</v>
      </c>
      <c r="C718" s="747" t="s">
        <v>3065</v>
      </c>
      <c r="D718" s="751" t="s">
        <v>603</v>
      </c>
      <c r="E718" s="752" t="s">
        <v>608</v>
      </c>
      <c r="F718" s="753" t="s">
        <v>602</v>
      </c>
      <c r="G718" s="740" t="s">
        <v>1608</v>
      </c>
      <c r="H718" s="741">
        <v>44700</v>
      </c>
      <c r="I718" s="595">
        <f t="shared" si="59"/>
        <v>2205405.4054054054</v>
      </c>
      <c r="J718" s="595">
        <f t="shared" si="60"/>
        <v>242594.59459459459</v>
      </c>
      <c r="K718" s="596">
        <v>2448000</v>
      </c>
      <c r="L718" s="597"/>
    </row>
    <row r="719" spans="1:12" s="742" customFormat="1" x14ac:dyDescent="0.2">
      <c r="A719" s="316">
        <v>7</v>
      </c>
      <c r="B719" s="736" t="s">
        <v>2896</v>
      </c>
      <c r="C719" s="598" t="s">
        <v>3069</v>
      </c>
      <c r="D719" s="737" t="s">
        <v>580</v>
      </c>
      <c r="E719" s="738" t="s">
        <v>595</v>
      </c>
      <c r="F719" s="739" t="s">
        <v>579</v>
      </c>
      <c r="G719" s="740" t="s">
        <v>1609</v>
      </c>
      <c r="H719" s="741">
        <v>44701</v>
      </c>
      <c r="I719" s="595">
        <f t="shared" si="59"/>
        <v>12181849.549549548</v>
      </c>
      <c r="J719" s="595">
        <f t="shared" si="60"/>
        <v>1340003.4504504502</v>
      </c>
      <c r="K719" s="596">
        <v>13521853</v>
      </c>
      <c r="L719" s="597"/>
    </row>
    <row r="720" spans="1:12" s="742" customFormat="1" x14ac:dyDescent="0.2">
      <c r="A720" s="316">
        <v>8</v>
      </c>
      <c r="B720" s="736" t="s">
        <v>2897</v>
      </c>
      <c r="C720" s="598" t="s">
        <v>3070</v>
      </c>
      <c r="D720" s="737" t="s">
        <v>621</v>
      </c>
      <c r="E720" s="738" t="s">
        <v>619</v>
      </c>
      <c r="F720" s="739" t="s">
        <v>620</v>
      </c>
      <c r="G720" s="740" t="s">
        <v>1610</v>
      </c>
      <c r="H720" s="741">
        <v>44702</v>
      </c>
      <c r="I720" s="595">
        <f t="shared" si="59"/>
        <v>697297.29729729728</v>
      </c>
      <c r="J720" s="595">
        <f t="shared" si="60"/>
        <v>76702.702702702707</v>
      </c>
      <c r="K720" s="596">
        <v>774000</v>
      </c>
      <c r="L720" s="597"/>
    </row>
    <row r="721" spans="1:12" s="742" customFormat="1" x14ac:dyDescent="0.2">
      <c r="A721" s="316">
        <v>9</v>
      </c>
      <c r="B721" s="736" t="s">
        <v>2898</v>
      </c>
      <c r="C721" s="598" t="s">
        <v>3071</v>
      </c>
      <c r="D721" s="737" t="s">
        <v>581</v>
      </c>
      <c r="E721" s="746" t="s">
        <v>596</v>
      </c>
      <c r="F721" s="746" t="s">
        <v>579</v>
      </c>
      <c r="G721" s="740" t="s">
        <v>1611</v>
      </c>
      <c r="H721" s="741">
        <v>44702</v>
      </c>
      <c r="I721" s="595">
        <f t="shared" si="59"/>
        <v>6094702.702702702</v>
      </c>
      <c r="J721" s="595">
        <f t="shared" si="60"/>
        <v>670417.29729729728</v>
      </c>
      <c r="K721" s="596">
        <v>6765120</v>
      </c>
      <c r="L721" s="597"/>
    </row>
    <row r="722" spans="1:12" s="742" customFormat="1" x14ac:dyDescent="0.2">
      <c r="A722" s="316">
        <v>10</v>
      </c>
      <c r="B722" s="736" t="s">
        <v>2900</v>
      </c>
      <c r="C722" s="598" t="s">
        <v>3072</v>
      </c>
      <c r="D722" s="652" t="s">
        <v>591</v>
      </c>
      <c r="E722" s="738" t="s">
        <v>777</v>
      </c>
      <c r="F722" s="754" t="s">
        <v>590</v>
      </c>
      <c r="G722" s="740" t="s">
        <v>1612</v>
      </c>
      <c r="H722" s="749">
        <v>44699</v>
      </c>
      <c r="I722" s="595">
        <f t="shared" si="59"/>
        <v>3330360.3603603602</v>
      </c>
      <c r="J722" s="595">
        <f t="shared" si="60"/>
        <v>366339.63963963964</v>
      </c>
      <c r="K722" s="596">
        <v>3696700</v>
      </c>
      <c r="L722" s="597"/>
    </row>
    <row r="723" spans="1:12" s="742" customFormat="1" x14ac:dyDescent="0.2">
      <c r="A723" s="316">
        <v>11</v>
      </c>
      <c r="B723" s="736" t="s">
        <v>2901</v>
      </c>
      <c r="C723" s="598" t="s">
        <v>3073</v>
      </c>
      <c r="D723" s="652" t="s">
        <v>591</v>
      </c>
      <c r="E723" s="738" t="s">
        <v>777</v>
      </c>
      <c r="F723" s="754" t="s">
        <v>590</v>
      </c>
      <c r="G723" s="740" t="s">
        <v>1613</v>
      </c>
      <c r="H723" s="741">
        <v>44699</v>
      </c>
      <c r="I723" s="595">
        <f t="shared" si="59"/>
        <v>1220387.3873873872</v>
      </c>
      <c r="J723" s="595">
        <f t="shared" si="60"/>
        <v>134242.6126126126</v>
      </c>
      <c r="K723" s="596">
        <v>1354630</v>
      </c>
      <c r="L723" s="597"/>
    </row>
    <row r="724" spans="1:12" s="742" customFormat="1" x14ac:dyDescent="0.2">
      <c r="A724" s="316">
        <v>12</v>
      </c>
      <c r="B724" s="736" t="s">
        <v>2902</v>
      </c>
      <c r="C724" s="598" t="s">
        <v>3107</v>
      </c>
      <c r="D724" s="737" t="s">
        <v>607</v>
      </c>
      <c r="E724" s="738" t="s">
        <v>605</v>
      </c>
      <c r="F724" s="739" t="s">
        <v>606</v>
      </c>
      <c r="G724" s="740" t="s">
        <v>1614</v>
      </c>
      <c r="H724" s="741">
        <v>44704</v>
      </c>
      <c r="I724" s="595">
        <f t="shared" si="59"/>
        <v>3216216.2162162159</v>
      </c>
      <c r="J724" s="595">
        <f t="shared" si="60"/>
        <v>353783.78378378373</v>
      </c>
      <c r="K724" s="596">
        <v>3570000</v>
      </c>
      <c r="L724" s="597"/>
    </row>
    <row r="725" spans="1:12" s="742" customFormat="1" x14ac:dyDescent="0.2">
      <c r="A725" s="316">
        <v>13</v>
      </c>
      <c r="B725" s="736" t="s">
        <v>2903</v>
      </c>
      <c r="C725" s="598" t="s">
        <v>3108</v>
      </c>
      <c r="D725" s="737" t="s">
        <v>580</v>
      </c>
      <c r="E725" s="738" t="s">
        <v>595</v>
      </c>
      <c r="F725" s="739" t="s">
        <v>579</v>
      </c>
      <c r="G725" s="740" t="s">
        <v>1615</v>
      </c>
      <c r="H725" s="741">
        <v>44704</v>
      </c>
      <c r="I725" s="595">
        <f t="shared" si="59"/>
        <v>3004121.6216216213</v>
      </c>
      <c r="J725" s="595">
        <f t="shared" si="60"/>
        <v>330453.37837837834</v>
      </c>
      <c r="K725" s="596">
        <v>3334575</v>
      </c>
      <c r="L725" s="597"/>
    </row>
    <row r="726" spans="1:12" s="742" customFormat="1" x14ac:dyDescent="0.2">
      <c r="A726" s="316">
        <v>14</v>
      </c>
      <c r="B726" s="736" t="s">
        <v>2904</v>
      </c>
      <c r="C726" s="598" t="s">
        <v>3090</v>
      </c>
      <c r="D726" s="737" t="s">
        <v>581</v>
      </c>
      <c r="E726" s="746" t="s">
        <v>596</v>
      </c>
      <c r="F726" s="746" t="s">
        <v>579</v>
      </c>
      <c r="G726" s="740" t="s">
        <v>1616</v>
      </c>
      <c r="H726" s="741">
        <v>44704</v>
      </c>
      <c r="I726" s="595">
        <f t="shared" si="59"/>
        <v>13529754.054054054</v>
      </c>
      <c r="J726" s="595">
        <f t="shared" si="60"/>
        <v>1488272.9459459458</v>
      </c>
      <c r="K726" s="596">
        <v>15018027</v>
      </c>
      <c r="L726" s="597"/>
    </row>
    <row r="727" spans="1:12" s="742" customFormat="1" x14ac:dyDescent="0.2">
      <c r="A727" s="316">
        <v>15</v>
      </c>
      <c r="B727" s="736" t="s">
        <v>2906</v>
      </c>
      <c r="C727" s="598" t="s">
        <v>3089</v>
      </c>
      <c r="D727" s="737" t="s">
        <v>580</v>
      </c>
      <c r="E727" s="738" t="s">
        <v>595</v>
      </c>
      <c r="F727" s="739" t="s">
        <v>579</v>
      </c>
      <c r="G727" s="740" t="s">
        <v>1617</v>
      </c>
      <c r="H727" s="741">
        <v>44704</v>
      </c>
      <c r="I727" s="595">
        <f t="shared" si="59"/>
        <v>6968627.0270270268</v>
      </c>
      <c r="J727" s="595">
        <f t="shared" si="60"/>
        <v>766548.9729729729</v>
      </c>
      <c r="K727" s="596">
        <v>7735176</v>
      </c>
      <c r="L727" s="597"/>
    </row>
    <row r="728" spans="1:12" s="742" customFormat="1" x14ac:dyDescent="0.2">
      <c r="A728" s="316">
        <v>16</v>
      </c>
      <c r="B728" s="736" t="s">
        <v>2907</v>
      </c>
      <c r="C728" s="598" t="s">
        <v>3109</v>
      </c>
      <c r="D728" s="737" t="s">
        <v>588</v>
      </c>
      <c r="E728" s="738" t="s">
        <v>597</v>
      </c>
      <c r="F728" s="746" t="s">
        <v>1450</v>
      </c>
      <c r="G728" s="740" t="s">
        <v>1618</v>
      </c>
      <c r="H728" s="741">
        <v>44702</v>
      </c>
      <c r="I728" s="595">
        <f t="shared" ref="I728" si="61">K728/1.11</f>
        <v>3296756.7567567565</v>
      </c>
      <c r="J728" s="595">
        <f t="shared" ref="J728" si="62">I728*11%</f>
        <v>362643.2432432432</v>
      </c>
      <c r="K728" s="596">
        <v>3659400</v>
      </c>
      <c r="L728" s="597"/>
    </row>
    <row r="729" spans="1:12" s="742" customFormat="1" x14ac:dyDescent="0.2">
      <c r="A729" s="316">
        <v>17</v>
      </c>
      <c r="B729" s="736" t="s">
        <v>2908</v>
      </c>
      <c r="C729" s="598" t="s">
        <v>3110</v>
      </c>
      <c r="D729" s="737" t="s">
        <v>580</v>
      </c>
      <c r="E729" s="738" t="s">
        <v>595</v>
      </c>
      <c r="F729" s="739" t="s">
        <v>579</v>
      </c>
      <c r="G729" s="740" t="s">
        <v>1619</v>
      </c>
      <c r="H729" s="741">
        <v>44706</v>
      </c>
      <c r="I729" s="595">
        <f>K729/1.11</f>
        <v>3848081.0810810807</v>
      </c>
      <c r="J729" s="595">
        <f>I729*11%</f>
        <v>423288.91891891888</v>
      </c>
      <c r="K729" s="596">
        <v>4271370</v>
      </c>
      <c r="L729" s="597"/>
    </row>
    <row r="730" spans="1:12" x14ac:dyDescent="0.2">
      <c r="A730" s="316">
        <v>18</v>
      </c>
      <c r="B730" s="591" t="s">
        <v>2938</v>
      </c>
      <c r="C730" s="598" t="s">
        <v>3154</v>
      </c>
      <c r="D730" s="737" t="s">
        <v>621</v>
      </c>
      <c r="E730" s="738" t="s">
        <v>619</v>
      </c>
      <c r="F730" s="739" t="s">
        <v>620</v>
      </c>
      <c r="G730" s="653" t="s">
        <v>1620</v>
      </c>
      <c r="H730" s="599">
        <v>44712</v>
      </c>
      <c r="I730" s="595">
        <f>K730/1.11</f>
        <v>1208432.4324324324</v>
      </c>
      <c r="J730" s="595">
        <f>I730*11%</f>
        <v>132927.56756756757</v>
      </c>
      <c r="K730" s="596">
        <v>1341360</v>
      </c>
      <c r="L730" s="597"/>
    </row>
    <row r="731" spans="1:12" x14ac:dyDescent="0.2">
      <c r="A731" s="316">
        <v>19</v>
      </c>
      <c r="B731" s="591" t="s">
        <v>2940</v>
      </c>
      <c r="C731" s="598" t="s">
        <v>3156</v>
      </c>
      <c r="D731" s="737" t="s">
        <v>580</v>
      </c>
      <c r="E731" s="738" t="s">
        <v>595</v>
      </c>
      <c r="F731" s="739" t="s">
        <v>579</v>
      </c>
      <c r="G731" s="653" t="s">
        <v>1621</v>
      </c>
      <c r="H731" s="741">
        <v>44712</v>
      </c>
      <c r="I731" s="595">
        <f>K731/1.11</f>
        <v>6491708.1081081079</v>
      </c>
      <c r="J731" s="595">
        <f>I731*11%</f>
        <v>714087.89189189184</v>
      </c>
      <c r="K731" s="596">
        <v>7205796</v>
      </c>
      <c r="L731" s="597"/>
    </row>
    <row r="732" spans="1:12" x14ac:dyDescent="0.2">
      <c r="A732" s="316">
        <v>20</v>
      </c>
      <c r="B732" s="591" t="s">
        <v>2941</v>
      </c>
      <c r="C732" s="598" t="s">
        <v>3157</v>
      </c>
      <c r="D732" s="737" t="s">
        <v>581</v>
      </c>
      <c r="E732" s="746" t="s">
        <v>596</v>
      </c>
      <c r="F732" s="746" t="s">
        <v>579</v>
      </c>
      <c r="G732" s="653" t="s">
        <v>1622</v>
      </c>
      <c r="H732" s="599">
        <v>44712</v>
      </c>
      <c r="I732" s="595">
        <f>K732/1.11</f>
        <v>1843459.4594594594</v>
      </c>
      <c r="J732" s="595">
        <f>I732*11%</f>
        <v>202780.54054054053</v>
      </c>
      <c r="K732" s="596">
        <v>2046240</v>
      </c>
      <c r="L732" s="597"/>
    </row>
    <row r="733" spans="1:12" x14ac:dyDescent="0.2">
      <c r="A733" s="316">
        <v>21</v>
      </c>
      <c r="B733" s="591" t="s">
        <v>2942</v>
      </c>
      <c r="C733" s="598" t="s">
        <v>3158</v>
      </c>
      <c r="D733" s="652" t="s">
        <v>591</v>
      </c>
      <c r="E733" s="738" t="s">
        <v>777</v>
      </c>
      <c r="F733" s="754" t="s">
        <v>590</v>
      </c>
      <c r="G733" s="653" t="s">
        <v>1623</v>
      </c>
      <c r="H733" s="599">
        <v>44712</v>
      </c>
      <c r="I733" s="595">
        <f>K733/1.11</f>
        <v>2376972.9729729728</v>
      </c>
      <c r="J733" s="595">
        <f>I733*11%</f>
        <v>261467.02702702701</v>
      </c>
      <c r="K733" s="596">
        <v>2638440</v>
      </c>
      <c r="L733" s="597"/>
    </row>
    <row r="734" spans="1:12" x14ac:dyDescent="0.2">
      <c r="A734" s="316">
        <v>22</v>
      </c>
      <c r="B734" s="591" t="s">
        <v>2947</v>
      </c>
      <c r="C734" s="598" t="s">
        <v>3159</v>
      </c>
      <c r="D734" s="737" t="s">
        <v>617</v>
      </c>
      <c r="E734" s="738" t="s">
        <v>616</v>
      </c>
      <c r="F734" s="739" t="s">
        <v>579</v>
      </c>
      <c r="G734" s="653" t="s">
        <v>1624</v>
      </c>
      <c r="H734" s="741">
        <v>44712</v>
      </c>
      <c r="I734" s="595">
        <f t="shared" ref="I734" si="63">K734/1.11</f>
        <v>938918.91891891882</v>
      </c>
      <c r="J734" s="595">
        <f t="shared" ref="J734" si="64">I734*11%</f>
        <v>103281.08108108107</v>
      </c>
      <c r="K734" s="596">
        <v>1042200</v>
      </c>
      <c r="L734" s="597"/>
    </row>
    <row r="735" spans="1:12" x14ac:dyDescent="0.2">
      <c r="A735" s="316">
        <v>23</v>
      </c>
      <c r="B735" s="591" t="s">
        <v>2948</v>
      </c>
      <c r="C735" s="598" t="s">
        <v>3206</v>
      </c>
      <c r="D735" s="627" t="s">
        <v>1427</v>
      </c>
      <c r="E735" s="644" t="s">
        <v>425</v>
      </c>
      <c r="F735" s="645" t="s">
        <v>426</v>
      </c>
      <c r="G735" s="653" t="s">
        <v>1625</v>
      </c>
      <c r="H735" s="599">
        <v>44712</v>
      </c>
      <c r="I735" s="595">
        <f>K735/1.11</f>
        <v>35143783.783783779</v>
      </c>
      <c r="J735" s="595">
        <f>I735*11%</f>
        <v>3865816.2162162159</v>
      </c>
      <c r="K735" s="596">
        <v>39009600</v>
      </c>
      <c r="L735" s="597"/>
    </row>
    <row r="736" spans="1:12" x14ac:dyDescent="0.2">
      <c r="A736" s="316">
        <v>24</v>
      </c>
      <c r="B736" s="591" t="s">
        <v>2949</v>
      </c>
      <c r="C736" s="598" t="s">
        <v>655</v>
      </c>
      <c r="D736" s="737" t="s">
        <v>580</v>
      </c>
      <c r="E736" s="738" t="s">
        <v>595</v>
      </c>
      <c r="F736" s="739" t="s">
        <v>579</v>
      </c>
      <c r="G736" s="653" t="s">
        <v>1626</v>
      </c>
      <c r="H736" s="599">
        <v>44712</v>
      </c>
      <c r="I736" s="595">
        <f>K736/1.11</f>
        <v>3308040.5405405401</v>
      </c>
      <c r="J736" s="595">
        <f>I736*11%</f>
        <v>363884.45945945941</v>
      </c>
      <c r="K736" s="596">
        <v>3671925</v>
      </c>
      <c r="L736" s="597"/>
    </row>
    <row r="737" spans="1:12" x14ac:dyDescent="0.2">
      <c r="A737" s="316">
        <v>25</v>
      </c>
      <c r="B737" s="591" t="s">
        <v>2950</v>
      </c>
      <c r="C737" s="598" t="s">
        <v>3212</v>
      </c>
      <c r="D737" s="586" t="s">
        <v>584</v>
      </c>
      <c r="E737" s="587" t="s">
        <v>582</v>
      </c>
      <c r="F737" s="588" t="s">
        <v>583</v>
      </c>
      <c r="G737" s="653" t="s">
        <v>1627</v>
      </c>
      <c r="H737" s="599">
        <v>44712</v>
      </c>
      <c r="I737" s="595">
        <f>K737/1.11</f>
        <v>2585124.3243243243</v>
      </c>
      <c r="J737" s="595">
        <f>I737*11%</f>
        <v>284363.67567567568</v>
      </c>
      <c r="K737" s="596">
        <v>2869488</v>
      </c>
      <c r="L737" s="597"/>
    </row>
    <row r="738" spans="1:12" s="743" customFormat="1" x14ac:dyDescent="0.2">
      <c r="A738" s="316">
        <v>26</v>
      </c>
      <c r="B738" s="591" t="s">
        <v>2830</v>
      </c>
      <c r="C738" s="598" t="s">
        <v>3220</v>
      </c>
      <c r="D738" s="586"/>
      <c r="E738" s="593" t="s">
        <v>1029</v>
      </c>
      <c r="F738" s="593" t="s">
        <v>966</v>
      </c>
      <c r="G738" s="653"/>
      <c r="H738" s="594">
        <v>44690</v>
      </c>
      <c r="I738" s="595">
        <f t="shared" si="57"/>
        <v>16660994.594594592</v>
      </c>
      <c r="J738" s="595">
        <f t="shared" si="58"/>
        <v>1832709.4054054052</v>
      </c>
      <c r="K738" s="596">
        <v>18493704</v>
      </c>
      <c r="L738" s="597"/>
    </row>
    <row r="739" spans="1:12" s="743" customFormat="1" x14ac:dyDescent="0.2">
      <c r="A739" s="316">
        <v>27</v>
      </c>
      <c r="B739" s="591" t="s">
        <v>2831</v>
      </c>
      <c r="C739" s="598" t="s">
        <v>3502</v>
      </c>
      <c r="D739" s="586"/>
      <c r="E739" s="593" t="s">
        <v>972</v>
      </c>
      <c r="F739" s="593" t="s">
        <v>966</v>
      </c>
      <c r="G739" s="653"/>
      <c r="H739" s="594">
        <v>44690</v>
      </c>
      <c r="I739" s="595">
        <f t="shared" si="57"/>
        <v>18330608.108108107</v>
      </c>
      <c r="J739" s="595">
        <f t="shared" si="58"/>
        <v>2016366.8918918918</v>
      </c>
      <c r="K739" s="596">
        <f>12711825+7635150</f>
        <v>20346975</v>
      </c>
      <c r="L739" s="597"/>
    </row>
    <row r="740" spans="1:12" s="743" customFormat="1" x14ac:dyDescent="0.2">
      <c r="A740" s="316">
        <v>28</v>
      </c>
      <c r="B740" s="591" t="s">
        <v>2832</v>
      </c>
      <c r="C740" s="598" t="s">
        <v>3118</v>
      </c>
      <c r="D740" s="586"/>
      <c r="E740" s="593" t="s">
        <v>969</v>
      </c>
      <c r="F740" s="593" t="s">
        <v>966</v>
      </c>
      <c r="G740" s="653"/>
      <c r="H740" s="594">
        <v>44690</v>
      </c>
      <c r="I740" s="595">
        <f t="shared" si="57"/>
        <v>48076005.405405402</v>
      </c>
      <c r="J740" s="595">
        <f t="shared" si="58"/>
        <v>5288360.5945945941</v>
      </c>
      <c r="K740" s="596">
        <v>53364366</v>
      </c>
      <c r="L740" s="597"/>
    </row>
    <row r="741" spans="1:12" s="743" customFormat="1" x14ac:dyDescent="0.2">
      <c r="A741" s="316">
        <v>29</v>
      </c>
      <c r="B741" s="591" t="s">
        <v>2833</v>
      </c>
      <c r="C741" s="598" t="s">
        <v>2997</v>
      </c>
      <c r="D741" s="704"/>
      <c r="E741" s="587" t="s">
        <v>965</v>
      </c>
      <c r="F741" s="588" t="s">
        <v>966</v>
      </c>
      <c r="G741" s="653"/>
      <c r="H741" s="599">
        <v>44690</v>
      </c>
      <c r="I741" s="595">
        <f t="shared" si="57"/>
        <v>36245156.756756753</v>
      </c>
      <c r="J741" s="595">
        <f t="shared" si="58"/>
        <v>3986967.2432432426</v>
      </c>
      <c r="K741" s="596">
        <v>40232124</v>
      </c>
      <c r="L741" s="597"/>
    </row>
    <row r="742" spans="1:12" s="745" customFormat="1" x14ac:dyDescent="0.2">
      <c r="A742" s="316">
        <v>30</v>
      </c>
      <c r="B742" s="736" t="s">
        <v>2834</v>
      </c>
      <c r="C742" s="598" t="s">
        <v>3068</v>
      </c>
      <c r="D742" s="737"/>
      <c r="E742" s="738" t="s">
        <v>1009</v>
      </c>
      <c r="F742" s="739" t="s">
        <v>1008</v>
      </c>
      <c r="G742" s="740"/>
      <c r="H742" s="741">
        <v>44690</v>
      </c>
      <c r="I742" s="595">
        <f t="shared" si="57"/>
        <v>5670576.5765765756</v>
      </c>
      <c r="J742" s="595">
        <f t="shared" si="58"/>
        <v>623763.42342342332</v>
      </c>
      <c r="K742" s="596">
        <v>6294340</v>
      </c>
      <c r="L742" s="597"/>
    </row>
    <row r="743" spans="1:12" s="745" customFormat="1" x14ac:dyDescent="0.2">
      <c r="A743" s="316">
        <v>31</v>
      </c>
      <c r="B743" s="736" t="s">
        <v>2835</v>
      </c>
      <c r="C743" s="598" t="s">
        <v>3208</v>
      </c>
      <c r="D743" s="737"/>
      <c r="E743" s="738" t="s">
        <v>992</v>
      </c>
      <c r="F743" s="739" t="s">
        <v>583</v>
      </c>
      <c r="G743" s="740"/>
      <c r="H743" s="741">
        <v>44690</v>
      </c>
      <c r="I743" s="595">
        <f t="shared" si="57"/>
        <v>5175144.1441441439</v>
      </c>
      <c r="J743" s="595">
        <f t="shared" si="58"/>
        <v>569265.85585585586</v>
      </c>
      <c r="K743" s="596">
        <v>5744410</v>
      </c>
      <c r="L743" s="597"/>
    </row>
    <row r="744" spans="1:12" s="745" customFormat="1" x14ac:dyDescent="0.2">
      <c r="A744" s="316">
        <v>32</v>
      </c>
      <c r="B744" s="736" t="s">
        <v>2836</v>
      </c>
      <c r="C744" s="598" t="s">
        <v>3000</v>
      </c>
      <c r="D744" s="737"/>
      <c r="E744" s="746" t="s">
        <v>1007</v>
      </c>
      <c r="F744" s="746" t="s">
        <v>1008</v>
      </c>
      <c r="G744" s="740"/>
      <c r="H744" s="741">
        <v>44690</v>
      </c>
      <c r="I744" s="595">
        <f t="shared" si="57"/>
        <v>5896129.7297297288</v>
      </c>
      <c r="J744" s="595">
        <f t="shared" si="58"/>
        <v>648574.27027027018</v>
      </c>
      <c r="K744" s="596">
        <v>6544704</v>
      </c>
      <c r="L744" s="597"/>
    </row>
    <row r="745" spans="1:12" s="745" customFormat="1" x14ac:dyDescent="0.2">
      <c r="A745" s="316">
        <v>33</v>
      </c>
      <c r="B745" s="736" t="s">
        <v>2837</v>
      </c>
      <c r="C745" s="598" t="s">
        <v>3075</v>
      </c>
      <c r="D745" s="737"/>
      <c r="E745" s="738" t="s">
        <v>1052</v>
      </c>
      <c r="F745" s="739" t="s">
        <v>1017</v>
      </c>
      <c r="G745" s="740"/>
      <c r="H745" s="741">
        <v>44690</v>
      </c>
      <c r="I745" s="595">
        <f t="shared" si="57"/>
        <v>5332929.7297297297</v>
      </c>
      <c r="J745" s="595">
        <f t="shared" si="58"/>
        <v>586622.2702702703</v>
      </c>
      <c r="K745" s="596">
        <v>5919552</v>
      </c>
      <c r="L745" s="597"/>
    </row>
    <row r="746" spans="1:12" s="743" customFormat="1" x14ac:dyDescent="0.2">
      <c r="A746" s="316">
        <v>34</v>
      </c>
      <c r="B746" s="591" t="s">
        <v>2838</v>
      </c>
      <c r="C746" s="598" t="s">
        <v>3268</v>
      </c>
      <c r="D746" s="586"/>
      <c r="E746" s="593" t="s">
        <v>995</v>
      </c>
      <c r="F746" s="593" t="s">
        <v>996</v>
      </c>
      <c r="G746" s="653"/>
      <c r="H746" s="599">
        <v>44690</v>
      </c>
      <c r="I746" s="595">
        <f t="shared" si="57"/>
        <v>10296394.594594594</v>
      </c>
      <c r="J746" s="595">
        <f t="shared" si="58"/>
        <v>1132603.4054054054</v>
      </c>
      <c r="K746" s="596">
        <f>5760000+4206948+1462050</f>
        <v>11428998</v>
      </c>
      <c r="L746" s="597"/>
    </row>
    <row r="747" spans="1:12" s="743" customFormat="1" x14ac:dyDescent="0.2">
      <c r="A747" s="316">
        <v>35</v>
      </c>
      <c r="B747" s="591" t="s">
        <v>2839</v>
      </c>
      <c r="C747" s="598" t="s">
        <v>2979</v>
      </c>
      <c r="D747" s="586"/>
      <c r="E747" s="587" t="s">
        <v>1226</v>
      </c>
      <c r="F747" s="588" t="s">
        <v>1127</v>
      </c>
      <c r="G747" s="653"/>
      <c r="H747" s="599">
        <v>44690</v>
      </c>
      <c r="I747" s="595">
        <f t="shared" si="57"/>
        <v>1104054.054054054</v>
      </c>
      <c r="J747" s="595">
        <f t="shared" si="58"/>
        <v>121445.94594594593</v>
      </c>
      <c r="K747" s="596">
        <v>1225500</v>
      </c>
      <c r="L747" s="597"/>
    </row>
    <row r="748" spans="1:12" s="745" customFormat="1" x14ac:dyDescent="0.2">
      <c r="A748" s="316">
        <v>36</v>
      </c>
      <c r="B748" s="736" t="s">
        <v>2840</v>
      </c>
      <c r="C748" s="598" t="s">
        <v>3304</v>
      </c>
      <c r="D748" s="737"/>
      <c r="E748" s="738" t="s">
        <v>1201</v>
      </c>
      <c r="F748" s="739" t="s">
        <v>1099</v>
      </c>
      <c r="G748" s="740"/>
      <c r="H748" s="741">
        <v>44698</v>
      </c>
      <c r="I748" s="595">
        <f t="shared" si="57"/>
        <v>13050918.918918917</v>
      </c>
      <c r="J748" s="595">
        <f t="shared" si="58"/>
        <v>1435601.0810810809</v>
      </c>
      <c r="K748" s="596">
        <f>4690440+3324240+6471840</f>
        <v>14486520</v>
      </c>
      <c r="L748" s="597"/>
    </row>
    <row r="749" spans="1:12" s="745" customFormat="1" x14ac:dyDescent="0.2">
      <c r="A749" s="316">
        <v>37</v>
      </c>
      <c r="B749" s="736" t="s">
        <v>2841</v>
      </c>
      <c r="C749" s="598" t="s">
        <v>3018</v>
      </c>
      <c r="D749" s="737"/>
      <c r="E749" s="746" t="s">
        <v>992</v>
      </c>
      <c r="F749" s="746" t="s">
        <v>993</v>
      </c>
      <c r="G749" s="740"/>
      <c r="H749" s="741">
        <v>44690</v>
      </c>
      <c r="I749" s="595">
        <f t="shared" si="57"/>
        <v>6739749.5495495489</v>
      </c>
      <c r="J749" s="595">
        <f t="shared" si="58"/>
        <v>741372.45045045041</v>
      </c>
      <c r="K749" s="596">
        <v>7481122</v>
      </c>
      <c r="L749" s="597"/>
    </row>
    <row r="750" spans="1:12" s="745" customFormat="1" x14ac:dyDescent="0.2">
      <c r="A750" s="316">
        <v>38</v>
      </c>
      <c r="B750" s="736" t="s">
        <v>2842</v>
      </c>
      <c r="C750" s="598" t="s">
        <v>3019</v>
      </c>
      <c r="D750" s="737"/>
      <c r="E750" s="738" t="s">
        <v>992</v>
      </c>
      <c r="F750" s="739" t="s">
        <v>673</v>
      </c>
      <c r="G750" s="740"/>
      <c r="H750" s="741">
        <v>44691</v>
      </c>
      <c r="I750" s="595">
        <f t="shared" si="57"/>
        <v>25210861.261261258</v>
      </c>
      <c r="J750" s="595">
        <f t="shared" si="58"/>
        <v>2773194.7387387385</v>
      </c>
      <c r="K750" s="596">
        <v>27984056</v>
      </c>
      <c r="L750" s="597"/>
    </row>
    <row r="751" spans="1:12" s="745" customFormat="1" x14ac:dyDescent="0.2">
      <c r="A751" s="316">
        <v>39</v>
      </c>
      <c r="B751" s="736" t="s">
        <v>2843</v>
      </c>
      <c r="C751" s="598" t="s">
        <v>3136</v>
      </c>
      <c r="D751" s="737"/>
      <c r="E751" s="746" t="s">
        <v>992</v>
      </c>
      <c r="F751" s="746" t="s">
        <v>1075</v>
      </c>
      <c r="G751" s="740"/>
      <c r="H751" s="741">
        <v>44691</v>
      </c>
      <c r="I751" s="595">
        <f t="shared" si="57"/>
        <v>7835881.0810810803</v>
      </c>
      <c r="J751" s="595">
        <f t="shared" si="58"/>
        <v>861946.91891891882</v>
      </c>
      <c r="K751" s="596">
        <v>8697828</v>
      </c>
      <c r="L751" s="597"/>
    </row>
    <row r="752" spans="1:12" s="745" customFormat="1" x14ac:dyDescent="0.2">
      <c r="A752" s="316">
        <v>40</v>
      </c>
      <c r="B752" s="736" t="s">
        <v>2844</v>
      </c>
      <c r="C752" s="598" t="s">
        <v>3517</v>
      </c>
      <c r="D752" s="737"/>
      <c r="E752" s="738" t="s">
        <v>2576</v>
      </c>
      <c r="F752" s="739" t="s">
        <v>2368</v>
      </c>
      <c r="G752" s="740"/>
      <c r="H752" s="741">
        <v>44691</v>
      </c>
      <c r="I752" s="595">
        <f t="shared" si="57"/>
        <v>19635580.180180177</v>
      </c>
      <c r="J752" s="595">
        <f t="shared" si="58"/>
        <v>2159913.8198198196</v>
      </c>
      <c r="K752" s="596">
        <f>12559352+9236142</f>
        <v>21795494</v>
      </c>
      <c r="L752" s="597"/>
    </row>
    <row r="753" spans="1:12" s="745" customFormat="1" x14ac:dyDescent="0.2">
      <c r="A753" s="316">
        <v>41</v>
      </c>
      <c r="B753" s="736" t="s">
        <v>2845</v>
      </c>
      <c r="C753" s="598" t="s">
        <v>3300</v>
      </c>
      <c r="D753" s="737"/>
      <c r="E753" s="738" t="s">
        <v>1126</v>
      </c>
      <c r="F753" s="739" t="s">
        <v>1127</v>
      </c>
      <c r="G753" s="740"/>
      <c r="H753" s="741">
        <v>44692</v>
      </c>
      <c r="I753" s="595">
        <f t="shared" si="57"/>
        <v>18357567.567567565</v>
      </c>
      <c r="J753" s="595">
        <f t="shared" si="58"/>
        <v>2019332.4324324322</v>
      </c>
      <c r="K753" s="596">
        <f>7504704+11173140+1699056</f>
        <v>20376900</v>
      </c>
      <c r="L753" s="597"/>
    </row>
    <row r="754" spans="1:12" s="743" customFormat="1" x14ac:dyDescent="0.2">
      <c r="A754" s="316">
        <v>42</v>
      </c>
      <c r="B754" s="591" t="s">
        <v>2846</v>
      </c>
      <c r="C754" s="598" t="s">
        <v>3124</v>
      </c>
      <c r="D754" s="586"/>
      <c r="E754" s="587" t="s">
        <v>1054</v>
      </c>
      <c r="F754" s="588" t="s">
        <v>1055</v>
      </c>
      <c r="G754" s="653"/>
      <c r="H754" s="599">
        <v>44692</v>
      </c>
      <c r="I754" s="595">
        <f t="shared" si="57"/>
        <v>6129537.8378378376</v>
      </c>
      <c r="J754" s="595">
        <f t="shared" si="58"/>
        <v>674249.16216216213</v>
      </c>
      <c r="K754" s="596">
        <v>6803787</v>
      </c>
      <c r="L754" s="597"/>
    </row>
    <row r="755" spans="1:12" s="745" customFormat="1" x14ac:dyDescent="0.2">
      <c r="A755" s="316">
        <v>43</v>
      </c>
      <c r="B755" s="736" t="s">
        <v>2847</v>
      </c>
      <c r="C755" s="747" t="s">
        <v>3074</v>
      </c>
      <c r="D755" s="737"/>
      <c r="E755" s="746" t="s">
        <v>985</v>
      </c>
      <c r="F755" s="746" t="s">
        <v>426</v>
      </c>
      <c r="G755" s="740"/>
      <c r="H755" s="749">
        <v>44692</v>
      </c>
      <c r="I755" s="595">
        <f t="shared" si="57"/>
        <v>20690205.405405402</v>
      </c>
      <c r="J755" s="595">
        <f t="shared" si="58"/>
        <v>2275922.5945945941</v>
      </c>
      <c r="K755" s="596">
        <v>22966128</v>
      </c>
      <c r="L755" s="597"/>
    </row>
    <row r="756" spans="1:12" s="743" customFormat="1" x14ac:dyDescent="0.2">
      <c r="A756" s="316">
        <v>44</v>
      </c>
      <c r="B756" s="591" t="s">
        <v>2848</v>
      </c>
      <c r="C756" s="747" t="s">
        <v>2988</v>
      </c>
      <c r="D756" s="586"/>
      <c r="E756" s="587" t="s">
        <v>2989</v>
      </c>
      <c r="F756" s="588" t="s">
        <v>620</v>
      </c>
      <c r="G756" s="653"/>
      <c r="H756" s="599">
        <v>44692</v>
      </c>
      <c r="I756" s="595">
        <f t="shared" si="57"/>
        <v>413513.51351351349</v>
      </c>
      <c r="J756" s="595">
        <f t="shared" si="58"/>
        <v>45486.486486486487</v>
      </c>
      <c r="K756" s="596">
        <v>459000</v>
      </c>
      <c r="L756" s="597"/>
    </row>
    <row r="757" spans="1:12" s="743" customFormat="1" x14ac:dyDescent="0.2">
      <c r="A757" s="316">
        <v>45</v>
      </c>
      <c r="B757" s="591" t="s">
        <v>2849</v>
      </c>
      <c r="C757" s="747" t="s">
        <v>3020</v>
      </c>
      <c r="D757" s="586"/>
      <c r="E757" s="587" t="s">
        <v>976</v>
      </c>
      <c r="F757" s="588" t="s">
        <v>977</v>
      </c>
      <c r="G757" s="653"/>
      <c r="H757" s="599">
        <v>44692</v>
      </c>
      <c r="I757" s="595">
        <f t="shared" si="57"/>
        <v>13313016.216216216</v>
      </c>
      <c r="J757" s="595">
        <f t="shared" si="58"/>
        <v>1464431.7837837837</v>
      </c>
      <c r="K757" s="596">
        <v>14777448</v>
      </c>
      <c r="L757" s="597"/>
    </row>
    <row r="758" spans="1:12" s="745" customFormat="1" x14ac:dyDescent="0.2">
      <c r="A758" s="316">
        <v>46</v>
      </c>
      <c r="B758" s="736" t="s">
        <v>2850</v>
      </c>
      <c r="C758" s="747" t="s">
        <v>2998</v>
      </c>
      <c r="D758" s="737"/>
      <c r="E758" s="738" t="s">
        <v>2999</v>
      </c>
      <c r="F758" s="739" t="s">
        <v>1015</v>
      </c>
      <c r="G758" s="740"/>
      <c r="H758" s="741">
        <v>44691</v>
      </c>
      <c r="I758" s="595">
        <f t="shared" si="57"/>
        <v>2455603.6036036033</v>
      </c>
      <c r="J758" s="595">
        <f t="shared" si="58"/>
        <v>270116.39639639639</v>
      </c>
      <c r="K758" s="596">
        <v>2725720</v>
      </c>
      <c r="L758" s="597"/>
    </row>
    <row r="759" spans="1:12" s="743" customFormat="1" x14ac:dyDescent="0.2">
      <c r="A759" s="316">
        <v>47</v>
      </c>
      <c r="B759" s="591" t="s">
        <v>2851</v>
      </c>
      <c r="C759" s="747" t="s">
        <v>3515</v>
      </c>
      <c r="D759" s="586"/>
      <c r="E759" s="587" t="s">
        <v>978</v>
      </c>
      <c r="F759" s="588" t="s">
        <v>996</v>
      </c>
      <c r="G759" s="653"/>
      <c r="H759" s="599">
        <v>44693</v>
      </c>
      <c r="I759" s="595">
        <f t="shared" si="57"/>
        <v>1734945.9459459458</v>
      </c>
      <c r="J759" s="595">
        <f t="shared" si="58"/>
        <v>190844.05405405405</v>
      </c>
      <c r="K759" s="596">
        <f>1500000+425790</f>
        <v>1925790</v>
      </c>
      <c r="L759" s="597"/>
    </row>
    <row r="760" spans="1:12" s="745" customFormat="1" x14ac:dyDescent="0.2">
      <c r="A760" s="316">
        <v>48</v>
      </c>
      <c r="B760" s="736" t="s">
        <v>2852</v>
      </c>
      <c r="C760" s="747" t="s">
        <v>3531</v>
      </c>
      <c r="D760" s="737"/>
      <c r="E760" s="738" t="s">
        <v>3001</v>
      </c>
      <c r="F760" s="739" t="s">
        <v>2368</v>
      </c>
      <c r="G760" s="740"/>
      <c r="H760" s="741">
        <v>44693</v>
      </c>
      <c r="I760" s="595">
        <f t="shared" si="57"/>
        <v>532345.94594594592</v>
      </c>
      <c r="J760" s="595">
        <f t="shared" si="58"/>
        <v>58558.054054054053</v>
      </c>
      <c r="K760" s="596">
        <f>154800+124200+241110+70794</f>
        <v>590904</v>
      </c>
      <c r="L760" s="597"/>
    </row>
    <row r="761" spans="1:12" s="757" customFormat="1" x14ac:dyDescent="0.2">
      <c r="A761" s="316">
        <v>49</v>
      </c>
      <c r="B761" s="736" t="s">
        <v>2853</v>
      </c>
      <c r="C761" s="747" t="s">
        <v>3126</v>
      </c>
      <c r="D761" s="737"/>
      <c r="E761" s="738" t="s">
        <v>3127</v>
      </c>
      <c r="F761" s="739" t="s">
        <v>590</v>
      </c>
      <c r="G761" s="756"/>
      <c r="H761" s="741">
        <v>44702</v>
      </c>
      <c r="I761" s="595">
        <f t="shared" si="57"/>
        <v>479891.89189189184</v>
      </c>
      <c r="J761" s="595">
        <f t="shared" si="58"/>
        <v>52788.108108108099</v>
      </c>
      <c r="K761" s="596">
        <v>532680</v>
      </c>
      <c r="L761" s="597"/>
    </row>
    <row r="762" spans="1:12" x14ac:dyDescent="0.2">
      <c r="A762" s="316">
        <v>50</v>
      </c>
      <c r="B762" s="591" t="s">
        <v>2854</v>
      </c>
      <c r="C762" s="747" t="s">
        <v>3021</v>
      </c>
      <c r="D762" s="586"/>
      <c r="E762" s="587" t="s">
        <v>3022</v>
      </c>
      <c r="F762" s="588" t="s">
        <v>1019</v>
      </c>
      <c r="G762" s="653"/>
      <c r="H762" s="599">
        <v>44693</v>
      </c>
      <c r="I762" s="595">
        <f t="shared" si="57"/>
        <v>4068468.4684684682</v>
      </c>
      <c r="J762" s="595">
        <f t="shared" si="58"/>
        <v>447531.53153153148</v>
      </c>
      <c r="K762" s="596">
        <v>4516000</v>
      </c>
      <c r="L762" s="597"/>
    </row>
    <row r="763" spans="1:12" x14ac:dyDescent="0.2">
      <c r="A763" s="316">
        <v>51</v>
      </c>
      <c r="B763" s="591" t="s">
        <v>2855</v>
      </c>
      <c r="C763" s="747" t="s">
        <v>3125</v>
      </c>
      <c r="D763" s="586"/>
      <c r="E763" s="587" t="s">
        <v>1036</v>
      </c>
      <c r="F763" s="588" t="s">
        <v>1008</v>
      </c>
      <c r="G763" s="653"/>
      <c r="H763" s="599">
        <v>44694</v>
      </c>
      <c r="I763" s="595">
        <f t="shared" si="57"/>
        <v>8803372.072072072</v>
      </c>
      <c r="J763" s="595">
        <f t="shared" si="58"/>
        <v>968370.92792792793</v>
      </c>
      <c r="K763" s="596">
        <v>9771743</v>
      </c>
      <c r="L763" s="597"/>
    </row>
    <row r="764" spans="1:12" x14ac:dyDescent="0.2">
      <c r="A764" s="316">
        <v>52</v>
      </c>
      <c r="B764" s="591" t="s">
        <v>2856</v>
      </c>
      <c r="C764" s="747" t="s">
        <v>3121</v>
      </c>
      <c r="D764" s="586"/>
      <c r="E764" s="587" t="s">
        <v>1021</v>
      </c>
      <c r="F764" s="588" t="s">
        <v>1022</v>
      </c>
      <c r="G764" s="653"/>
      <c r="H764" s="599">
        <v>44694</v>
      </c>
      <c r="I764" s="595">
        <f t="shared" si="57"/>
        <v>6121004.5045045037</v>
      </c>
      <c r="J764" s="595">
        <f t="shared" si="58"/>
        <v>673310.49549549539</v>
      </c>
      <c r="K764" s="596">
        <v>6794315</v>
      </c>
      <c r="L764" s="597"/>
    </row>
    <row r="765" spans="1:12" x14ac:dyDescent="0.2">
      <c r="A765" s="316">
        <v>53</v>
      </c>
      <c r="B765" s="591" t="s">
        <v>2857</v>
      </c>
      <c r="C765" s="747" t="s">
        <v>3023</v>
      </c>
      <c r="D765" s="586"/>
      <c r="E765" s="587" t="s">
        <v>3024</v>
      </c>
      <c r="F765" s="588" t="s">
        <v>996</v>
      </c>
      <c r="G765" s="653"/>
      <c r="H765" s="599">
        <v>44701</v>
      </c>
      <c r="I765" s="595">
        <f t="shared" si="57"/>
        <v>2637837.8378378376</v>
      </c>
      <c r="J765" s="595">
        <f t="shared" si="58"/>
        <v>290162.16216216213</v>
      </c>
      <c r="K765" s="596">
        <v>2928000</v>
      </c>
      <c r="L765" s="597"/>
    </row>
    <row r="766" spans="1:12" x14ac:dyDescent="0.2">
      <c r="A766" s="316">
        <v>54</v>
      </c>
      <c r="B766" s="591" t="s">
        <v>2858</v>
      </c>
      <c r="C766" s="747" t="s">
        <v>3219</v>
      </c>
      <c r="D766" s="586"/>
      <c r="E766" s="587" t="s">
        <v>986</v>
      </c>
      <c r="F766" s="588" t="s">
        <v>980</v>
      </c>
      <c r="G766" s="653"/>
      <c r="H766" s="599">
        <v>44695</v>
      </c>
      <c r="I766" s="595">
        <f t="shared" si="57"/>
        <v>4294110.8108108109</v>
      </c>
      <c r="J766" s="595">
        <f t="shared" si="58"/>
        <v>472352.18918918917</v>
      </c>
      <c r="K766" s="596">
        <v>4766463</v>
      </c>
      <c r="L766" s="597"/>
    </row>
    <row r="767" spans="1:12" x14ac:dyDescent="0.2">
      <c r="A767" s="316">
        <v>55</v>
      </c>
      <c r="B767" s="591" t="s">
        <v>2859</v>
      </c>
      <c r="C767" s="747" t="s">
        <v>3123</v>
      </c>
      <c r="D767" s="586"/>
      <c r="E767" s="587" t="s">
        <v>3025</v>
      </c>
      <c r="F767" s="588" t="s">
        <v>996</v>
      </c>
      <c r="G767" s="653"/>
      <c r="H767" s="599">
        <v>44695</v>
      </c>
      <c r="I767" s="595">
        <f t="shared" si="57"/>
        <v>375870.27027027024</v>
      </c>
      <c r="J767" s="595">
        <f t="shared" si="58"/>
        <v>41345.729729729726</v>
      </c>
      <c r="K767" s="596">
        <v>417216</v>
      </c>
      <c r="L767" s="597"/>
    </row>
    <row r="768" spans="1:12" x14ac:dyDescent="0.2">
      <c r="A768" s="316">
        <v>56</v>
      </c>
      <c r="B768" s="591" t="s">
        <v>2860</v>
      </c>
      <c r="C768" s="747" t="s">
        <v>3142</v>
      </c>
      <c r="D768" s="586"/>
      <c r="E768" s="593" t="s">
        <v>1006</v>
      </c>
      <c r="F768" s="593" t="s">
        <v>984</v>
      </c>
      <c r="G768" s="653"/>
      <c r="H768" s="594">
        <v>44695</v>
      </c>
      <c r="I768" s="595">
        <f t="shared" si="57"/>
        <v>10461535.135135135</v>
      </c>
      <c r="J768" s="595">
        <f t="shared" si="58"/>
        <v>1150768.8648648649</v>
      </c>
      <c r="K768" s="596">
        <v>11612304</v>
      </c>
      <c r="L768" s="600"/>
    </row>
    <row r="769" spans="1:12" x14ac:dyDescent="0.2">
      <c r="A769" s="316">
        <v>57</v>
      </c>
      <c r="B769" s="591" t="s">
        <v>2861</v>
      </c>
      <c r="C769" s="747" t="s">
        <v>3116</v>
      </c>
      <c r="D769" s="586"/>
      <c r="E769" s="587" t="s">
        <v>978</v>
      </c>
      <c r="F769" s="588" t="s">
        <v>590</v>
      </c>
      <c r="G769" s="653"/>
      <c r="H769" s="599">
        <v>44695</v>
      </c>
      <c r="I769" s="595">
        <f t="shared" si="57"/>
        <v>43686140.540540539</v>
      </c>
      <c r="J769" s="595">
        <f t="shared" si="58"/>
        <v>4805475.4594594594</v>
      </c>
      <c r="K769" s="596">
        <v>48491616</v>
      </c>
      <c r="L769" s="597"/>
    </row>
    <row r="770" spans="1:12" x14ac:dyDescent="0.2">
      <c r="A770" s="316">
        <v>58</v>
      </c>
      <c r="B770" s="591" t="s">
        <v>2862</v>
      </c>
      <c r="C770" s="747" t="s">
        <v>3026</v>
      </c>
      <c r="D770" s="586"/>
      <c r="E770" s="587" t="s">
        <v>2393</v>
      </c>
      <c r="F770" s="588" t="s">
        <v>984</v>
      </c>
      <c r="G770" s="653"/>
      <c r="H770" s="599">
        <v>44694</v>
      </c>
      <c r="I770" s="595">
        <f t="shared" si="57"/>
        <v>1611927.9279279278</v>
      </c>
      <c r="J770" s="595">
        <f t="shared" si="58"/>
        <v>177312.07207207207</v>
      </c>
      <c r="K770" s="596">
        <v>1789240</v>
      </c>
      <c r="L770" s="597"/>
    </row>
    <row r="771" spans="1:12" s="743" customFormat="1" x14ac:dyDescent="0.2">
      <c r="A771" s="316">
        <v>59</v>
      </c>
      <c r="B771" s="591" t="s">
        <v>2863</v>
      </c>
      <c r="C771" s="748" t="s">
        <v>2978</v>
      </c>
      <c r="D771" s="586"/>
      <c r="E771" s="593" t="s">
        <v>1217</v>
      </c>
      <c r="F771" s="593" t="s">
        <v>1218</v>
      </c>
      <c r="G771" s="653"/>
      <c r="H771" s="594">
        <v>44690</v>
      </c>
      <c r="I771" s="595">
        <f>K771/1.11</f>
        <v>3676616.2162162159</v>
      </c>
      <c r="J771" s="595">
        <f>I771*11%</f>
        <v>404427.78378378373</v>
      </c>
      <c r="K771" s="596">
        <v>4081044</v>
      </c>
      <c r="L771" s="597"/>
    </row>
    <row r="772" spans="1:12" x14ac:dyDescent="0.2">
      <c r="A772" s="316">
        <v>60</v>
      </c>
      <c r="B772" s="591" t="s">
        <v>2864</v>
      </c>
      <c r="C772" s="747" t="s">
        <v>3027</v>
      </c>
      <c r="D772" s="586"/>
      <c r="E772" s="587" t="s">
        <v>1787</v>
      </c>
      <c r="F772" s="588" t="s">
        <v>1788</v>
      </c>
      <c r="G772" s="653"/>
      <c r="H772" s="599">
        <v>44695</v>
      </c>
      <c r="I772" s="595">
        <f t="shared" si="57"/>
        <v>1781981.9819819818</v>
      </c>
      <c r="J772" s="595">
        <f t="shared" si="58"/>
        <v>196018.01801801799</v>
      </c>
      <c r="K772" s="596">
        <v>1978000</v>
      </c>
      <c r="L772" s="597"/>
    </row>
    <row r="773" spans="1:12" x14ac:dyDescent="0.2">
      <c r="A773" s="316">
        <v>61</v>
      </c>
      <c r="B773" s="591" t="s">
        <v>2865</v>
      </c>
      <c r="C773" s="747" t="s">
        <v>3145</v>
      </c>
      <c r="D773" s="586"/>
      <c r="E773" s="587" t="s">
        <v>1009</v>
      </c>
      <c r="F773" s="588" t="s">
        <v>1008</v>
      </c>
      <c r="G773" s="653"/>
      <c r="H773" s="599">
        <v>44695</v>
      </c>
      <c r="I773" s="595">
        <f t="shared" si="57"/>
        <v>3476598.1981981979</v>
      </c>
      <c r="J773" s="595">
        <f t="shared" si="58"/>
        <v>382425.80180180178</v>
      </c>
      <c r="K773" s="596">
        <v>3859024</v>
      </c>
      <c r="L773" s="597"/>
    </row>
    <row r="774" spans="1:12" x14ac:dyDescent="0.2">
      <c r="A774" s="316">
        <v>62</v>
      </c>
      <c r="B774" s="591" t="s">
        <v>2866</v>
      </c>
      <c r="C774" s="747" t="s">
        <v>3117</v>
      </c>
      <c r="D774" s="586"/>
      <c r="E774" s="587" t="s">
        <v>1090</v>
      </c>
      <c r="F774" s="588" t="s">
        <v>606</v>
      </c>
      <c r="G774" s="653"/>
      <c r="H774" s="599">
        <v>44695</v>
      </c>
      <c r="I774" s="595">
        <f t="shared" si="57"/>
        <v>22706652.252252251</v>
      </c>
      <c r="J774" s="595">
        <f t="shared" si="58"/>
        <v>2497731.7477477477</v>
      </c>
      <c r="K774" s="596">
        <v>25204384</v>
      </c>
      <c r="L774" s="597"/>
    </row>
    <row r="775" spans="1:12" s="742" customFormat="1" x14ac:dyDescent="0.2">
      <c r="A775" s="316">
        <v>63</v>
      </c>
      <c r="B775" s="736" t="s">
        <v>2867</v>
      </c>
      <c r="C775" s="747" t="s">
        <v>3152</v>
      </c>
      <c r="D775" s="737"/>
      <c r="E775" s="738" t="s">
        <v>965</v>
      </c>
      <c r="F775" s="739" t="s">
        <v>966</v>
      </c>
      <c r="G775" s="740"/>
      <c r="H775" s="741">
        <v>44695</v>
      </c>
      <c r="I775" s="595">
        <f t="shared" si="57"/>
        <v>24551621.62162162</v>
      </c>
      <c r="J775" s="595">
        <f t="shared" si="58"/>
        <v>2700678.3783783782</v>
      </c>
      <c r="K775" s="596">
        <v>27252300</v>
      </c>
      <c r="L775" s="597"/>
    </row>
    <row r="776" spans="1:12" s="742" customFormat="1" x14ac:dyDescent="0.2">
      <c r="A776" s="316">
        <v>64</v>
      </c>
      <c r="B776" s="736" t="s">
        <v>2868</v>
      </c>
      <c r="C776" s="747" t="s">
        <v>3508</v>
      </c>
      <c r="D776" s="737"/>
      <c r="E776" s="746" t="s">
        <v>974</v>
      </c>
      <c r="F776" s="746" t="s">
        <v>975</v>
      </c>
      <c r="G776" s="740"/>
      <c r="H776" s="741">
        <v>44695</v>
      </c>
      <c r="I776" s="595">
        <f t="shared" si="57"/>
        <v>7539639.6396396393</v>
      </c>
      <c r="J776" s="595">
        <f t="shared" si="58"/>
        <v>829360.36036036036</v>
      </c>
      <c r="K776" s="596">
        <f>6994000+1375000</f>
        <v>8369000</v>
      </c>
      <c r="L776" s="597"/>
    </row>
    <row r="777" spans="1:12" s="742" customFormat="1" x14ac:dyDescent="0.2">
      <c r="A777" s="316">
        <v>65</v>
      </c>
      <c r="B777" s="736" t="s">
        <v>2870</v>
      </c>
      <c r="C777" s="747" t="s">
        <v>3215</v>
      </c>
      <c r="D777" s="737"/>
      <c r="E777" s="746" t="s">
        <v>1040</v>
      </c>
      <c r="F777" s="746" t="s">
        <v>1019</v>
      </c>
      <c r="G777" s="740"/>
      <c r="H777" s="749">
        <v>44698</v>
      </c>
      <c r="I777" s="595">
        <f t="shared" si="57"/>
        <v>8315354.9549549539</v>
      </c>
      <c r="J777" s="595">
        <f t="shared" si="58"/>
        <v>914689.04504504497</v>
      </c>
      <c r="K777" s="596">
        <v>9230044</v>
      </c>
      <c r="L777" s="597"/>
    </row>
    <row r="778" spans="1:12" s="742" customFormat="1" x14ac:dyDescent="0.2">
      <c r="A778" s="316">
        <v>66</v>
      </c>
      <c r="B778" s="736" t="s">
        <v>2871</v>
      </c>
      <c r="C778" s="747" t="s">
        <v>3029</v>
      </c>
      <c r="D778" s="737"/>
      <c r="E778" s="738" t="s">
        <v>1765</v>
      </c>
      <c r="F778" s="739" t="s">
        <v>579</v>
      </c>
      <c r="G778" s="740"/>
      <c r="H778" s="741">
        <v>44721</v>
      </c>
      <c r="I778" s="595">
        <f t="shared" si="57"/>
        <v>169210.8108108108</v>
      </c>
      <c r="J778" s="595">
        <f t="shared" si="58"/>
        <v>18613.189189189186</v>
      </c>
      <c r="K778" s="596">
        <v>187824</v>
      </c>
      <c r="L778" s="597"/>
    </row>
    <row r="779" spans="1:12" s="742" customFormat="1" x14ac:dyDescent="0.2">
      <c r="A779" s="316">
        <v>67</v>
      </c>
      <c r="B779" s="736" t="s">
        <v>2872</v>
      </c>
      <c r="C779" s="747" t="s">
        <v>3030</v>
      </c>
      <c r="D779" s="737"/>
      <c r="E779" s="738" t="s">
        <v>1072</v>
      </c>
      <c r="F779" s="739" t="s">
        <v>1058</v>
      </c>
      <c r="G779" s="740"/>
      <c r="H779" s="741">
        <v>44698</v>
      </c>
      <c r="I779" s="595">
        <f t="shared" si="57"/>
        <v>670270.27027027018</v>
      </c>
      <c r="J779" s="595">
        <f t="shared" si="58"/>
        <v>73729.729729729719</v>
      </c>
      <c r="K779" s="596">
        <v>744000</v>
      </c>
      <c r="L779" s="597"/>
    </row>
    <row r="780" spans="1:12" s="742" customFormat="1" x14ac:dyDescent="0.2">
      <c r="A780" s="316">
        <v>68</v>
      </c>
      <c r="B780" s="736" t="s">
        <v>2873</v>
      </c>
      <c r="C780" s="747" t="s">
        <v>3133</v>
      </c>
      <c r="D780" s="737"/>
      <c r="E780" s="738" t="s">
        <v>992</v>
      </c>
      <c r="F780" s="739" t="s">
        <v>993</v>
      </c>
      <c r="G780" s="740"/>
      <c r="H780" s="741">
        <v>44698</v>
      </c>
      <c r="I780" s="595">
        <f t="shared" si="57"/>
        <v>8934989.1891891882</v>
      </c>
      <c r="J780" s="595">
        <f t="shared" si="58"/>
        <v>982848.81081081065</v>
      </c>
      <c r="K780" s="596">
        <v>9917838</v>
      </c>
      <c r="L780" s="597"/>
    </row>
    <row r="781" spans="1:12" s="742" customFormat="1" x14ac:dyDescent="0.2">
      <c r="A781" s="316">
        <v>69</v>
      </c>
      <c r="B781" s="736" t="s">
        <v>2874</v>
      </c>
      <c r="C781" s="747" t="s">
        <v>3076</v>
      </c>
      <c r="D781" s="737"/>
      <c r="E781" s="738" t="s">
        <v>992</v>
      </c>
      <c r="F781" s="739" t="s">
        <v>673</v>
      </c>
      <c r="G781" s="740"/>
      <c r="H781" s="741">
        <v>44698</v>
      </c>
      <c r="I781" s="595">
        <f t="shared" si="57"/>
        <v>18899963.963963963</v>
      </c>
      <c r="J781" s="595">
        <f t="shared" si="58"/>
        <v>2078996.036036036</v>
      </c>
      <c r="K781" s="596">
        <v>20978960</v>
      </c>
      <c r="L781" s="597"/>
    </row>
    <row r="782" spans="1:12" s="742" customFormat="1" x14ac:dyDescent="0.2">
      <c r="A782" s="316">
        <v>70</v>
      </c>
      <c r="B782" s="736" t="s">
        <v>2875</v>
      </c>
      <c r="C782" s="747" t="s">
        <v>3031</v>
      </c>
      <c r="D782" s="737"/>
      <c r="E782" s="738" t="s">
        <v>1082</v>
      </c>
      <c r="F782" s="739" t="s">
        <v>1058</v>
      </c>
      <c r="G782" s="740"/>
      <c r="H782" s="741">
        <v>44698</v>
      </c>
      <c r="I782" s="595">
        <f t="shared" si="57"/>
        <v>2142097.297297297</v>
      </c>
      <c r="J782" s="595">
        <f t="shared" si="58"/>
        <v>235630.70270270266</v>
      </c>
      <c r="K782" s="596">
        <v>2377728</v>
      </c>
      <c r="L782" s="597"/>
    </row>
    <row r="783" spans="1:12" s="742" customFormat="1" x14ac:dyDescent="0.2">
      <c r="A783" s="316">
        <v>71</v>
      </c>
      <c r="B783" s="736" t="s">
        <v>2876</v>
      </c>
      <c r="C783" s="747" t="s">
        <v>3120</v>
      </c>
      <c r="D783" s="737"/>
      <c r="E783" s="738" t="s">
        <v>1007</v>
      </c>
      <c r="F783" s="739" t="s">
        <v>1008</v>
      </c>
      <c r="G783" s="740"/>
      <c r="H783" s="741">
        <v>44668</v>
      </c>
      <c r="I783" s="595">
        <f t="shared" si="57"/>
        <v>2536937.8378378376</v>
      </c>
      <c r="J783" s="595">
        <f t="shared" si="58"/>
        <v>279063.16216216213</v>
      </c>
      <c r="K783" s="596">
        <v>2816001</v>
      </c>
      <c r="L783" s="597"/>
    </row>
    <row r="784" spans="1:12" s="742" customFormat="1" x14ac:dyDescent="0.2">
      <c r="A784" s="316">
        <v>72</v>
      </c>
      <c r="B784" s="736" t="s">
        <v>2877</v>
      </c>
      <c r="C784" s="747" t="s">
        <v>3032</v>
      </c>
      <c r="D784" s="737"/>
      <c r="E784" s="738" t="s">
        <v>1020</v>
      </c>
      <c r="F784" s="739" t="s">
        <v>984</v>
      </c>
      <c r="G784" s="740"/>
      <c r="H784" s="741">
        <v>44695</v>
      </c>
      <c r="I784" s="595">
        <f t="shared" si="57"/>
        <v>2243682.8828828828</v>
      </c>
      <c r="J784" s="595">
        <f t="shared" si="58"/>
        <v>246805.1171171171</v>
      </c>
      <c r="K784" s="596">
        <v>2490488</v>
      </c>
      <c r="L784" s="597"/>
    </row>
    <row r="785" spans="1:12" s="742" customFormat="1" x14ac:dyDescent="0.2">
      <c r="A785" s="316">
        <v>73</v>
      </c>
      <c r="B785" s="736" t="s">
        <v>2878</v>
      </c>
      <c r="C785" s="747" t="s">
        <v>3148</v>
      </c>
      <c r="D785" s="737"/>
      <c r="E785" s="738" t="s">
        <v>1235</v>
      </c>
      <c r="F785" s="739" t="s">
        <v>1104</v>
      </c>
      <c r="G785" s="740"/>
      <c r="H785" s="741">
        <v>44698</v>
      </c>
      <c r="I785" s="595">
        <f t="shared" si="57"/>
        <v>3882611.7117117113</v>
      </c>
      <c r="J785" s="595">
        <f t="shared" si="58"/>
        <v>427087.28828828823</v>
      </c>
      <c r="K785" s="596">
        <v>4309699</v>
      </c>
      <c r="L785" s="597"/>
    </row>
    <row r="786" spans="1:12" s="742" customFormat="1" x14ac:dyDescent="0.2">
      <c r="A786" s="316">
        <v>74</v>
      </c>
      <c r="B786" s="736" t="s">
        <v>2879</v>
      </c>
      <c r="C786" s="747" t="s">
        <v>3033</v>
      </c>
      <c r="D786" s="737"/>
      <c r="E786" s="738" t="s">
        <v>1057</v>
      </c>
      <c r="F786" s="739" t="s">
        <v>1058</v>
      </c>
      <c r="G786" s="740"/>
      <c r="H786" s="741">
        <v>44698</v>
      </c>
      <c r="I786" s="595">
        <f t="shared" si="57"/>
        <v>670270.27027027018</v>
      </c>
      <c r="J786" s="595">
        <f t="shared" si="58"/>
        <v>73729.729729729719</v>
      </c>
      <c r="K786" s="596">
        <v>744000</v>
      </c>
      <c r="L786" s="597"/>
    </row>
    <row r="787" spans="1:12" x14ac:dyDescent="0.2">
      <c r="A787" s="316">
        <v>75</v>
      </c>
      <c r="B787" s="591" t="s">
        <v>2881</v>
      </c>
      <c r="C787" s="747" t="s">
        <v>3042</v>
      </c>
      <c r="D787" s="586"/>
      <c r="E787" s="587" t="s">
        <v>3041</v>
      </c>
      <c r="F787" s="588" t="s">
        <v>2368</v>
      </c>
      <c r="G787" s="653"/>
      <c r="H787" s="599">
        <v>44690</v>
      </c>
      <c r="I787" s="595">
        <f t="shared" si="57"/>
        <v>3442627.9279279276</v>
      </c>
      <c r="J787" s="595">
        <f t="shared" si="58"/>
        <v>378689.07207207201</v>
      </c>
      <c r="K787" s="596">
        <v>3821317</v>
      </c>
      <c r="L787" s="597"/>
    </row>
    <row r="788" spans="1:12" s="742" customFormat="1" x14ac:dyDescent="0.2">
      <c r="A788" s="316">
        <v>76</v>
      </c>
      <c r="B788" s="736" t="s">
        <v>2882</v>
      </c>
      <c r="C788" s="747" t="s">
        <v>3522</v>
      </c>
      <c r="D788" s="737"/>
      <c r="E788" s="738" t="s">
        <v>3043</v>
      </c>
      <c r="F788" s="739" t="s">
        <v>987</v>
      </c>
      <c r="G788" s="740"/>
      <c r="H788" s="741">
        <v>44693</v>
      </c>
      <c r="I788" s="595">
        <f t="shared" si="57"/>
        <v>1179791.8918918918</v>
      </c>
      <c r="J788" s="595">
        <f t="shared" si="58"/>
        <v>129777.10810810811</v>
      </c>
      <c r="K788" s="596">
        <f>698681+610888</f>
        <v>1309569</v>
      </c>
      <c r="L788" s="597"/>
    </row>
    <row r="789" spans="1:12" s="742" customFormat="1" x14ac:dyDescent="0.2">
      <c r="A789" s="316">
        <v>77</v>
      </c>
      <c r="B789" s="736" t="s">
        <v>2883</v>
      </c>
      <c r="C789" s="747" t="s">
        <v>3044</v>
      </c>
      <c r="D789" s="737"/>
      <c r="E789" s="750" t="s">
        <v>2393</v>
      </c>
      <c r="F789" s="739" t="s">
        <v>3045</v>
      </c>
      <c r="G789" s="740"/>
      <c r="H789" s="741">
        <v>44698</v>
      </c>
      <c r="I789" s="595">
        <f t="shared" si="57"/>
        <v>540540.54054054047</v>
      </c>
      <c r="J789" s="595">
        <f t="shared" si="58"/>
        <v>59459.459459459453</v>
      </c>
      <c r="K789" s="596">
        <v>600000</v>
      </c>
      <c r="L789" s="597"/>
    </row>
    <row r="790" spans="1:12" s="742" customFormat="1" x14ac:dyDescent="0.2">
      <c r="A790" s="316">
        <v>78</v>
      </c>
      <c r="B790" s="736" t="s">
        <v>2884</v>
      </c>
      <c r="C790" s="747" t="s">
        <v>3046</v>
      </c>
      <c r="D790" s="737"/>
      <c r="E790" s="738" t="s">
        <v>3047</v>
      </c>
      <c r="F790" s="739" t="s">
        <v>590</v>
      </c>
      <c r="G790" s="740"/>
      <c r="H790" s="741">
        <v>44699</v>
      </c>
      <c r="I790" s="595">
        <f t="shared" si="57"/>
        <v>485585.58558558556</v>
      </c>
      <c r="J790" s="595">
        <f t="shared" si="58"/>
        <v>53414.414414414416</v>
      </c>
      <c r="K790" s="596">
        <v>539000</v>
      </c>
      <c r="L790" s="597"/>
    </row>
    <row r="791" spans="1:12" s="742" customFormat="1" x14ac:dyDescent="0.2">
      <c r="A791" s="316">
        <v>79</v>
      </c>
      <c r="B791" s="736" t="s">
        <v>2885</v>
      </c>
      <c r="C791" s="747" t="s">
        <v>3048</v>
      </c>
      <c r="D791" s="737"/>
      <c r="E791" s="738" t="s">
        <v>1783</v>
      </c>
      <c r="F791" s="739" t="s">
        <v>1008</v>
      </c>
      <c r="G791" s="740"/>
      <c r="H791" s="741">
        <v>44699</v>
      </c>
      <c r="I791" s="595">
        <f t="shared" si="57"/>
        <v>260789.18918918917</v>
      </c>
      <c r="J791" s="595">
        <f t="shared" si="58"/>
        <v>28686.81081081081</v>
      </c>
      <c r="K791" s="596">
        <v>289476</v>
      </c>
      <c r="L791" s="597"/>
    </row>
    <row r="792" spans="1:12" s="742" customFormat="1" x14ac:dyDescent="0.2">
      <c r="A792" s="316">
        <v>80</v>
      </c>
      <c r="B792" s="736" t="s">
        <v>2888</v>
      </c>
      <c r="C792" s="747" t="s">
        <v>3091</v>
      </c>
      <c r="D792" s="737"/>
      <c r="E792" s="738" t="s">
        <v>981</v>
      </c>
      <c r="F792" s="739" t="s">
        <v>980</v>
      </c>
      <c r="G792" s="740"/>
      <c r="H792" s="741">
        <v>44677</v>
      </c>
      <c r="I792" s="595">
        <f t="shared" si="57"/>
        <v>24662075.675675675</v>
      </c>
      <c r="J792" s="595">
        <f t="shared" si="58"/>
        <v>2712828.3243243243</v>
      </c>
      <c r="K792" s="596">
        <v>27374904</v>
      </c>
      <c r="L792" s="597"/>
    </row>
    <row r="793" spans="1:12" s="742" customFormat="1" x14ac:dyDescent="0.2">
      <c r="A793" s="316">
        <v>81</v>
      </c>
      <c r="B793" s="736" t="s">
        <v>2889</v>
      </c>
      <c r="C793" s="747" t="s">
        <v>3283</v>
      </c>
      <c r="D793" s="737"/>
      <c r="E793" s="738" t="s">
        <v>1760</v>
      </c>
      <c r="F793" s="739" t="s">
        <v>606</v>
      </c>
      <c r="G793" s="740"/>
      <c r="H793" s="741">
        <v>44700</v>
      </c>
      <c r="I793" s="595">
        <f t="shared" si="57"/>
        <v>12006335.135135135</v>
      </c>
      <c r="J793" s="595">
        <f t="shared" si="58"/>
        <v>1320696.8648648649</v>
      </c>
      <c r="K793" s="596">
        <f>10113600+3213432</f>
        <v>13327032</v>
      </c>
      <c r="L793" s="597"/>
    </row>
    <row r="794" spans="1:12" s="742" customFormat="1" x14ac:dyDescent="0.2">
      <c r="A794" s="316">
        <v>82</v>
      </c>
      <c r="B794" s="736" t="s">
        <v>2890</v>
      </c>
      <c r="C794" s="747" t="s">
        <v>3137</v>
      </c>
      <c r="D794" s="737"/>
      <c r="E794" s="738" t="s">
        <v>1727</v>
      </c>
      <c r="F794" s="739" t="s">
        <v>987</v>
      </c>
      <c r="G794" s="740"/>
      <c r="H794" s="741">
        <v>44700</v>
      </c>
      <c r="I794" s="595">
        <f t="shared" si="57"/>
        <v>7724389.1891891882</v>
      </c>
      <c r="J794" s="595">
        <f t="shared" si="58"/>
        <v>849682.81081081065</v>
      </c>
      <c r="K794" s="596">
        <v>8574072</v>
      </c>
      <c r="L794" s="597"/>
    </row>
    <row r="795" spans="1:12" s="742" customFormat="1" x14ac:dyDescent="0.2">
      <c r="A795" s="316">
        <v>83</v>
      </c>
      <c r="B795" s="736" t="s">
        <v>2891</v>
      </c>
      <c r="C795" s="747" t="s">
        <v>3211</v>
      </c>
      <c r="D795" s="737"/>
      <c r="E795" s="738" t="s">
        <v>1023</v>
      </c>
      <c r="F795" s="739" t="s">
        <v>1025</v>
      </c>
      <c r="G795" s="740"/>
      <c r="H795" s="741">
        <v>44700</v>
      </c>
      <c r="I795" s="595">
        <f t="shared" si="57"/>
        <v>16907264.864864863</v>
      </c>
      <c r="J795" s="595">
        <f t="shared" si="58"/>
        <v>1859799.1351351349</v>
      </c>
      <c r="K795" s="596">
        <v>18767064</v>
      </c>
      <c r="L795" s="597"/>
    </row>
    <row r="796" spans="1:12" s="742" customFormat="1" x14ac:dyDescent="0.2">
      <c r="A796" s="316">
        <v>84</v>
      </c>
      <c r="B796" s="736" t="s">
        <v>2892</v>
      </c>
      <c r="C796" s="747" t="s">
        <v>3066</v>
      </c>
      <c r="D796" s="737"/>
      <c r="E796" s="738" t="s">
        <v>3067</v>
      </c>
      <c r="F796" s="739" t="s">
        <v>579</v>
      </c>
      <c r="G796" s="740"/>
      <c r="H796" s="741">
        <v>44700</v>
      </c>
      <c r="I796" s="595">
        <f t="shared" ref="I796:I840" si="65">K796/1.11</f>
        <v>172162.16216216216</v>
      </c>
      <c r="J796" s="595">
        <f t="shared" ref="J796:J840" si="66">I796*11%</f>
        <v>18937.837837837837</v>
      </c>
      <c r="K796" s="596">
        <v>191100</v>
      </c>
      <c r="L796" s="597"/>
    </row>
    <row r="797" spans="1:12" s="742" customFormat="1" x14ac:dyDescent="0.2">
      <c r="A797" s="316">
        <v>85</v>
      </c>
      <c r="B797" s="736" t="s">
        <v>2893</v>
      </c>
      <c r="C797" s="747" t="s">
        <v>3115</v>
      </c>
      <c r="D797" s="737"/>
      <c r="E797" s="738" t="s">
        <v>1016</v>
      </c>
      <c r="F797" s="739" t="s">
        <v>1017</v>
      </c>
      <c r="G797" s="740"/>
      <c r="H797" s="741">
        <v>44700</v>
      </c>
      <c r="I797" s="595">
        <f t="shared" si="65"/>
        <v>9811830.6306306291</v>
      </c>
      <c r="J797" s="595">
        <f t="shared" si="66"/>
        <v>1079301.3693693692</v>
      </c>
      <c r="K797" s="596">
        <v>10891132</v>
      </c>
      <c r="L797" s="597"/>
    </row>
    <row r="798" spans="1:12" s="742" customFormat="1" x14ac:dyDescent="0.2">
      <c r="A798" s="316">
        <v>86</v>
      </c>
      <c r="B798" s="736" t="s">
        <v>2894</v>
      </c>
      <c r="C798" s="747" t="s">
        <v>3218</v>
      </c>
      <c r="D798" s="737"/>
      <c r="E798" s="738" t="s">
        <v>1753</v>
      </c>
      <c r="F798" s="739" t="s">
        <v>1019</v>
      </c>
      <c r="G798" s="740"/>
      <c r="H798" s="741">
        <v>44699</v>
      </c>
      <c r="I798" s="595">
        <f t="shared" si="65"/>
        <v>19072763.963963963</v>
      </c>
      <c r="J798" s="595">
        <f t="shared" si="66"/>
        <v>2098004.036036036</v>
      </c>
      <c r="K798" s="596">
        <v>21170768</v>
      </c>
      <c r="L798" s="597"/>
    </row>
    <row r="799" spans="1:12" s="742" customFormat="1" x14ac:dyDescent="0.2">
      <c r="A799" s="316">
        <v>87</v>
      </c>
      <c r="B799" s="736" t="s">
        <v>2895</v>
      </c>
      <c r="C799" s="747" t="s">
        <v>3992</v>
      </c>
      <c r="D799" s="737"/>
      <c r="E799" s="738" t="s">
        <v>1791</v>
      </c>
      <c r="F799" s="739" t="s">
        <v>1015</v>
      </c>
      <c r="G799" s="740"/>
      <c r="H799" s="741">
        <v>44700</v>
      </c>
      <c r="I799" s="595">
        <f t="shared" si="65"/>
        <v>5701196.3963963958</v>
      </c>
      <c r="J799" s="595">
        <f t="shared" si="66"/>
        <v>627131.60360360355</v>
      </c>
      <c r="K799" s="596">
        <f>1950480+4377848</f>
        <v>6328328</v>
      </c>
      <c r="L799" s="597"/>
    </row>
    <row r="800" spans="1:12" s="742" customFormat="1" x14ac:dyDescent="0.2">
      <c r="A800" s="316">
        <v>88</v>
      </c>
      <c r="B800" s="736" t="s">
        <v>2899</v>
      </c>
      <c r="C800" s="598" t="s">
        <v>3131</v>
      </c>
      <c r="D800" s="737"/>
      <c r="E800" s="738" t="s">
        <v>2767</v>
      </c>
      <c r="F800" s="739" t="s">
        <v>620</v>
      </c>
      <c r="G800" s="740"/>
      <c r="H800" s="741">
        <v>44681</v>
      </c>
      <c r="I800" s="595">
        <f t="shared" si="65"/>
        <v>1301621.6216216215</v>
      </c>
      <c r="J800" s="595">
        <f t="shared" si="66"/>
        <v>143178.37837837837</v>
      </c>
      <c r="K800" s="596">
        <v>1444800</v>
      </c>
      <c r="L800" s="597"/>
    </row>
    <row r="801" spans="1:12" s="742" customFormat="1" x14ac:dyDescent="0.2">
      <c r="A801" s="316">
        <v>89</v>
      </c>
      <c r="B801" s="736" t="s">
        <v>2905</v>
      </c>
      <c r="C801" s="598" t="s">
        <v>3294</v>
      </c>
      <c r="D801" s="737"/>
      <c r="E801" s="738" t="s">
        <v>1014</v>
      </c>
      <c r="F801" s="739" t="s">
        <v>1015</v>
      </c>
      <c r="G801" s="740"/>
      <c r="H801" s="741">
        <v>44701</v>
      </c>
      <c r="I801" s="595">
        <f t="shared" si="65"/>
        <v>12102721.62162162</v>
      </c>
      <c r="J801" s="595">
        <f t="shared" si="66"/>
        <v>1331299.3783783782</v>
      </c>
      <c r="K801" s="596">
        <f>1890000+6705405+4838616</f>
        <v>13434021</v>
      </c>
      <c r="L801" s="597"/>
    </row>
    <row r="802" spans="1:12" x14ac:dyDescent="0.2">
      <c r="A802" s="316">
        <v>90</v>
      </c>
      <c r="B802" s="591" t="s">
        <v>2909</v>
      </c>
      <c r="C802" s="598" t="s">
        <v>3271</v>
      </c>
      <c r="D802" s="586"/>
      <c r="E802" s="587" t="s">
        <v>979</v>
      </c>
      <c r="F802" s="588" t="s">
        <v>980</v>
      </c>
      <c r="G802" s="653"/>
      <c r="H802" s="599">
        <v>44701</v>
      </c>
      <c r="I802" s="595">
        <f t="shared" si="65"/>
        <v>11003599.999999998</v>
      </c>
      <c r="J802" s="595">
        <f t="shared" si="66"/>
        <v>1210395.9999999998</v>
      </c>
      <c r="K802" s="596">
        <f>1496400+1145016+9572580</f>
        <v>12213996</v>
      </c>
      <c r="L802" s="597"/>
    </row>
    <row r="803" spans="1:12" x14ac:dyDescent="0.2">
      <c r="A803" s="316">
        <v>91</v>
      </c>
      <c r="B803" s="591" t="s">
        <v>2910</v>
      </c>
      <c r="C803" s="598" t="s">
        <v>3119</v>
      </c>
      <c r="D803" s="586"/>
      <c r="E803" s="587" t="s">
        <v>1739</v>
      </c>
      <c r="F803" s="588" t="s">
        <v>1328</v>
      </c>
      <c r="G803" s="653"/>
      <c r="H803" s="599">
        <v>44701</v>
      </c>
      <c r="I803" s="595">
        <f t="shared" si="65"/>
        <v>1340270.2702702701</v>
      </c>
      <c r="J803" s="595">
        <f t="shared" si="66"/>
        <v>147429.7297297297</v>
      </c>
      <c r="K803" s="596">
        <v>1487700</v>
      </c>
      <c r="L803" s="597"/>
    </row>
    <row r="804" spans="1:12" x14ac:dyDescent="0.2">
      <c r="A804" s="316">
        <v>92</v>
      </c>
      <c r="B804" s="591" t="s">
        <v>2911</v>
      </c>
      <c r="C804" s="598" t="s">
        <v>3263</v>
      </c>
      <c r="D804" s="586"/>
      <c r="E804" s="593" t="s">
        <v>1756</v>
      </c>
      <c r="F804" s="593" t="s">
        <v>673</v>
      </c>
      <c r="G804" s="653"/>
      <c r="H804" s="594">
        <v>44702</v>
      </c>
      <c r="I804" s="595">
        <f t="shared" si="65"/>
        <v>3771408.1081081079</v>
      </c>
      <c r="J804" s="595">
        <f t="shared" si="66"/>
        <v>414854.89189189189</v>
      </c>
      <c r="K804" s="596">
        <f>2354670+668622+1162971</f>
        <v>4186263</v>
      </c>
      <c r="L804" s="597"/>
    </row>
    <row r="805" spans="1:12" x14ac:dyDescent="0.2">
      <c r="A805" s="316">
        <v>93</v>
      </c>
      <c r="B805" s="591" t="s">
        <v>2912</v>
      </c>
      <c r="C805" s="598" t="s">
        <v>3122</v>
      </c>
      <c r="D805" s="586"/>
      <c r="E805" s="593" t="s">
        <v>1220</v>
      </c>
      <c r="F805" s="593" t="s">
        <v>1221</v>
      </c>
      <c r="G805" s="653"/>
      <c r="H805" s="594">
        <v>44702</v>
      </c>
      <c r="I805" s="595">
        <f t="shared" si="65"/>
        <v>7291461.2612612611</v>
      </c>
      <c r="J805" s="595">
        <f t="shared" si="66"/>
        <v>802060.7387387387</v>
      </c>
      <c r="K805" s="596">
        <v>8093522</v>
      </c>
      <c r="L805" s="597"/>
    </row>
    <row r="806" spans="1:12" x14ac:dyDescent="0.2">
      <c r="A806" s="316">
        <v>94</v>
      </c>
      <c r="B806" s="591" t="s">
        <v>2913</v>
      </c>
      <c r="C806" s="598" t="s">
        <v>3130</v>
      </c>
      <c r="D806" s="586"/>
      <c r="E806" s="587" t="s">
        <v>2790</v>
      </c>
      <c r="F806" s="588" t="s">
        <v>1042</v>
      </c>
      <c r="G806" s="653"/>
      <c r="H806" s="599">
        <v>44702</v>
      </c>
      <c r="I806" s="595">
        <f t="shared" si="65"/>
        <v>3148972.9729729728</v>
      </c>
      <c r="J806" s="595">
        <f t="shared" si="66"/>
        <v>346387.02702702698</v>
      </c>
      <c r="K806" s="596">
        <v>3495360</v>
      </c>
      <c r="L806" s="597"/>
    </row>
    <row r="807" spans="1:12" x14ac:dyDescent="0.2">
      <c r="A807" s="316">
        <v>95</v>
      </c>
      <c r="B807" s="591" t="s">
        <v>2914</v>
      </c>
      <c r="C807" s="598" t="s">
        <v>3134</v>
      </c>
      <c r="D807" s="737"/>
      <c r="E807" s="738" t="s">
        <v>970</v>
      </c>
      <c r="F807" s="739" t="s">
        <v>971</v>
      </c>
      <c r="G807" s="653"/>
      <c r="H807" s="599">
        <v>44702</v>
      </c>
      <c r="I807" s="595">
        <f t="shared" si="65"/>
        <v>6250281.0810810803</v>
      </c>
      <c r="J807" s="595">
        <f t="shared" si="66"/>
        <v>687530.91891891882</v>
      </c>
      <c r="K807" s="596">
        <v>6937812</v>
      </c>
      <c r="L807" s="597"/>
    </row>
    <row r="808" spans="1:12" x14ac:dyDescent="0.2">
      <c r="A808" s="316">
        <v>96</v>
      </c>
      <c r="B808" s="591" t="s">
        <v>2915</v>
      </c>
      <c r="C808" s="598" t="s">
        <v>3128</v>
      </c>
      <c r="D808" s="586"/>
      <c r="E808" s="587" t="s">
        <v>976</v>
      </c>
      <c r="F808" s="588" t="s">
        <v>977</v>
      </c>
      <c r="G808" s="653"/>
      <c r="H808" s="599">
        <v>44702</v>
      </c>
      <c r="I808" s="595">
        <f t="shared" si="65"/>
        <v>159135.13513513512</v>
      </c>
      <c r="J808" s="595">
        <f t="shared" si="66"/>
        <v>17504.864864864863</v>
      </c>
      <c r="K808" s="596">
        <v>176640</v>
      </c>
      <c r="L808" s="597" t="s">
        <v>3129</v>
      </c>
    </row>
    <row r="809" spans="1:12" x14ac:dyDescent="0.2">
      <c r="A809" s="316">
        <v>97</v>
      </c>
      <c r="B809" s="591" t="s">
        <v>2916</v>
      </c>
      <c r="C809" s="598" t="s">
        <v>3132</v>
      </c>
      <c r="D809" s="586"/>
      <c r="E809" s="587" t="s">
        <v>1001</v>
      </c>
      <c r="F809" s="588" t="s">
        <v>590</v>
      </c>
      <c r="G809" s="653"/>
      <c r="H809" s="599">
        <v>44702</v>
      </c>
      <c r="I809" s="595">
        <f t="shared" si="65"/>
        <v>317967.56756756752</v>
      </c>
      <c r="J809" s="595">
        <f t="shared" si="66"/>
        <v>34976.432432432426</v>
      </c>
      <c r="K809" s="596">
        <v>352944</v>
      </c>
      <c r="L809" s="597"/>
    </row>
    <row r="810" spans="1:12" x14ac:dyDescent="0.2">
      <c r="A810" s="316">
        <v>98</v>
      </c>
      <c r="B810" s="591" t="s">
        <v>2917</v>
      </c>
      <c r="C810" s="598" t="s">
        <v>3281</v>
      </c>
      <c r="D810" s="586"/>
      <c r="E810" s="587" t="s">
        <v>1078</v>
      </c>
      <c r="F810" s="588" t="s">
        <v>1061</v>
      </c>
      <c r="G810" s="653"/>
      <c r="H810" s="599">
        <v>44702</v>
      </c>
      <c r="I810" s="595">
        <f t="shared" si="65"/>
        <v>6910248.6486486476</v>
      </c>
      <c r="J810" s="595">
        <f t="shared" si="66"/>
        <v>760127.35135135124</v>
      </c>
      <c r="K810" s="596">
        <f>3324240+4346136</f>
        <v>7670376</v>
      </c>
      <c r="L810" s="597"/>
    </row>
    <row r="811" spans="1:12" x14ac:dyDescent="0.2">
      <c r="A811" s="316">
        <v>99</v>
      </c>
      <c r="B811" s="591" t="s">
        <v>2918</v>
      </c>
      <c r="C811" s="598" t="s">
        <v>3292</v>
      </c>
      <c r="D811" s="586"/>
      <c r="E811" s="587" t="s">
        <v>976</v>
      </c>
      <c r="F811" s="588" t="s">
        <v>977</v>
      </c>
      <c r="G811" s="653"/>
      <c r="H811" s="599">
        <v>44704</v>
      </c>
      <c r="I811" s="595">
        <f t="shared" si="65"/>
        <v>7697772.9729729723</v>
      </c>
      <c r="J811" s="595">
        <f t="shared" si="66"/>
        <v>846755.02702702698</v>
      </c>
      <c r="K811" s="596">
        <f>2770200+2523960+3250368</f>
        <v>8544528</v>
      </c>
      <c r="L811" s="597"/>
    </row>
    <row r="812" spans="1:12" x14ac:dyDescent="0.2">
      <c r="A812" s="316">
        <v>100</v>
      </c>
      <c r="B812" s="591" t="s">
        <v>2919</v>
      </c>
      <c r="C812" s="598" t="s">
        <v>3291</v>
      </c>
      <c r="D812" s="737"/>
      <c r="E812" s="738" t="s">
        <v>1063</v>
      </c>
      <c r="F812" s="739" t="s">
        <v>993</v>
      </c>
      <c r="G812" s="737"/>
      <c r="H812" s="741">
        <v>44704</v>
      </c>
      <c r="I812" s="595">
        <f t="shared" si="65"/>
        <v>4856778.3783783782</v>
      </c>
      <c r="J812" s="595">
        <f t="shared" si="66"/>
        <v>534245.62162162166</v>
      </c>
      <c r="K812" s="596">
        <f>4949424+441600</f>
        <v>5391024</v>
      </c>
      <c r="L812" s="597"/>
    </row>
    <row r="813" spans="1:12" x14ac:dyDescent="0.2">
      <c r="A813" s="316">
        <v>101</v>
      </c>
      <c r="B813" s="591" t="s">
        <v>2920</v>
      </c>
      <c r="C813" s="598" t="s">
        <v>3135</v>
      </c>
      <c r="D813" s="586"/>
      <c r="E813" s="587" t="s">
        <v>1090</v>
      </c>
      <c r="F813" s="588" t="s">
        <v>606</v>
      </c>
      <c r="G813" s="653"/>
      <c r="H813" s="599">
        <v>44704</v>
      </c>
      <c r="I813" s="595">
        <f t="shared" si="65"/>
        <v>6881859.4594594585</v>
      </c>
      <c r="J813" s="595">
        <f t="shared" si="66"/>
        <v>757004.54054054047</v>
      </c>
      <c r="K813" s="596">
        <v>7638864</v>
      </c>
      <c r="L813" s="597"/>
    </row>
    <row r="814" spans="1:12" x14ac:dyDescent="0.2">
      <c r="A814" s="316">
        <v>102</v>
      </c>
      <c r="B814" s="591" t="s">
        <v>2921</v>
      </c>
      <c r="C814" s="598" t="s">
        <v>3216</v>
      </c>
      <c r="D814" s="586"/>
      <c r="E814" s="587" t="s">
        <v>1288</v>
      </c>
      <c r="F814" s="588" t="s">
        <v>1221</v>
      </c>
      <c r="G814" s="653"/>
      <c r="H814" s="599">
        <v>44704</v>
      </c>
      <c r="I814" s="595">
        <f t="shared" si="65"/>
        <v>9855145.9459459446</v>
      </c>
      <c r="J814" s="595">
        <f t="shared" si="66"/>
        <v>1084066.054054054</v>
      </c>
      <c r="K814" s="596">
        <v>10939212</v>
      </c>
      <c r="L814" s="597"/>
    </row>
    <row r="815" spans="1:12" x14ac:dyDescent="0.2">
      <c r="A815" s="316">
        <v>103</v>
      </c>
      <c r="B815" s="591" t="s">
        <v>2922</v>
      </c>
      <c r="C815" s="598" t="s">
        <v>3278</v>
      </c>
      <c r="D815" s="586"/>
      <c r="E815" s="587" t="s">
        <v>1068</v>
      </c>
      <c r="F815" s="588" t="s">
        <v>1058</v>
      </c>
      <c r="G815" s="653"/>
      <c r="H815" s="599">
        <v>44705</v>
      </c>
      <c r="I815" s="595">
        <f t="shared" si="65"/>
        <v>5390659.4594594594</v>
      </c>
      <c r="J815" s="595">
        <f t="shared" si="66"/>
        <v>592972.54054054059</v>
      </c>
      <c r="K815" s="596">
        <f>2770200+3213432</f>
        <v>5983632</v>
      </c>
      <c r="L815" s="597"/>
    </row>
    <row r="816" spans="1:12" x14ac:dyDescent="0.2">
      <c r="A816" s="316">
        <v>104</v>
      </c>
      <c r="B816" s="591" t="s">
        <v>2923</v>
      </c>
      <c r="C816" s="602" t="s">
        <v>3279</v>
      </c>
      <c r="D816" s="603"/>
      <c r="E816" s="604" t="s">
        <v>1054</v>
      </c>
      <c r="F816" s="605" t="s">
        <v>1055</v>
      </c>
      <c r="G816" s="653"/>
      <c r="H816" s="606">
        <v>44705</v>
      </c>
      <c r="I816" s="595">
        <f t="shared" si="65"/>
        <v>7291070.2702702694</v>
      </c>
      <c r="J816" s="595">
        <f t="shared" si="66"/>
        <v>802017.72972972959</v>
      </c>
      <c r="K816" s="596">
        <f>3073896+1805760+3213432</f>
        <v>8093088</v>
      </c>
      <c r="L816" s="597"/>
    </row>
    <row r="817" spans="1:12" x14ac:dyDescent="0.2">
      <c r="A817" s="316">
        <v>105</v>
      </c>
      <c r="B817" s="591" t="s">
        <v>2924</v>
      </c>
      <c r="C817" s="598" t="s">
        <v>3138</v>
      </c>
      <c r="D817" s="586"/>
      <c r="E817" s="593" t="s">
        <v>1083</v>
      </c>
      <c r="F817" s="593" t="s">
        <v>1084</v>
      </c>
      <c r="G817" s="653"/>
      <c r="H817" s="599">
        <v>44706</v>
      </c>
      <c r="I817" s="595">
        <f t="shared" si="65"/>
        <v>723745.94594594592</v>
      </c>
      <c r="J817" s="595">
        <f t="shared" si="66"/>
        <v>79612.054054054053</v>
      </c>
      <c r="K817" s="596">
        <v>803358</v>
      </c>
      <c r="L817" s="597"/>
    </row>
    <row r="818" spans="1:12" x14ac:dyDescent="0.2">
      <c r="A818" s="316">
        <v>106</v>
      </c>
      <c r="B818" s="591" t="s">
        <v>2925</v>
      </c>
      <c r="C818" s="598" t="s">
        <v>3143</v>
      </c>
      <c r="D818" s="586"/>
      <c r="E818" s="587" t="s">
        <v>1052</v>
      </c>
      <c r="F818" s="588" t="s">
        <v>1017</v>
      </c>
      <c r="G818" s="653"/>
      <c r="H818" s="599">
        <v>44706</v>
      </c>
      <c r="I818" s="595">
        <f t="shared" si="65"/>
        <v>1309459.4594594594</v>
      </c>
      <c r="J818" s="595">
        <f t="shared" si="66"/>
        <v>144040.54054054053</v>
      </c>
      <c r="K818" s="596">
        <v>1453500</v>
      </c>
      <c r="L818" s="597"/>
    </row>
    <row r="819" spans="1:12" x14ac:dyDescent="0.2">
      <c r="A819" s="316">
        <v>107</v>
      </c>
      <c r="B819" s="591" t="s">
        <v>2926</v>
      </c>
      <c r="C819" s="598" t="s">
        <v>3269</v>
      </c>
      <c r="D819" s="586"/>
      <c r="E819" s="587" t="s">
        <v>985</v>
      </c>
      <c r="F819" s="588" t="s">
        <v>426</v>
      </c>
      <c r="G819" s="653"/>
      <c r="H819" s="599">
        <v>44706</v>
      </c>
      <c r="I819" s="595">
        <f t="shared" si="65"/>
        <v>27229208.108108107</v>
      </c>
      <c r="J819" s="595">
        <f t="shared" si="66"/>
        <v>2995212.8918918916</v>
      </c>
      <c r="K819" s="596">
        <f>7556490+9880380+12787551</f>
        <v>30224421</v>
      </c>
      <c r="L819" s="597"/>
    </row>
    <row r="820" spans="1:12" x14ac:dyDescent="0.2">
      <c r="A820" s="316">
        <v>108</v>
      </c>
      <c r="B820" s="591" t="s">
        <v>2927</v>
      </c>
      <c r="C820" s="598" t="s">
        <v>3144</v>
      </c>
      <c r="D820" s="586"/>
      <c r="E820" s="587" t="s">
        <v>1120</v>
      </c>
      <c r="F820" s="588" t="s">
        <v>1099</v>
      </c>
      <c r="G820" s="653"/>
      <c r="H820" s="599">
        <v>44706</v>
      </c>
      <c r="I820" s="595">
        <f t="shared" si="65"/>
        <v>2210059.4594594594</v>
      </c>
      <c r="J820" s="595">
        <f t="shared" si="66"/>
        <v>243106.54054054053</v>
      </c>
      <c r="K820" s="596">
        <v>2453166</v>
      </c>
      <c r="L820" s="597"/>
    </row>
    <row r="821" spans="1:12" x14ac:dyDescent="0.2">
      <c r="A821" s="316">
        <v>109</v>
      </c>
      <c r="B821" s="591" t="s">
        <v>2928</v>
      </c>
      <c r="C821" s="598" t="s">
        <v>3214</v>
      </c>
      <c r="D821" s="586"/>
      <c r="E821" s="587" t="s">
        <v>1018</v>
      </c>
      <c r="F821" s="588" t="s">
        <v>1019</v>
      </c>
      <c r="G821" s="653"/>
      <c r="H821" s="599">
        <v>44706</v>
      </c>
      <c r="I821" s="595">
        <f t="shared" si="65"/>
        <v>2085275.6756756755</v>
      </c>
      <c r="J821" s="595">
        <f t="shared" si="66"/>
        <v>229380.32432432432</v>
      </c>
      <c r="K821" s="596">
        <v>2314656</v>
      </c>
      <c r="L821" s="597"/>
    </row>
    <row r="822" spans="1:12" x14ac:dyDescent="0.2">
      <c r="A822" s="316">
        <v>110</v>
      </c>
      <c r="B822" s="591" t="s">
        <v>2929</v>
      </c>
      <c r="C822" s="598" t="s">
        <v>3273</v>
      </c>
      <c r="D822" s="586"/>
      <c r="E822" s="587" t="s">
        <v>992</v>
      </c>
      <c r="F822" s="588" t="s">
        <v>993</v>
      </c>
      <c r="G822" s="653"/>
      <c r="H822" s="599">
        <v>44706</v>
      </c>
      <c r="I822" s="595">
        <f t="shared" si="65"/>
        <v>15643264.864864863</v>
      </c>
      <c r="J822" s="595">
        <f t="shared" si="66"/>
        <v>1720759.1351351349</v>
      </c>
      <c r="K822" s="596">
        <f>11761038+2672730+2930256</f>
        <v>17364024</v>
      </c>
      <c r="L822" s="597"/>
    </row>
    <row r="823" spans="1:12" x14ac:dyDescent="0.2">
      <c r="A823" s="316">
        <v>111</v>
      </c>
      <c r="B823" s="591" t="s">
        <v>2930</v>
      </c>
      <c r="C823" s="598" t="s">
        <v>3146</v>
      </c>
      <c r="D823" s="586"/>
      <c r="E823" s="587" t="s">
        <v>2489</v>
      </c>
      <c r="F823" s="588" t="s">
        <v>1025</v>
      </c>
      <c r="G823" s="653"/>
      <c r="H823" s="599">
        <v>44704</v>
      </c>
      <c r="I823" s="595">
        <f t="shared" si="65"/>
        <v>1348240.5405405404</v>
      </c>
      <c r="J823" s="595">
        <f t="shared" si="66"/>
        <v>148306.45945945944</v>
      </c>
      <c r="K823" s="596">
        <v>1496547</v>
      </c>
      <c r="L823" s="597"/>
    </row>
    <row r="824" spans="1:12" x14ac:dyDescent="0.2">
      <c r="A824" s="316">
        <v>112</v>
      </c>
      <c r="B824" s="591" t="s">
        <v>2931</v>
      </c>
      <c r="C824" s="598" t="s">
        <v>3147</v>
      </c>
      <c r="D824" s="586"/>
      <c r="E824" s="587" t="s">
        <v>1046</v>
      </c>
      <c r="F824" s="588" t="s">
        <v>1047</v>
      </c>
      <c r="G824" s="653"/>
      <c r="H824" s="599">
        <v>44706</v>
      </c>
      <c r="I824" s="595">
        <f t="shared" si="65"/>
        <v>846558.55855855846</v>
      </c>
      <c r="J824" s="595">
        <f t="shared" si="66"/>
        <v>93121.441441441435</v>
      </c>
      <c r="K824" s="596">
        <v>939680</v>
      </c>
      <c r="L824" s="597"/>
    </row>
    <row r="825" spans="1:12" x14ac:dyDescent="0.2">
      <c r="A825" s="316">
        <v>113</v>
      </c>
      <c r="B825" s="591" t="s">
        <v>2932</v>
      </c>
      <c r="C825" s="598" t="s">
        <v>3149</v>
      </c>
      <c r="D825" s="586"/>
      <c r="E825" s="587" t="s">
        <v>2367</v>
      </c>
      <c r="F825" s="588" t="s">
        <v>2368</v>
      </c>
      <c r="G825" s="653"/>
      <c r="H825" s="599">
        <v>44709</v>
      </c>
      <c r="I825" s="595">
        <f t="shared" si="65"/>
        <v>340151.3513513513</v>
      </c>
      <c r="J825" s="595">
        <f t="shared" si="66"/>
        <v>37416.648648648646</v>
      </c>
      <c r="K825" s="596">
        <v>377568</v>
      </c>
      <c r="L825" s="597"/>
    </row>
    <row r="826" spans="1:12" x14ac:dyDescent="0.2">
      <c r="A826" s="316">
        <v>114</v>
      </c>
      <c r="B826" s="591" t="s">
        <v>2933</v>
      </c>
      <c r="C826" s="598" t="s">
        <v>3150</v>
      </c>
      <c r="D826" s="586"/>
      <c r="E826" s="587" t="s">
        <v>3151</v>
      </c>
      <c r="F826" s="588" t="s">
        <v>1123</v>
      </c>
      <c r="G826" s="653"/>
      <c r="H826" s="599">
        <v>44705</v>
      </c>
      <c r="I826" s="595">
        <f t="shared" si="65"/>
        <v>34810.810810810806</v>
      </c>
      <c r="J826" s="595">
        <f t="shared" si="66"/>
        <v>3829.1891891891887</v>
      </c>
      <c r="K826" s="596">
        <v>38640</v>
      </c>
      <c r="L826" s="597"/>
    </row>
    <row r="827" spans="1:12" x14ac:dyDescent="0.2">
      <c r="A827" s="316">
        <v>115</v>
      </c>
      <c r="B827" s="591" t="s">
        <v>2934</v>
      </c>
      <c r="C827" s="602" t="s">
        <v>3153</v>
      </c>
      <c r="D827" s="603"/>
      <c r="E827" s="604" t="s">
        <v>1317</v>
      </c>
      <c r="F827" s="605" t="s">
        <v>966</v>
      </c>
      <c r="G827" s="653"/>
      <c r="H827" s="606">
        <v>44706</v>
      </c>
      <c r="I827" s="595">
        <f t="shared" si="65"/>
        <v>5265875.6756756753</v>
      </c>
      <c r="J827" s="595">
        <f t="shared" si="66"/>
        <v>579246.32432432426</v>
      </c>
      <c r="K827" s="596">
        <v>5845122</v>
      </c>
      <c r="L827" s="597"/>
    </row>
    <row r="828" spans="1:12" x14ac:dyDescent="0.2">
      <c r="A828" s="316">
        <v>116</v>
      </c>
      <c r="B828" s="591" t="s">
        <v>2935</v>
      </c>
      <c r="C828" s="598" t="s">
        <v>3516</v>
      </c>
      <c r="D828" s="586"/>
      <c r="E828" s="593" t="s">
        <v>2583</v>
      </c>
      <c r="F828" s="593" t="s">
        <v>966</v>
      </c>
      <c r="G828" s="653"/>
      <c r="H828" s="599">
        <v>44708</v>
      </c>
      <c r="I828" s="595">
        <f t="shared" si="65"/>
        <v>10262075.675675675</v>
      </c>
      <c r="J828" s="595">
        <f t="shared" si="66"/>
        <v>1128828.3243243243</v>
      </c>
      <c r="K828" s="596">
        <f>2700000+2449575+6241329</f>
        <v>11390904</v>
      </c>
      <c r="L828" s="597"/>
    </row>
    <row r="829" spans="1:12" x14ac:dyDescent="0.2">
      <c r="A829" s="316">
        <v>117</v>
      </c>
      <c r="B829" s="591" t="s">
        <v>2936</v>
      </c>
      <c r="C829" s="598" t="s">
        <v>3504</v>
      </c>
      <c r="D829" s="586"/>
      <c r="E829" s="587" t="s">
        <v>965</v>
      </c>
      <c r="F829" s="588" t="s">
        <v>966</v>
      </c>
      <c r="G829" s="653"/>
      <c r="H829" s="599">
        <v>44708</v>
      </c>
      <c r="I829" s="595">
        <f t="shared" si="65"/>
        <v>8687724.3243243229</v>
      </c>
      <c r="J829" s="595">
        <f t="shared" si="66"/>
        <v>955649.67567567551</v>
      </c>
      <c r="K829" s="596">
        <f>3521232+6122142</f>
        <v>9643374</v>
      </c>
      <c r="L829" s="597"/>
    </row>
    <row r="830" spans="1:12" x14ac:dyDescent="0.2">
      <c r="A830" s="316">
        <v>118</v>
      </c>
      <c r="B830" s="591" t="s">
        <v>2937</v>
      </c>
      <c r="C830" s="598" t="s">
        <v>3503</v>
      </c>
      <c r="D830" s="586"/>
      <c r="E830" s="587" t="s">
        <v>1062</v>
      </c>
      <c r="F830" s="588" t="s">
        <v>966</v>
      </c>
      <c r="G830" s="653"/>
      <c r="H830" s="599">
        <v>44708</v>
      </c>
      <c r="I830" s="595">
        <f t="shared" si="65"/>
        <v>15672381.081081079</v>
      </c>
      <c r="J830" s="595">
        <f t="shared" si="66"/>
        <v>1723961.9189189188</v>
      </c>
      <c r="K830" s="596">
        <f>6758775+10637568</f>
        <v>17396343</v>
      </c>
      <c r="L830" s="597"/>
    </row>
    <row r="831" spans="1:12" x14ac:dyDescent="0.2">
      <c r="A831" s="316">
        <v>119</v>
      </c>
      <c r="B831" s="591" t="s">
        <v>2939</v>
      </c>
      <c r="C831" s="598" t="s">
        <v>3505</v>
      </c>
      <c r="D831" s="586"/>
      <c r="E831" s="587" t="s">
        <v>969</v>
      </c>
      <c r="F831" s="588" t="s">
        <v>966</v>
      </c>
      <c r="G831" s="653"/>
      <c r="H831" s="599">
        <v>44708</v>
      </c>
      <c r="I831" s="595">
        <f t="shared" si="65"/>
        <v>28779145.945945945</v>
      </c>
      <c r="J831" s="595">
        <f t="shared" si="66"/>
        <v>3165706.054054054</v>
      </c>
      <c r="K831" s="596">
        <f>15426936+16517916</f>
        <v>31944852</v>
      </c>
      <c r="L831" s="597"/>
    </row>
    <row r="832" spans="1:12" x14ac:dyDescent="0.2">
      <c r="A832" s="316">
        <v>120</v>
      </c>
      <c r="B832" s="591" t="s">
        <v>2943</v>
      </c>
      <c r="C832" s="598" t="s">
        <v>3287</v>
      </c>
      <c r="D832" s="737"/>
      <c r="E832" s="738" t="s">
        <v>1238</v>
      </c>
      <c r="F832" s="739" t="s">
        <v>1042</v>
      </c>
      <c r="G832" s="737"/>
      <c r="H832" s="741">
        <v>44706</v>
      </c>
      <c r="I832" s="595">
        <f t="shared" si="65"/>
        <v>5909651.3513513505</v>
      </c>
      <c r="J832" s="595">
        <f t="shared" si="66"/>
        <v>650061.64864864852</v>
      </c>
      <c r="K832" s="596">
        <f>5499873+1059840</f>
        <v>6559713</v>
      </c>
      <c r="L832" s="597"/>
    </row>
    <row r="833" spans="1:12" x14ac:dyDescent="0.2">
      <c r="A833" s="316">
        <v>121</v>
      </c>
      <c r="B833" s="591" t="s">
        <v>2944</v>
      </c>
      <c r="C833" s="598" t="s">
        <v>2765</v>
      </c>
      <c r="D833" s="737"/>
      <c r="E833" s="738" t="s">
        <v>2766</v>
      </c>
      <c r="F833" s="739" t="s">
        <v>599</v>
      </c>
      <c r="G833" s="737"/>
      <c r="H833" s="741">
        <v>44707</v>
      </c>
      <c r="I833" s="595">
        <f t="shared" si="65"/>
        <v>1464129.7297297297</v>
      </c>
      <c r="J833" s="595">
        <f t="shared" si="66"/>
        <v>161054.27027027027</v>
      </c>
      <c r="K833" s="596">
        <v>1625184</v>
      </c>
      <c r="L833" s="597"/>
    </row>
    <row r="834" spans="1:12" x14ac:dyDescent="0.2">
      <c r="A834" s="316">
        <v>122</v>
      </c>
      <c r="B834" s="591" t="s">
        <v>2945</v>
      </c>
      <c r="C834" s="602" t="s">
        <v>3525</v>
      </c>
      <c r="D834" s="603"/>
      <c r="E834" s="604" t="s">
        <v>3043</v>
      </c>
      <c r="F834" s="605" t="s">
        <v>1008</v>
      </c>
      <c r="G834" s="653"/>
      <c r="H834" s="606">
        <v>44703</v>
      </c>
      <c r="I834" s="595">
        <f t="shared" si="65"/>
        <v>731968.4684684684</v>
      </c>
      <c r="J834" s="595">
        <f t="shared" si="66"/>
        <v>80516.531531531524</v>
      </c>
      <c r="K834" s="596">
        <f>234583+577902</f>
        <v>812485</v>
      </c>
      <c r="L834" s="597"/>
    </row>
    <row r="835" spans="1:12" x14ac:dyDescent="0.2">
      <c r="A835" s="316">
        <v>123</v>
      </c>
      <c r="B835" s="591" t="s">
        <v>2946</v>
      </c>
      <c r="C835" s="598" t="s">
        <v>3509</v>
      </c>
      <c r="D835" s="586"/>
      <c r="E835" s="593" t="s">
        <v>1315</v>
      </c>
      <c r="F835" s="593" t="s">
        <v>966</v>
      </c>
      <c r="G835" s="653"/>
      <c r="H835" s="599">
        <v>44708</v>
      </c>
      <c r="I835" s="595">
        <f t="shared" si="65"/>
        <v>29310324.324324321</v>
      </c>
      <c r="J835" s="595">
        <f t="shared" si="66"/>
        <v>3224135.6756756753</v>
      </c>
      <c r="K835" s="596">
        <f>2449575+15700365+14384520</f>
        <v>32534460</v>
      </c>
      <c r="L835" s="597"/>
    </row>
    <row r="836" spans="1:12" x14ac:dyDescent="0.2">
      <c r="A836" s="316">
        <v>124</v>
      </c>
      <c r="B836" s="591" t="s">
        <v>2951</v>
      </c>
      <c r="C836" s="598" t="s">
        <v>3207</v>
      </c>
      <c r="D836" s="586"/>
      <c r="E836" s="587" t="s">
        <v>1043</v>
      </c>
      <c r="F836" s="588" t="s">
        <v>620</v>
      </c>
      <c r="G836" s="586"/>
      <c r="H836" s="599">
        <v>44704</v>
      </c>
      <c r="I836" s="595">
        <f t="shared" ref="I836:I837" si="67">K836/1.11</f>
        <v>90509.009009008994</v>
      </c>
      <c r="J836" s="595">
        <f t="shared" ref="J836:J837" si="68">I836*11%</f>
        <v>9955.9909909909893</v>
      </c>
      <c r="K836" s="596">
        <v>100465</v>
      </c>
      <c r="L836" s="597"/>
    </row>
    <row r="837" spans="1:12" x14ac:dyDescent="0.2">
      <c r="A837" s="316">
        <v>125</v>
      </c>
      <c r="B837" s="591" t="s">
        <v>2952</v>
      </c>
      <c r="C837" s="598" t="s">
        <v>3210</v>
      </c>
      <c r="D837" s="586"/>
      <c r="E837" s="587" t="s">
        <v>3209</v>
      </c>
      <c r="F837" s="588" t="s">
        <v>996</v>
      </c>
      <c r="G837" s="586"/>
      <c r="H837" s="599">
        <v>44704</v>
      </c>
      <c r="I837" s="595">
        <f t="shared" si="67"/>
        <v>366756.75675675675</v>
      </c>
      <c r="J837" s="595">
        <f t="shared" si="68"/>
        <v>40343.24324324324</v>
      </c>
      <c r="K837" s="596">
        <v>407100</v>
      </c>
      <c r="L837" s="597"/>
    </row>
    <row r="838" spans="1:12" x14ac:dyDescent="0.2">
      <c r="A838" s="316">
        <v>126</v>
      </c>
      <c r="B838" s="591" t="s">
        <v>2953</v>
      </c>
      <c r="C838" s="598" t="s">
        <v>3213</v>
      </c>
      <c r="D838" s="586"/>
      <c r="E838" s="587" t="s">
        <v>2752</v>
      </c>
      <c r="F838" s="588" t="s">
        <v>1025</v>
      </c>
      <c r="G838" s="586"/>
      <c r="H838" s="599">
        <v>44704</v>
      </c>
      <c r="I838" s="595">
        <f t="shared" si="65"/>
        <v>1322931.5315315314</v>
      </c>
      <c r="J838" s="595">
        <f t="shared" si="66"/>
        <v>145522.46846846846</v>
      </c>
      <c r="K838" s="596">
        <v>1468454</v>
      </c>
      <c r="L838" s="597"/>
    </row>
    <row r="839" spans="1:12" x14ac:dyDescent="0.2">
      <c r="A839" s="316">
        <v>127</v>
      </c>
      <c r="B839" s="591" t="s">
        <v>2954</v>
      </c>
      <c r="C839" s="598" t="s">
        <v>3280</v>
      </c>
      <c r="D839" s="586"/>
      <c r="E839" s="587" t="s">
        <v>1060</v>
      </c>
      <c r="F839" s="588" t="s">
        <v>1061</v>
      </c>
      <c r="G839" s="586"/>
      <c r="H839" s="599">
        <v>44705</v>
      </c>
      <c r="I839" s="595">
        <f t="shared" si="65"/>
        <v>4085975.6756756753</v>
      </c>
      <c r="J839" s="595">
        <f t="shared" si="66"/>
        <v>449457.32432432426</v>
      </c>
      <c r="K839" s="596">
        <f>2301831+1145016+1088586</f>
        <v>4535433</v>
      </c>
      <c r="L839" s="597"/>
    </row>
    <row r="840" spans="1:12" x14ac:dyDescent="0.2">
      <c r="A840" s="316">
        <v>128</v>
      </c>
      <c r="B840" s="591" t="s">
        <v>2955</v>
      </c>
      <c r="C840" s="598" t="s">
        <v>3217</v>
      </c>
      <c r="D840" s="586"/>
      <c r="E840" s="587" t="s">
        <v>989</v>
      </c>
      <c r="F840" s="588" t="s">
        <v>990</v>
      </c>
      <c r="G840" s="586"/>
      <c r="H840" s="599">
        <v>44705</v>
      </c>
      <c r="I840" s="595">
        <f t="shared" si="65"/>
        <v>109405.4054054054</v>
      </c>
      <c r="J840" s="595">
        <f t="shared" si="66"/>
        <v>12034.594594594593</v>
      </c>
      <c r="K840" s="596">
        <v>121440</v>
      </c>
      <c r="L840" s="597"/>
    </row>
    <row r="841" spans="1:12" x14ac:dyDescent="0.2">
      <c r="A841" s="316">
        <v>129</v>
      </c>
      <c r="B841" s="591" t="s">
        <v>2956</v>
      </c>
      <c r="C841" s="602" t="s">
        <v>3270</v>
      </c>
      <c r="D841" s="603"/>
      <c r="E841" s="604" t="s">
        <v>970</v>
      </c>
      <c r="F841" s="605" t="s">
        <v>971</v>
      </c>
      <c r="G841" s="654"/>
      <c r="H841" s="606">
        <v>44708</v>
      </c>
      <c r="I841" s="595">
        <f t="shared" ref="I841:I870" si="69">K841/1.11</f>
        <v>4573864.8648648644</v>
      </c>
      <c r="J841" s="595">
        <f t="shared" ref="J841:J870" si="70">I841*11%</f>
        <v>503125.13513513509</v>
      </c>
      <c r="K841" s="596">
        <f>3324240+1752750</f>
        <v>5076990</v>
      </c>
      <c r="L841" s="597"/>
    </row>
    <row r="842" spans="1:12" x14ac:dyDescent="0.2">
      <c r="A842" s="316">
        <v>130</v>
      </c>
      <c r="B842" s="591" t="s">
        <v>2957</v>
      </c>
      <c r="C842" s="598" t="s">
        <v>3276</v>
      </c>
      <c r="D842" s="586"/>
      <c r="E842" s="593" t="s">
        <v>1189</v>
      </c>
      <c r="F842" s="593" t="s">
        <v>1191</v>
      </c>
      <c r="G842" s="586"/>
      <c r="H842" s="599">
        <v>44708</v>
      </c>
      <c r="I842" s="595">
        <f t="shared" si="69"/>
        <v>2324510.8108108104</v>
      </c>
      <c r="J842" s="595">
        <f t="shared" si="70"/>
        <v>255696.18918918914</v>
      </c>
      <c r="K842" s="596">
        <f>124989+1277370+1177848</f>
        <v>2580207</v>
      </c>
      <c r="L842" s="597"/>
    </row>
    <row r="843" spans="1:12" x14ac:dyDescent="0.2">
      <c r="A843" s="316">
        <v>131</v>
      </c>
      <c r="B843" s="591" t="s">
        <v>2958</v>
      </c>
      <c r="C843" s="598" t="s">
        <v>3221</v>
      </c>
      <c r="D843" s="586"/>
      <c r="E843" s="587" t="s">
        <v>1246</v>
      </c>
      <c r="F843" s="588" t="s">
        <v>579</v>
      </c>
      <c r="G843" s="586"/>
      <c r="H843" s="599">
        <v>44708</v>
      </c>
      <c r="I843" s="595">
        <f t="shared" si="69"/>
        <v>1131372.9729729728</v>
      </c>
      <c r="J843" s="595">
        <f t="shared" si="70"/>
        <v>124451.02702702701</v>
      </c>
      <c r="K843" s="596">
        <v>1255824</v>
      </c>
      <c r="L843" s="597"/>
    </row>
    <row r="844" spans="1:12" x14ac:dyDescent="0.2">
      <c r="A844" s="316">
        <v>132</v>
      </c>
      <c r="B844" s="591" t="s">
        <v>2959</v>
      </c>
      <c r="C844" s="598" t="s">
        <v>3222</v>
      </c>
      <c r="D844" s="586"/>
      <c r="E844" s="587" t="s">
        <v>1003</v>
      </c>
      <c r="F844" s="588" t="s">
        <v>984</v>
      </c>
      <c r="G844" s="586"/>
      <c r="H844" s="599">
        <v>44708</v>
      </c>
      <c r="I844" s="595">
        <f t="shared" si="69"/>
        <v>1857891.8918918918</v>
      </c>
      <c r="J844" s="595">
        <f t="shared" si="70"/>
        <v>204368.10810810811</v>
      </c>
      <c r="K844" s="596">
        <v>2062260</v>
      </c>
      <c r="L844" s="597"/>
    </row>
    <row r="845" spans="1:12" x14ac:dyDescent="0.2">
      <c r="A845" s="316">
        <v>133</v>
      </c>
      <c r="B845" s="591" t="s">
        <v>2960</v>
      </c>
      <c r="C845" s="598" t="s">
        <v>3223</v>
      </c>
      <c r="D845" s="586"/>
      <c r="E845" s="587" t="s">
        <v>992</v>
      </c>
      <c r="F845" s="588" t="s">
        <v>583</v>
      </c>
      <c r="G845" s="586"/>
      <c r="H845" s="599">
        <v>44711</v>
      </c>
      <c r="I845" s="595">
        <f t="shared" si="69"/>
        <v>1602778.3783783782</v>
      </c>
      <c r="J845" s="595">
        <f t="shared" si="70"/>
        <v>176305.6216216216</v>
      </c>
      <c r="K845" s="596">
        <v>1779084</v>
      </c>
      <c r="L845" s="597"/>
    </row>
    <row r="846" spans="1:12" x14ac:dyDescent="0.2">
      <c r="A846" s="316">
        <v>134</v>
      </c>
      <c r="B846" s="591" t="s">
        <v>2961</v>
      </c>
      <c r="C846" s="598" t="s">
        <v>3224</v>
      </c>
      <c r="D846" s="586"/>
      <c r="E846" s="587" t="s">
        <v>1288</v>
      </c>
      <c r="F846" s="588" t="s">
        <v>1221</v>
      </c>
      <c r="G846" s="586"/>
      <c r="H846" s="599">
        <v>44708</v>
      </c>
      <c r="I846" s="595">
        <f t="shared" si="69"/>
        <v>687697.29729729728</v>
      </c>
      <c r="J846" s="595">
        <f t="shared" si="70"/>
        <v>75646.702702702707</v>
      </c>
      <c r="K846" s="596">
        <v>763344</v>
      </c>
      <c r="L846" s="597"/>
    </row>
    <row r="847" spans="1:12" x14ac:dyDescent="0.2">
      <c r="A847" s="316">
        <v>135</v>
      </c>
      <c r="B847" s="591" t="s">
        <v>2962</v>
      </c>
      <c r="C847" s="598" t="s">
        <v>3225</v>
      </c>
      <c r="D847" s="586"/>
      <c r="E847" s="587" t="s">
        <v>1228</v>
      </c>
      <c r="F847" s="588" t="s">
        <v>1025</v>
      </c>
      <c r="G847" s="586"/>
      <c r="H847" s="599">
        <v>44708</v>
      </c>
      <c r="I847" s="595">
        <f t="shared" si="69"/>
        <v>668981.08108108107</v>
      </c>
      <c r="J847" s="595">
        <f t="shared" si="70"/>
        <v>73587.91891891892</v>
      </c>
      <c r="K847" s="596">
        <v>742569</v>
      </c>
      <c r="L847" s="597"/>
    </row>
    <row r="848" spans="1:12" x14ac:dyDescent="0.2">
      <c r="A848" s="316">
        <v>136</v>
      </c>
      <c r="B848" s="591" t="s">
        <v>2963</v>
      </c>
      <c r="C848" s="598" t="s">
        <v>3226</v>
      </c>
      <c r="D848" s="586"/>
      <c r="E848" s="587" t="s">
        <v>1712</v>
      </c>
      <c r="F848" s="588" t="s">
        <v>1094</v>
      </c>
      <c r="G848" s="586"/>
      <c r="H848" s="599">
        <v>44709</v>
      </c>
      <c r="I848" s="595">
        <f t="shared" si="69"/>
        <v>4972972.9729729723</v>
      </c>
      <c r="J848" s="595">
        <f t="shared" si="70"/>
        <v>547027.02702702698</v>
      </c>
      <c r="K848" s="596">
        <v>5520000</v>
      </c>
      <c r="L848" s="597"/>
    </row>
    <row r="849" spans="1:12" x14ac:dyDescent="0.2">
      <c r="A849" s="316">
        <v>137</v>
      </c>
      <c r="B849" s="591" t="s">
        <v>2964</v>
      </c>
      <c r="C849" s="598" t="s">
        <v>3272</v>
      </c>
      <c r="D849" s="586"/>
      <c r="E849" s="587" t="s">
        <v>992</v>
      </c>
      <c r="F849" s="588" t="s">
        <v>673</v>
      </c>
      <c r="G849" s="586"/>
      <c r="H849" s="599">
        <v>44709</v>
      </c>
      <c r="I849" s="595">
        <f t="shared" si="69"/>
        <v>8931616.2162162159</v>
      </c>
      <c r="J849" s="595">
        <f t="shared" si="70"/>
        <v>982477.78378378379</v>
      </c>
      <c r="K849" s="596">
        <f>1752750+6919344+1242000</f>
        <v>9914094</v>
      </c>
      <c r="L849" s="597"/>
    </row>
    <row r="850" spans="1:12" x14ac:dyDescent="0.2">
      <c r="A850" s="316">
        <v>138</v>
      </c>
      <c r="B850" s="591" t="s">
        <v>2965</v>
      </c>
      <c r="C850" s="598" t="s">
        <v>3506</v>
      </c>
      <c r="D850" s="586"/>
      <c r="E850" s="587" t="s">
        <v>1205</v>
      </c>
      <c r="F850" s="588" t="s">
        <v>1206</v>
      </c>
      <c r="G850" s="586"/>
      <c r="H850" s="599">
        <v>44709</v>
      </c>
      <c r="I850" s="595">
        <f t="shared" si="69"/>
        <v>592245.04504504497</v>
      </c>
      <c r="J850" s="595">
        <f t="shared" si="70"/>
        <v>65146.954954954948</v>
      </c>
      <c r="K850" s="596">
        <f>479142+178250</f>
        <v>657392</v>
      </c>
      <c r="L850" s="597"/>
    </row>
    <row r="851" spans="1:12" x14ac:dyDescent="0.2">
      <c r="A851" s="316">
        <v>139</v>
      </c>
      <c r="B851" s="591" t="s">
        <v>2966</v>
      </c>
      <c r="C851" s="598" t="s">
        <v>3301</v>
      </c>
      <c r="D851" s="586"/>
      <c r="E851" s="587" t="s">
        <v>978</v>
      </c>
      <c r="F851" s="588" t="s">
        <v>590</v>
      </c>
      <c r="G851" s="586"/>
      <c r="H851" s="599">
        <v>44709</v>
      </c>
      <c r="I851" s="595">
        <f t="shared" si="69"/>
        <v>20764021.62162162</v>
      </c>
      <c r="J851" s="595">
        <f t="shared" si="70"/>
        <v>2284042.3783783782</v>
      </c>
      <c r="K851" s="596">
        <f>13296960+3250368+6500736</f>
        <v>23048064</v>
      </c>
      <c r="L851" s="597"/>
    </row>
    <row r="852" spans="1:12" x14ac:dyDescent="0.2">
      <c r="A852" s="316">
        <v>140</v>
      </c>
      <c r="B852" s="591" t="s">
        <v>2967</v>
      </c>
      <c r="C852" s="602" t="s">
        <v>3261</v>
      </c>
      <c r="D852" s="603"/>
      <c r="E852" s="604" t="s">
        <v>1032</v>
      </c>
      <c r="F852" s="605" t="s">
        <v>1033</v>
      </c>
      <c r="G852" s="654"/>
      <c r="H852" s="606">
        <v>44709</v>
      </c>
      <c r="I852" s="595">
        <f t="shared" si="69"/>
        <v>1367837.8378378376</v>
      </c>
      <c r="J852" s="595">
        <f t="shared" si="70"/>
        <v>150462.16216216213</v>
      </c>
      <c r="K852" s="596">
        <v>1518300</v>
      </c>
      <c r="L852" s="597"/>
    </row>
    <row r="853" spans="1:12" x14ac:dyDescent="0.2">
      <c r="A853" s="316">
        <v>141</v>
      </c>
      <c r="B853" s="591" t="s">
        <v>2968</v>
      </c>
      <c r="C853" s="598" t="s">
        <v>3262</v>
      </c>
      <c r="D853" s="586"/>
      <c r="E853" s="587" t="s">
        <v>981</v>
      </c>
      <c r="F853" s="588" t="s">
        <v>980</v>
      </c>
      <c r="G853" s="586"/>
      <c r="H853" s="599">
        <v>44709</v>
      </c>
      <c r="I853" s="595">
        <f t="shared" si="69"/>
        <v>1336572.9729729728</v>
      </c>
      <c r="J853" s="595">
        <f t="shared" si="70"/>
        <v>147023.02702702701</v>
      </c>
      <c r="K853" s="596">
        <v>1483596</v>
      </c>
      <c r="L853" s="597"/>
    </row>
    <row r="854" spans="1:12" x14ac:dyDescent="0.2">
      <c r="A854" s="316">
        <v>142</v>
      </c>
      <c r="B854" s="591" t="s">
        <v>2969</v>
      </c>
      <c r="C854" s="598" t="s">
        <v>3264</v>
      </c>
      <c r="D854" s="586"/>
      <c r="E854" s="587" t="s">
        <v>1087</v>
      </c>
      <c r="F854" s="588" t="s">
        <v>1047</v>
      </c>
      <c r="G854" s="586"/>
      <c r="H854" s="599">
        <v>44711</v>
      </c>
      <c r="I854" s="595">
        <f t="shared" si="69"/>
        <v>820799.99999999988</v>
      </c>
      <c r="J854" s="595">
        <f t="shared" si="70"/>
        <v>90287.999999999985</v>
      </c>
      <c r="K854" s="596">
        <v>911088</v>
      </c>
      <c r="L854" s="597"/>
    </row>
    <row r="855" spans="1:12" x14ac:dyDescent="0.2">
      <c r="A855" s="316">
        <v>143</v>
      </c>
      <c r="B855" s="591" t="s">
        <v>2970</v>
      </c>
      <c r="C855" s="598" t="s">
        <v>3275</v>
      </c>
      <c r="D855" s="586"/>
      <c r="E855" s="587" t="s">
        <v>992</v>
      </c>
      <c r="F855" s="588" t="s">
        <v>1075</v>
      </c>
      <c r="G855" s="586"/>
      <c r="H855" s="599">
        <v>44711</v>
      </c>
      <c r="I855" s="595">
        <f t="shared" si="69"/>
        <v>14801205.405405404</v>
      </c>
      <c r="J855" s="595">
        <f t="shared" si="70"/>
        <v>1628132.5945945946</v>
      </c>
      <c r="K855" s="596">
        <f>1277370+6648480+8503488</f>
        <v>16429338</v>
      </c>
      <c r="L855" s="597"/>
    </row>
    <row r="856" spans="1:12" x14ac:dyDescent="0.2">
      <c r="A856" s="316">
        <v>144</v>
      </c>
      <c r="B856" s="591" t="s">
        <v>2971</v>
      </c>
      <c r="C856" s="598" t="s">
        <v>3265</v>
      </c>
      <c r="D856" s="586"/>
      <c r="E856" s="587" t="s">
        <v>1053</v>
      </c>
      <c r="F856" s="588" t="s">
        <v>620</v>
      </c>
      <c r="G856" s="586"/>
      <c r="H856" s="599">
        <v>44711</v>
      </c>
      <c r="I856" s="595">
        <f t="shared" si="69"/>
        <v>949743.2432432432</v>
      </c>
      <c r="J856" s="595">
        <f t="shared" si="70"/>
        <v>104471.75675675675</v>
      </c>
      <c r="K856" s="596">
        <v>1054215</v>
      </c>
      <c r="L856" s="597"/>
    </row>
    <row r="857" spans="1:12" x14ac:dyDescent="0.2">
      <c r="A857" s="316">
        <v>145</v>
      </c>
      <c r="B857" s="591" t="s">
        <v>2972</v>
      </c>
      <c r="C857" s="602" t="s">
        <v>3266</v>
      </c>
      <c r="D857" s="603"/>
      <c r="E857" s="604" t="s">
        <v>1325</v>
      </c>
      <c r="F857" s="605" t="s">
        <v>971</v>
      </c>
      <c r="G857" s="654"/>
      <c r="H857" s="606">
        <v>44708</v>
      </c>
      <c r="I857" s="595">
        <f t="shared" si="69"/>
        <v>882827.02702702698</v>
      </c>
      <c r="J857" s="595">
        <f t="shared" si="70"/>
        <v>97110.972972972973</v>
      </c>
      <c r="K857" s="596">
        <v>979938</v>
      </c>
      <c r="L857" s="597"/>
    </row>
    <row r="858" spans="1:12" x14ac:dyDescent="0.2">
      <c r="A858" s="316">
        <v>146</v>
      </c>
      <c r="B858" s="591" t="s">
        <v>2973</v>
      </c>
      <c r="C858" s="598" t="s">
        <v>3267</v>
      </c>
      <c r="D858" s="586"/>
      <c r="E858" s="587" t="s">
        <v>1744</v>
      </c>
      <c r="F858" s="588" t="s">
        <v>1745</v>
      </c>
      <c r="G858" s="586"/>
      <c r="H858" s="599">
        <v>44712</v>
      </c>
      <c r="I858" s="595">
        <f t="shared" si="69"/>
        <v>3057202.7027027025</v>
      </c>
      <c r="J858" s="595">
        <f t="shared" si="70"/>
        <v>336292.29729729728</v>
      </c>
      <c r="K858" s="596">
        <v>3393495</v>
      </c>
      <c r="L858" s="597"/>
    </row>
    <row r="859" spans="1:12" x14ac:dyDescent="0.2">
      <c r="A859" s="316">
        <v>147</v>
      </c>
      <c r="B859" s="591" t="s">
        <v>2974</v>
      </c>
      <c r="C859" s="598" t="s">
        <v>3303</v>
      </c>
      <c r="D859" s="586"/>
      <c r="E859" s="587" t="s">
        <v>992</v>
      </c>
      <c r="F859" s="588" t="s">
        <v>673</v>
      </c>
      <c r="G859" s="586"/>
      <c r="H859" s="599">
        <v>44712</v>
      </c>
      <c r="I859" s="595">
        <f t="shared" si="69"/>
        <v>44269135.135135129</v>
      </c>
      <c r="J859" s="595">
        <f t="shared" si="70"/>
        <v>4869604.8648648644</v>
      </c>
      <c r="K859" s="596">
        <f>45225396+3913344</f>
        <v>49138740</v>
      </c>
      <c r="L859" s="597"/>
    </row>
    <row r="860" spans="1:12" x14ac:dyDescent="0.2">
      <c r="A860" s="316">
        <v>148</v>
      </c>
      <c r="B860" s="591" t="s">
        <v>2975</v>
      </c>
      <c r="C860" s="598" t="s">
        <v>3274</v>
      </c>
      <c r="D860" s="586"/>
      <c r="E860" s="587" t="s">
        <v>985</v>
      </c>
      <c r="F860" s="588" t="s">
        <v>426</v>
      </c>
      <c r="G860" s="586"/>
      <c r="H860" s="599">
        <v>44712</v>
      </c>
      <c r="I860" s="595">
        <f t="shared" si="69"/>
        <v>7010075.6756756753</v>
      </c>
      <c r="J860" s="595">
        <f t="shared" si="70"/>
        <v>771108.32432432426</v>
      </c>
      <c r="K860" s="596">
        <v>7781184</v>
      </c>
      <c r="L860" s="597"/>
    </row>
    <row r="861" spans="1:12" x14ac:dyDescent="0.2">
      <c r="A861" s="316">
        <v>149</v>
      </c>
      <c r="B861" s="591" t="s">
        <v>2976</v>
      </c>
      <c r="C861" s="598" t="s">
        <v>3277</v>
      </c>
      <c r="D861" s="586"/>
      <c r="E861" s="587" t="s">
        <v>979</v>
      </c>
      <c r="F861" s="588" t="s">
        <v>980</v>
      </c>
      <c r="G861" s="586"/>
      <c r="H861" s="599">
        <v>44712</v>
      </c>
      <c r="I861" s="595">
        <f t="shared" si="69"/>
        <v>3658783.7837837837</v>
      </c>
      <c r="J861" s="595">
        <f t="shared" si="70"/>
        <v>402466.21621621621</v>
      </c>
      <c r="K861" s="596">
        <v>4061250</v>
      </c>
      <c r="L861" s="597"/>
    </row>
    <row r="862" spans="1:12" x14ac:dyDescent="0.2">
      <c r="A862" s="316">
        <v>150</v>
      </c>
      <c r="B862" s="591" t="s">
        <v>2977</v>
      </c>
      <c r="C862" s="598" t="s">
        <v>3293</v>
      </c>
      <c r="D862" s="586"/>
      <c r="E862" s="587" t="s">
        <v>995</v>
      </c>
      <c r="F862" s="588" t="s">
        <v>996</v>
      </c>
      <c r="G862" s="586"/>
      <c r="H862" s="599">
        <v>44712</v>
      </c>
      <c r="I862" s="595">
        <f t="shared" si="69"/>
        <v>9733135.1351351347</v>
      </c>
      <c r="J862" s="595">
        <f t="shared" si="70"/>
        <v>1070644.8648648649</v>
      </c>
      <c r="K862" s="596">
        <f>2523960+8279820</f>
        <v>10803780</v>
      </c>
      <c r="L862" s="597"/>
    </row>
    <row r="863" spans="1:12" x14ac:dyDescent="0.2">
      <c r="A863" s="316">
        <v>151</v>
      </c>
      <c r="B863" s="591" t="s">
        <v>3174</v>
      </c>
      <c r="C863" s="598" t="s">
        <v>427</v>
      </c>
      <c r="D863" s="586"/>
      <c r="E863" s="587" t="s">
        <v>1103</v>
      </c>
      <c r="F863" s="588" t="s">
        <v>1104</v>
      </c>
      <c r="G863" s="653"/>
      <c r="H863" s="599">
        <v>44712</v>
      </c>
      <c r="I863" s="595">
        <f t="shared" si="69"/>
        <v>3737967.5675675673</v>
      </c>
      <c r="J863" s="595">
        <f t="shared" si="70"/>
        <v>411176.43243243243</v>
      </c>
      <c r="K863" s="596">
        <v>4149144</v>
      </c>
      <c r="L863" s="597"/>
    </row>
    <row r="864" spans="1:12" x14ac:dyDescent="0.2">
      <c r="A864" s="316">
        <v>152</v>
      </c>
      <c r="B864" s="591" t="s">
        <v>3175</v>
      </c>
      <c r="C864" s="598" t="s">
        <v>3295</v>
      </c>
      <c r="D864" s="586"/>
      <c r="E864" s="587" t="s">
        <v>992</v>
      </c>
      <c r="F864" s="588" t="s">
        <v>993</v>
      </c>
      <c r="G864" s="586"/>
      <c r="H864" s="599">
        <v>44712</v>
      </c>
      <c r="I864" s="595">
        <f t="shared" si="69"/>
        <v>6767786.4864864862</v>
      </c>
      <c r="J864" s="595">
        <f t="shared" si="70"/>
        <v>744456.51351351349</v>
      </c>
      <c r="K864" s="596">
        <f>2609718+1725516+3177009</f>
        <v>7512243</v>
      </c>
      <c r="L864" s="597"/>
    </row>
    <row r="865" spans="1:12" x14ac:dyDescent="0.2">
      <c r="A865" s="316">
        <v>153</v>
      </c>
      <c r="B865" s="591" t="s">
        <v>3176</v>
      </c>
      <c r="C865" s="598" t="s">
        <v>3282</v>
      </c>
      <c r="D865" s="586"/>
      <c r="E865" s="587" t="s">
        <v>1189</v>
      </c>
      <c r="F865" s="588" t="s">
        <v>1191</v>
      </c>
      <c r="G865" s="586"/>
      <c r="H865" s="599">
        <v>44712</v>
      </c>
      <c r="I865" s="595">
        <f t="shared" si="69"/>
        <v>1275567.5675675673</v>
      </c>
      <c r="J865" s="595">
        <f t="shared" si="70"/>
        <v>140312.4324324324</v>
      </c>
      <c r="K865" s="596">
        <v>1415880</v>
      </c>
      <c r="L865" s="597"/>
    </row>
    <row r="866" spans="1:12" x14ac:dyDescent="0.2">
      <c r="A866" s="316">
        <v>154</v>
      </c>
      <c r="B866" s="591" t="s">
        <v>3177</v>
      </c>
      <c r="C866" s="598" t="s">
        <v>585</v>
      </c>
      <c r="D866" s="586"/>
      <c r="E866" s="587" t="s">
        <v>1021</v>
      </c>
      <c r="F866" s="588" t="s">
        <v>1022</v>
      </c>
      <c r="G866" s="586"/>
      <c r="H866" s="599">
        <v>44712</v>
      </c>
      <c r="I866" s="595">
        <f t="shared" si="69"/>
        <v>465628.82882882882</v>
      </c>
      <c r="J866" s="595">
        <f t="shared" si="70"/>
        <v>51219.171171171169</v>
      </c>
      <c r="K866" s="596">
        <v>516848</v>
      </c>
      <c r="L866" s="597"/>
    </row>
    <row r="867" spans="1:12" x14ac:dyDescent="0.2">
      <c r="A867" s="316">
        <v>155</v>
      </c>
      <c r="B867" s="591" t="s">
        <v>3178</v>
      </c>
      <c r="C867" s="598" t="s">
        <v>3286</v>
      </c>
      <c r="D867" s="586"/>
      <c r="E867" s="587" t="s">
        <v>992</v>
      </c>
      <c r="F867" s="588" t="s">
        <v>1075</v>
      </c>
      <c r="G867" s="586"/>
      <c r="H867" s="599">
        <v>44712</v>
      </c>
      <c r="I867" s="595">
        <f t="shared" si="69"/>
        <v>2894983.7837837837</v>
      </c>
      <c r="J867" s="595">
        <f t="shared" si="70"/>
        <v>318448.21621621621</v>
      </c>
      <c r="K867" s="596">
        <v>3213432</v>
      </c>
      <c r="L867" s="597"/>
    </row>
    <row r="868" spans="1:12" x14ac:dyDescent="0.2">
      <c r="A868" s="316">
        <v>156</v>
      </c>
      <c r="B868" s="591" t="s">
        <v>3179</v>
      </c>
      <c r="C868" s="598" t="s">
        <v>3288</v>
      </c>
      <c r="D868" s="586"/>
      <c r="E868" s="587" t="s">
        <v>983</v>
      </c>
      <c r="F868" s="588" t="s">
        <v>1096</v>
      </c>
      <c r="G868" s="586"/>
      <c r="H868" s="599">
        <v>44712</v>
      </c>
      <c r="I868" s="595">
        <f t="shared" si="69"/>
        <v>354324.32432432432</v>
      </c>
      <c r="J868" s="595">
        <f t="shared" si="70"/>
        <v>38975.675675675673</v>
      </c>
      <c r="K868" s="596">
        <v>393300</v>
      </c>
      <c r="L868" s="597"/>
    </row>
    <row r="869" spans="1:12" x14ac:dyDescent="0.2">
      <c r="A869" s="316">
        <v>157</v>
      </c>
      <c r="B869" s="591" t="s">
        <v>3180</v>
      </c>
      <c r="C869" s="598" t="s">
        <v>3289</v>
      </c>
      <c r="D869" s="586"/>
      <c r="E869" s="587" t="s">
        <v>1768</v>
      </c>
      <c r="F869" s="588" t="s">
        <v>1008</v>
      </c>
      <c r="G869" s="586"/>
      <c r="H869" s="599">
        <v>44712</v>
      </c>
      <c r="I869" s="595">
        <f t="shared" si="69"/>
        <v>2849099.0990990987</v>
      </c>
      <c r="J869" s="595">
        <f t="shared" si="70"/>
        <v>313400.90090090089</v>
      </c>
      <c r="K869" s="596">
        <v>3162500</v>
      </c>
      <c r="L869" s="597"/>
    </row>
    <row r="870" spans="1:12" x14ac:dyDescent="0.2">
      <c r="A870" s="316">
        <v>158</v>
      </c>
      <c r="B870" s="591" t="s">
        <v>3181</v>
      </c>
      <c r="C870" s="598" t="s">
        <v>3290</v>
      </c>
      <c r="D870" s="586"/>
      <c r="E870" s="587" t="s">
        <v>1053</v>
      </c>
      <c r="F870" s="588" t="s">
        <v>1064</v>
      </c>
      <c r="G870" s="586"/>
      <c r="H870" s="599">
        <v>44712</v>
      </c>
      <c r="I870" s="595">
        <f t="shared" si="69"/>
        <v>2695212.6126126125</v>
      </c>
      <c r="J870" s="595">
        <f t="shared" si="70"/>
        <v>296473.3873873874</v>
      </c>
      <c r="K870" s="596">
        <v>2991686</v>
      </c>
      <c r="L870" s="597"/>
    </row>
    <row r="871" spans="1:12" x14ac:dyDescent="0.2">
      <c r="A871" s="316">
        <v>159</v>
      </c>
      <c r="B871" s="591" t="s">
        <v>3182</v>
      </c>
      <c r="C871" s="602" t="s">
        <v>3296</v>
      </c>
      <c r="D871" s="603"/>
      <c r="E871" s="604" t="s">
        <v>992</v>
      </c>
      <c r="F871" s="605" t="s">
        <v>1033</v>
      </c>
      <c r="G871" s="654"/>
      <c r="H871" s="606">
        <v>44712</v>
      </c>
      <c r="I871" s="595">
        <f t="shared" ref="I871:I892" si="71">K871/1.11</f>
        <v>2332378.3783783782</v>
      </c>
      <c r="J871" s="595">
        <f t="shared" ref="J871:J892" si="72">I871*11%</f>
        <v>256561.6216216216</v>
      </c>
      <c r="K871" s="596">
        <v>2588940</v>
      </c>
      <c r="L871" s="597"/>
    </row>
    <row r="872" spans="1:12" x14ac:dyDescent="0.2">
      <c r="A872" s="316">
        <v>160</v>
      </c>
      <c r="B872" s="591" t="s">
        <v>3183</v>
      </c>
      <c r="C872" s="598" t="s">
        <v>3297</v>
      </c>
      <c r="D872" s="586"/>
      <c r="E872" s="593" t="s">
        <v>1040</v>
      </c>
      <c r="F872" s="593" t="s">
        <v>1019</v>
      </c>
      <c r="G872" s="586"/>
      <c r="H872" s="599">
        <v>44712</v>
      </c>
      <c r="I872" s="595">
        <f t="shared" si="71"/>
        <v>976319.81981981976</v>
      </c>
      <c r="J872" s="595">
        <f t="shared" si="72"/>
        <v>107395.18018018018</v>
      </c>
      <c r="K872" s="596">
        <v>1083715</v>
      </c>
      <c r="L872" s="597"/>
    </row>
    <row r="873" spans="1:12" x14ac:dyDescent="0.2">
      <c r="A873" s="316">
        <v>161</v>
      </c>
      <c r="B873" s="591" t="s">
        <v>3184</v>
      </c>
      <c r="C873" s="598" t="s">
        <v>3298</v>
      </c>
      <c r="D873" s="586"/>
      <c r="E873" s="587" t="s">
        <v>1325</v>
      </c>
      <c r="F873" s="588" t="s">
        <v>673</v>
      </c>
      <c r="G873" s="586"/>
      <c r="H873" s="599">
        <v>44712</v>
      </c>
      <c r="I873" s="595">
        <f t="shared" si="71"/>
        <v>823836.03603603598</v>
      </c>
      <c r="J873" s="595">
        <f t="shared" si="72"/>
        <v>90621.963963963964</v>
      </c>
      <c r="K873" s="596">
        <v>914458</v>
      </c>
      <c r="L873" s="597"/>
    </row>
    <row r="874" spans="1:12" x14ac:dyDescent="0.2">
      <c r="A874" s="316">
        <v>162</v>
      </c>
      <c r="B874" s="591" t="s">
        <v>3185</v>
      </c>
      <c r="C874" s="598" t="s">
        <v>3299</v>
      </c>
      <c r="D874" s="586"/>
      <c r="E874" s="587" t="s">
        <v>1009</v>
      </c>
      <c r="F874" s="588" t="s">
        <v>1008</v>
      </c>
      <c r="G874" s="586"/>
      <c r="H874" s="599">
        <v>44712</v>
      </c>
      <c r="I874" s="595">
        <f t="shared" si="71"/>
        <v>2797005.405405405</v>
      </c>
      <c r="J874" s="595">
        <f t="shared" si="72"/>
        <v>307670.59459459456</v>
      </c>
      <c r="K874" s="596">
        <v>3104676</v>
      </c>
      <c r="L874" s="597"/>
    </row>
    <row r="875" spans="1:12" x14ac:dyDescent="0.2">
      <c r="A875" s="316">
        <v>163</v>
      </c>
      <c r="B875" s="591" t="s">
        <v>3186</v>
      </c>
      <c r="C875" s="598" t="s">
        <v>3302</v>
      </c>
      <c r="D875" s="586"/>
      <c r="E875" s="587" t="s">
        <v>1016</v>
      </c>
      <c r="F875" s="588" t="s">
        <v>1017</v>
      </c>
      <c r="G875" s="586"/>
      <c r="H875" s="599">
        <v>44712</v>
      </c>
      <c r="I875" s="595">
        <f t="shared" si="71"/>
        <v>5473713.5135135129</v>
      </c>
      <c r="J875" s="595">
        <f t="shared" si="72"/>
        <v>602108.48648648639</v>
      </c>
      <c r="K875" s="596">
        <f>4742822+1333000</f>
        <v>6075822</v>
      </c>
      <c r="L875" s="597"/>
    </row>
    <row r="876" spans="1:12" x14ac:dyDescent="0.2">
      <c r="A876" s="316">
        <v>164</v>
      </c>
      <c r="B876" s="591" t="s">
        <v>3187</v>
      </c>
      <c r="C876" s="598" t="s">
        <v>4150</v>
      </c>
      <c r="D876" s="586"/>
      <c r="E876" s="587" t="s">
        <v>1029</v>
      </c>
      <c r="F876" s="588" t="s">
        <v>966</v>
      </c>
      <c r="G876" s="586"/>
      <c r="H876" s="599">
        <v>44712</v>
      </c>
      <c r="I876" s="595">
        <f t="shared" si="71"/>
        <v>18044967.567567565</v>
      </c>
      <c r="J876" s="595">
        <f t="shared" si="72"/>
        <v>1984946.4324324322</v>
      </c>
      <c r="K876" s="596">
        <f>9539235+5134959+5355720</f>
        <v>20029914</v>
      </c>
      <c r="L876" s="597"/>
    </row>
    <row r="877" spans="1:12" x14ac:dyDescent="0.2">
      <c r="A877" s="316">
        <v>165</v>
      </c>
      <c r="B877" s="591" t="s">
        <v>3188</v>
      </c>
      <c r="C877" s="598" t="s">
        <v>3512</v>
      </c>
      <c r="D877" s="586"/>
      <c r="E877" s="587" t="s">
        <v>972</v>
      </c>
      <c r="F877" s="588" t="s">
        <v>966</v>
      </c>
      <c r="G877" s="586"/>
      <c r="H877" s="599">
        <v>44712</v>
      </c>
      <c r="I877" s="595">
        <f t="shared" si="71"/>
        <v>5351837.8378378376</v>
      </c>
      <c r="J877" s="595">
        <f t="shared" si="72"/>
        <v>588702.16216216213</v>
      </c>
      <c r="K877" s="596">
        <f>3355020+2585520</f>
        <v>5940540</v>
      </c>
      <c r="L877" s="597"/>
    </row>
    <row r="878" spans="1:12" x14ac:dyDescent="0.2">
      <c r="A878" s="316">
        <v>166</v>
      </c>
      <c r="B878" s="591" t="s">
        <v>3189</v>
      </c>
      <c r="C878" s="598" t="s">
        <v>3507</v>
      </c>
      <c r="D878" s="586"/>
      <c r="E878" s="587" t="s">
        <v>978</v>
      </c>
      <c r="F878" s="588" t="s">
        <v>590</v>
      </c>
      <c r="G878" s="586"/>
      <c r="H878" s="599">
        <v>44712</v>
      </c>
      <c r="I878" s="595">
        <f t="shared" si="71"/>
        <v>3512432.4324324322</v>
      </c>
      <c r="J878" s="595">
        <f t="shared" si="72"/>
        <v>386367.56756756752</v>
      </c>
      <c r="K878" s="596">
        <v>3898800</v>
      </c>
      <c r="L878" s="597"/>
    </row>
    <row r="879" spans="1:12" x14ac:dyDescent="0.2">
      <c r="A879" s="316">
        <v>167</v>
      </c>
      <c r="B879" s="591" t="s">
        <v>3190</v>
      </c>
      <c r="C879" s="598" t="s">
        <v>3510</v>
      </c>
      <c r="D879" s="586"/>
      <c r="E879" s="587" t="s">
        <v>1062</v>
      </c>
      <c r="F879" s="588" t="s">
        <v>966</v>
      </c>
      <c r="G879" s="586"/>
      <c r="H879" s="599">
        <v>44711</v>
      </c>
      <c r="I879" s="595">
        <f t="shared" si="71"/>
        <v>16106351.351351351</v>
      </c>
      <c r="J879" s="595">
        <f t="shared" si="72"/>
        <v>1771698.6486486485</v>
      </c>
      <c r="K879" s="596">
        <f>2662470+15215580</f>
        <v>17878050</v>
      </c>
      <c r="L879" s="597"/>
    </row>
    <row r="880" spans="1:12" x14ac:dyDescent="0.2">
      <c r="A880" s="316">
        <v>168</v>
      </c>
      <c r="B880" s="591" t="s">
        <v>3191</v>
      </c>
      <c r="C880" s="598" t="s">
        <v>3511</v>
      </c>
      <c r="D880" s="586"/>
      <c r="E880" s="587" t="s">
        <v>965</v>
      </c>
      <c r="F880" s="588" t="s">
        <v>966</v>
      </c>
      <c r="G880" s="586"/>
      <c r="H880" s="599">
        <v>44712</v>
      </c>
      <c r="I880" s="595">
        <f t="shared" si="71"/>
        <v>14024156.756756755</v>
      </c>
      <c r="J880" s="595">
        <f t="shared" si="72"/>
        <v>1542657.2432432431</v>
      </c>
      <c r="K880" s="596">
        <v>15566814</v>
      </c>
      <c r="L880" s="597"/>
    </row>
    <row r="881" spans="1:12" x14ac:dyDescent="0.2">
      <c r="A881" s="316">
        <v>169</v>
      </c>
      <c r="B881" s="591" t="s">
        <v>3192</v>
      </c>
      <c r="C881" s="598" t="s">
        <v>3513</v>
      </c>
      <c r="D881" s="586"/>
      <c r="E881" s="587" t="s">
        <v>969</v>
      </c>
      <c r="F881" s="588" t="s">
        <v>966</v>
      </c>
      <c r="G881" s="586"/>
      <c r="H881" s="599">
        <v>44712</v>
      </c>
      <c r="I881" s="595">
        <f t="shared" si="71"/>
        <v>24258121.62162162</v>
      </c>
      <c r="J881" s="595">
        <f t="shared" si="72"/>
        <v>2668393.3783783782</v>
      </c>
      <c r="K881" s="596">
        <v>26926515</v>
      </c>
      <c r="L881" s="597"/>
    </row>
    <row r="882" spans="1:12" x14ac:dyDescent="0.2">
      <c r="A882" s="316">
        <v>170</v>
      </c>
      <c r="B882" s="591" t="s">
        <v>3193</v>
      </c>
      <c r="C882" s="602" t="s">
        <v>3514</v>
      </c>
      <c r="D882" s="603"/>
      <c r="E882" s="604" t="s">
        <v>1315</v>
      </c>
      <c r="F882" s="605" t="s">
        <v>966</v>
      </c>
      <c r="G882" s="654"/>
      <c r="H882" s="606">
        <v>44712</v>
      </c>
      <c r="I882" s="595">
        <f t="shared" si="71"/>
        <v>160585.58558558556</v>
      </c>
      <c r="J882" s="595">
        <f t="shared" si="72"/>
        <v>17664.414414414412</v>
      </c>
      <c r="K882" s="596">
        <v>178250</v>
      </c>
      <c r="L882" s="597"/>
    </row>
    <row r="883" spans="1:12" x14ac:dyDescent="0.2">
      <c r="A883" s="316">
        <v>171</v>
      </c>
      <c r="B883" s="591" t="s">
        <v>3194</v>
      </c>
      <c r="C883" s="598" t="s">
        <v>3518</v>
      </c>
      <c r="D883" s="586"/>
      <c r="E883" s="587" t="s">
        <v>2576</v>
      </c>
      <c r="F883" s="588" t="s">
        <v>2368</v>
      </c>
      <c r="G883" s="586"/>
      <c r="H883" s="599">
        <v>44712</v>
      </c>
      <c r="I883" s="595">
        <f t="shared" si="71"/>
        <v>25236364.864864863</v>
      </c>
      <c r="J883" s="595">
        <f t="shared" si="72"/>
        <v>2776000.1351351351</v>
      </c>
      <c r="K883" s="596">
        <f>6402240+4155300+5152059+2954880+1046007+3185730+1876554+3239595</f>
        <v>28012365</v>
      </c>
      <c r="L883" s="597"/>
    </row>
    <row r="884" spans="1:12" x14ac:dyDescent="0.2">
      <c r="A884" s="316">
        <v>172</v>
      </c>
      <c r="B884" s="591" t="s">
        <v>3195</v>
      </c>
      <c r="C884" s="598" t="s">
        <v>3521</v>
      </c>
      <c r="D884" s="586"/>
      <c r="E884" s="587" t="s">
        <v>3043</v>
      </c>
      <c r="F884" s="588" t="s">
        <v>3519</v>
      </c>
      <c r="G884" s="586"/>
      <c r="H884" s="599">
        <v>44712</v>
      </c>
      <c r="I884" s="595">
        <f t="shared" si="71"/>
        <v>8335556.7567567565</v>
      </c>
      <c r="J884" s="595">
        <f t="shared" si="72"/>
        <v>916911.2432432432</v>
      </c>
      <c r="K884" s="596">
        <f>2985660+3065688+3201120</f>
        <v>9252468</v>
      </c>
      <c r="L884" s="597"/>
    </row>
    <row r="885" spans="1:12" x14ac:dyDescent="0.2">
      <c r="A885" s="316">
        <v>173</v>
      </c>
      <c r="B885" s="591" t="s">
        <v>3196</v>
      </c>
      <c r="C885" s="598" t="s">
        <v>3523</v>
      </c>
      <c r="D885" s="586"/>
      <c r="E885" s="587" t="s">
        <v>3043</v>
      </c>
      <c r="F885" s="588" t="s">
        <v>3520</v>
      </c>
      <c r="G885" s="586"/>
      <c r="H885" s="599">
        <v>44712</v>
      </c>
      <c r="I885" s="595">
        <f t="shared" si="71"/>
        <v>920164.86486486474</v>
      </c>
      <c r="J885" s="595">
        <f t="shared" si="72"/>
        <v>101218.13513513512</v>
      </c>
      <c r="K885" s="596">
        <f>123633+897750</f>
        <v>1021383</v>
      </c>
      <c r="L885" s="597"/>
    </row>
    <row r="886" spans="1:12" x14ac:dyDescent="0.2">
      <c r="A886" s="316">
        <v>174</v>
      </c>
      <c r="B886" s="591" t="s">
        <v>3197</v>
      </c>
      <c r="C886" s="598" t="s">
        <v>3524</v>
      </c>
      <c r="D886" s="586"/>
      <c r="E886" s="587" t="s">
        <v>3043</v>
      </c>
      <c r="F886" s="588" t="s">
        <v>3519</v>
      </c>
      <c r="G886" s="586"/>
      <c r="H886" s="599">
        <v>44712</v>
      </c>
      <c r="I886" s="595">
        <f t="shared" si="71"/>
        <v>19499083.783783782</v>
      </c>
      <c r="J886" s="595">
        <f t="shared" si="72"/>
        <v>2144899.2162162159</v>
      </c>
      <c r="K886" s="596">
        <f>4432320+1532844+3102624+3351429+3598182+984960+2093040+2548584</f>
        <v>21643983</v>
      </c>
      <c r="L886" s="597"/>
    </row>
    <row r="887" spans="1:12" x14ac:dyDescent="0.2">
      <c r="A887" s="316">
        <v>175</v>
      </c>
      <c r="B887" s="591" t="s">
        <v>3198</v>
      </c>
      <c r="C887" s="602" t="s">
        <v>3526</v>
      </c>
      <c r="D887" s="603"/>
      <c r="E887" s="604" t="s">
        <v>2565</v>
      </c>
      <c r="F887" s="605" t="s">
        <v>2368</v>
      </c>
      <c r="G887" s="654"/>
      <c r="H887" s="606">
        <v>44711</v>
      </c>
      <c r="I887" s="595">
        <f t="shared" si="71"/>
        <v>430581.08108108107</v>
      </c>
      <c r="J887" s="595">
        <f t="shared" si="72"/>
        <v>47363.91891891892</v>
      </c>
      <c r="K887" s="596">
        <v>477945</v>
      </c>
      <c r="L887" s="597"/>
    </row>
    <row r="888" spans="1:12" x14ac:dyDescent="0.2">
      <c r="A888" s="316">
        <v>176</v>
      </c>
      <c r="B888" s="591" t="s">
        <v>3199</v>
      </c>
      <c r="C888" s="598" t="s">
        <v>3528</v>
      </c>
      <c r="D888" s="586"/>
      <c r="E888" s="587" t="s">
        <v>3527</v>
      </c>
      <c r="F888" s="588" t="s">
        <v>2368</v>
      </c>
      <c r="G888" s="586"/>
      <c r="H888" s="599">
        <v>44686</v>
      </c>
      <c r="I888" s="595">
        <f t="shared" si="71"/>
        <v>22413679.279279277</v>
      </c>
      <c r="J888" s="595">
        <f t="shared" si="72"/>
        <v>2465504.7207207205</v>
      </c>
      <c r="K888" s="596">
        <f>2302088+1539000+1275318+1131165+1926828+6930125+2175120+6889590+709950</f>
        <v>24879184</v>
      </c>
      <c r="L888" s="597"/>
    </row>
    <row r="889" spans="1:12" x14ac:dyDescent="0.2">
      <c r="A889" s="316">
        <v>177</v>
      </c>
      <c r="B889" s="591" t="s">
        <v>3200</v>
      </c>
      <c r="C889" s="598" t="s">
        <v>3529</v>
      </c>
      <c r="D889" s="586"/>
      <c r="E889" s="587" t="s">
        <v>3527</v>
      </c>
      <c r="F889" s="588" t="s">
        <v>2368</v>
      </c>
      <c r="G889" s="586"/>
      <c r="H889" s="599">
        <v>44691</v>
      </c>
      <c r="I889" s="595">
        <f t="shared" si="71"/>
        <v>14031243.243243242</v>
      </c>
      <c r="J889" s="595">
        <f t="shared" si="72"/>
        <v>1543436.7567567567</v>
      </c>
      <c r="K889" s="596">
        <f>3596130+357048+1400490+8045892+2175120</f>
        <v>15574680</v>
      </c>
      <c r="L889" s="597"/>
    </row>
    <row r="890" spans="1:12" x14ac:dyDescent="0.2">
      <c r="A890" s="316">
        <v>178</v>
      </c>
      <c r="B890" s="591" t="s">
        <v>3201</v>
      </c>
      <c r="C890" s="598" t="s">
        <v>3530</v>
      </c>
      <c r="D890" s="586"/>
      <c r="E890" s="587" t="s">
        <v>3527</v>
      </c>
      <c r="F890" s="588" t="s">
        <v>2368</v>
      </c>
      <c r="G890" s="586"/>
      <c r="H890" s="599">
        <v>44707</v>
      </c>
      <c r="I890" s="595">
        <f t="shared" si="71"/>
        <v>24423783.783783782</v>
      </c>
      <c r="J890" s="595">
        <f t="shared" si="72"/>
        <v>2686616.2162162159</v>
      </c>
      <c r="K890" s="596">
        <f>5685000+282150+2359800+3025845+282150+783351+1505490+1963038+589950+5791770+1495908+3345948</f>
        <v>27110400</v>
      </c>
      <c r="L890" s="597"/>
    </row>
    <row r="891" spans="1:12" x14ac:dyDescent="0.2">
      <c r="A891" s="316">
        <v>179</v>
      </c>
      <c r="B891" s="591" t="s">
        <v>3202</v>
      </c>
      <c r="C891" s="598" t="s">
        <v>3543</v>
      </c>
      <c r="D891" s="586"/>
      <c r="E891" s="587" t="s">
        <v>3001</v>
      </c>
      <c r="F891" s="588" t="s">
        <v>2368</v>
      </c>
      <c r="G891" s="586"/>
      <c r="H891" s="599">
        <v>44695</v>
      </c>
      <c r="I891" s="595">
        <f t="shared" si="71"/>
        <v>1602316.2162162161</v>
      </c>
      <c r="J891" s="595">
        <f t="shared" si="72"/>
        <v>176254.78378378376</v>
      </c>
      <c r="K891" s="596">
        <f>677160+497610+106191+497610</f>
        <v>1778571</v>
      </c>
      <c r="L891" s="597"/>
    </row>
    <row r="892" spans="1:12" x14ac:dyDescent="0.2">
      <c r="A892" s="316">
        <v>180</v>
      </c>
      <c r="B892" s="591" t="s">
        <v>3203</v>
      </c>
      <c r="C892" s="598" t="s">
        <v>3557</v>
      </c>
      <c r="D892" s="586"/>
      <c r="E892" s="587" t="s">
        <v>3556</v>
      </c>
      <c r="F892" s="588" t="s">
        <v>2368</v>
      </c>
      <c r="G892" s="586"/>
      <c r="H892" s="599">
        <v>44696</v>
      </c>
      <c r="I892" s="595">
        <f t="shared" si="71"/>
        <v>9209178.3783783782</v>
      </c>
      <c r="J892" s="595">
        <f t="shared" si="72"/>
        <v>1013009.6216216217</v>
      </c>
      <c r="K892" s="596">
        <f>1756512+3604338+2985660+487500+436050+373464+578664</f>
        <v>10222188</v>
      </c>
      <c r="L892" s="597"/>
    </row>
    <row r="893" spans="1:12" x14ac:dyDescent="0.2">
      <c r="A893" s="316">
        <v>181</v>
      </c>
      <c r="B893" s="591" t="s">
        <v>3204</v>
      </c>
      <c r="C893" s="598" t="s">
        <v>3558</v>
      </c>
      <c r="D893" s="586"/>
      <c r="E893" s="587" t="s">
        <v>3527</v>
      </c>
      <c r="F893" s="588" t="s">
        <v>2368</v>
      </c>
      <c r="G893" s="586"/>
      <c r="H893" s="599">
        <v>44711</v>
      </c>
      <c r="I893" s="595">
        <f t="shared" ref="I893:I894" si="73">K893/1.11</f>
        <v>18114286.486486483</v>
      </c>
      <c r="J893" s="595">
        <f t="shared" ref="J893:J894" si="74">I893*11%</f>
        <v>1992571.5135135131</v>
      </c>
      <c r="K893" s="596">
        <f>3491820+1077300+1495908+2411100+3744900+1718550+1650000+2417280+2100000</f>
        <v>20106858</v>
      </c>
      <c r="L893" s="597"/>
    </row>
    <row r="894" spans="1:12" x14ac:dyDescent="0.2">
      <c r="A894" s="316">
        <v>182</v>
      </c>
      <c r="B894" s="591" t="s">
        <v>3205</v>
      </c>
      <c r="C894" s="598" t="s">
        <v>3559</v>
      </c>
      <c r="D894" s="586"/>
      <c r="E894" s="587" t="s">
        <v>3527</v>
      </c>
      <c r="F894" s="588" t="s">
        <v>2368</v>
      </c>
      <c r="G894" s="586"/>
      <c r="H894" s="599">
        <v>44712</v>
      </c>
      <c r="I894" s="595">
        <f t="shared" si="73"/>
        <v>6884829.7297297288</v>
      </c>
      <c r="J894" s="595">
        <f t="shared" si="74"/>
        <v>757331.27027027018</v>
      </c>
      <c r="K894" s="596">
        <f>40527+1308150+1046520+2821500+2179224+246240</f>
        <v>7642161</v>
      </c>
      <c r="L894" s="597"/>
    </row>
    <row r="895" spans="1:12" x14ac:dyDescent="0.2">
      <c r="B895" s="616"/>
      <c r="C895" s="617"/>
      <c r="D895" s="618"/>
      <c r="E895" s="619"/>
      <c r="F895" s="620"/>
      <c r="G895" s="655"/>
      <c r="H895" s="621"/>
      <c r="I895" s="595">
        <f t="shared" ref="I895" si="75">K895/1.11</f>
        <v>0</v>
      </c>
      <c r="J895" s="595">
        <f t="shared" ref="J895" si="76">I895*11%</f>
        <v>0</v>
      </c>
      <c r="K895" s="623"/>
      <c r="L895" s="624"/>
    </row>
    <row r="896" spans="1:12" ht="18" x14ac:dyDescent="0.25">
      <c r="B896" s="630" t="s">
        <v>291</v>
      </c>
      <c r="C896" s="631"/>
      <c r="D896" s="632"/>
      <c r="E896" s="633"/>
      <c r="F896" s="634"/>
      <c r="G896" s="656"/>
      <c r="H896" s="635"/>
      <c r="I896" s="636">
        <f>SUM(I713:I895)</f>
        <v>1372176208.1081076</v>
      </c>
      <c r="J896" s="636">
        <f>SUM(J713:J895)</f>
        <v>150939382.89189187</v>
      </c>
      <c r="K896" s="637">
        <f>SUM(K713:K895)</f>
        <v>1523115591</v>
      </c>
      <c r="L896" s="638"/>
    </row>
    <row r="897" spans="1:12" s="429" customFormat="1" ht="20.25" x14ac:dyDescent="0.3">
      <c r="A897" s="316"/>
      <c r="B897" s="639" t="s">
        <v>103</v>
      </c>
      <c r="C897" s="626"/>
      <c r="D897" s="627"/>
      <c r="E897" s="627"/>
      <c r="F897" s="627"/>
      <c r="G897" s="627"/>
      <c r="H897" s="640"/>
      <c r="I897" s="641"/>
      <c r="J897" s="641"/>
      <c r="K897" s="642"/>
      <c r="L897" s="643"/>
    </row>
    <row r="898" spans="1:12" s="429" customFormat="1" x14ac:dyDescent="0.2">
      <c r="A898" s="316">
        <v>1</v>
      </c>
      <c r="B898" s="591" t="s">
        <v>3155</v>
      </c>
      <c r="C898" s="598" t="s">
        <v>610</v>
      </c>
      <c r="D898" s="627" t="s">
        <v>1427</v>
      </c>
      <c r="E898" s="644" t="s">
        <v>425</v>
      </c>
      <c r="F898" s="645" t="s">
        <v>426</v>
      </c>
      <c r="G898" s="653" t="s">
        <v>1628</v>
      </c>
      <c r="H898" s="594">
        <v>44718</v>
      </c>
      <c r="I898" s="595">
        <f t="shared" ref="I898:I929" si="77">K898/1.11</f>
        <v>15416238.738738738</v>
      </c>
      <c r="J898" s="595">
        <f t="shared" ref="J898:J929" si="78">I898*11%</f>
        <v>1695786.2612612613</v>
      </c>
      <c r="K898" s="596">
        <v>17112025</v>
      </c>
      <c r="L898" s="759" t="s">
        <v>3888</v>
      </c>
    </row>
    <row r="899" spans="1:12" s="429" customFormat="1" x14ac:dyDescent="0.2">
      <c r="A899" s="316">
        <v>2</v>
      </c>
      <c r="B899" s="591" t="s">
        <v>3329</v>
      </c>
      <c r="C899" s="592" t="s">
        <v>3360</v>
      </c>
      <c r="D899" s="737" t="s">
        <v>581</v>
      </c>
      <c r="E899" s="746" t="s">
        <v>596</v>
      </c>
      <c r="F899" s="746" t="s">
        <v>579</v>
      </c>
      <c r="G899" s="653" t="s">
        <v>1629</v>
      </c>
      <c r="H899" s="594">
        <v>44718</v>
      </c>
      <c r="I899" s="595">
        <f t="shared" si="77"/>
        <v>2979632.4324324322</v>
      </c>
      <c r="J899" s="595">
        <f t="shared" si="78"/>
        <v>327759.56756756752</v>
      </c>
      <c r="K899" s="596">
        <v>3307392</v>
      </c>
      <c r="L899" s="597" t="s">
        <v>3888</v>
      </c>
    </row>
    <row r="900" spans="1:12" s="429" customFormat="1" x14ac:dyDescent="0.2">
      <c r="A900" s="316">
        <v>3</v>
      </c>
      <c r="B900" s="591" t="s">
        <v>3330</v>
      </c>
      <c r="C900" s="598" t="s">
        <v>611</v>
      </c>
      <c r="D900" s="737" t="s">
        <v>580</v>
      </c>
      <c r="E900" s="738" t="s">
        <v>595</v>
      </c>
      <c r="F900" s="739" t="s">
        <v>579</v>
      </c>
      <c r="G900" s="653" t="s">
        <v>1630</v>
      </c>
      <c r="H900" s="594">
        <v>44718</v>
      </c>
      <c r="I900" s="595">
        <f t="shared" si="77"/>
        <v>2962508.1081081079</v>
      </c>
      <c r="J900" s="595">
        <f t="shared" si="78"/>
        <v>325875.89189189189</v>
      </c>
      <c r="K900" s="596">
        <v>3288384</v>
      </c>
      <c r="L900" s="597" t="s">
        <v>3888</v>
      </c>
    </row>
    <row r="901" spans="1:12" s="429" customFormat="1" x14ac:dyDescent="0.2">
      <c r="A901" s="316">
        <v>4</v>
      </c>
      <c r="B901" s="591" t="s">
        <v>3331</v>
      </c>
      <c r="C901" s="598" t="s">
        <v>3361</v>
      </c>
      <c r="D901" s="627" t="s">
        <v>1427</v>
      </c>
      <c r="E901" s="644" t="s">
        <v>425</v>
      </c>
      <c r="F901" s="645" t="s">
        <v>426</v>
      </c>
      <c r="G901" s="653" t="s">
        <v>1631</v>
      </c>
      <c r="H901" s="594">
        <v>44719</v>
      </c>
      <c r="I901" s="595">
        <f t="shared" si="77"/>
        <v>10897297.297297297</v>
      </c>
      <c r="J901" s="595">
        <f t="shared" si="78"/>
        <v>1198702.7027027027</v>
      </c>
      <c r="K901" s="596">
        <v>12096000</v>
      </c>
      <c r="L901" s="597" t="s">
        <v>3889</v>
      </c>
    </row>
    <row r="902" spans="1:12" s="429" customFormat="1" x14ac:dyDescent="0.2">
      <c r="A902" s="316">
        <v>5</v>
      </c>
      <c r="B902" s="591" t="s">
        <v>3332</v>
      </c>
      <c r="C902" s="598" t="s">
        <v>3362</v>
      </c>
      <c r="D902" s="652" t="s">
        <v>591</v>
      </c>
      <c r="E902" s="738" t="s">
        <v>777</v>
      </c>
      <c r="F902" s="754" t="s">
        <v>590</v>
      </c>
      <c r="G902" s="653" t="s">
        <v>1632</v>
      </c>
      <c r="H902" s="594">
        <v>44719</v>
      </c>
      <c r="I902" s="595">
        <f t="shared" si="77"/>
        <v>4033945.9459459456</v>
      </c>
      <c r="J902" s="595">
        <f t="shared" si="78"/>
        <v>443734.05405405402</v>
      </c>
      <c r="K902" s="596">
        <v>4477680</v>
      </c>
      <c r="L902" s="597" t="s">
        <v>3890</v>
      </c>
    </row>
    <row r="903" spans="1:12" s="429" customFormat="1" x14ac:dyDescent="0.2">
      <c r="A903" s="316">
        <v>6</v>
      </c>
      <c r="B903" s="591" t="s">
        <v>3333</v>
      </c>
      <c r="C903" s="598" t="s">
        <v>3363</v>
      </c>
      <c r="D903" s="737" t="s">
        <v>581</v>
      </c>
      <c r="E903" s="746" t="s">
        <v>596</v>
      </c>
      <c r="F903" s="746" t="s">
        <v>579</v>
      </c>
      <c r="G903" s="653" t="s">
        <v>1633</v>
      </c>
      <c r="H903" s="599">
        <v>44721</v>
      </c>
      <c r="I903" s="595">
        <f t="shared" si="77"/>
        <v>460864.86486486485</v>
      </c>
      <c r="J903" s="595">
        <f t="shared" si="78"/>
        <v>50695.135135135133</v>
      </c>
      <c r="K903" s="596">
        <v>511560</v>
      </c>
      <c r="L903" s="597" t="s">
        <v>3888</v>
      </c>
    </row>
    <row r="904" spans="1:12" s="429" customFormat="1" x14ac:dyDescent="0.2">
      <c r="A904" s="316">
        <v>7</v>
      </c>
      <c r="B904" s="591" t="s">
        <v>3334</v>
      </c>
      <c r="C904" s="598" t="s">
        <v>3364</v>
      </c>
      <c r="D904" s="627" t="s">
        <v>1427</v>
      </c>
      <c r="E904" s="644" t="s">
        <v>425</v>
      </c>
      <c r="F904" s="645" t="s">
        <v>426</v>
      </c>
      <c r="G904" s="653" t="s">
        <v>1634</v>
      </c>
      <c r="H904" s="599">
        <v>44722</v>
      </c>
      <c r="I904" s="595">
        <f t="shared" si="77"/>
        <v>67148918.918918908</v>
      </c>
      <c r="J904" s="595">
        <f t="shared" si="78"/>
        <v>7386381.0810810803</v>
      </c>
      <c r="K904" s="596">
        <v>74535300</v>
      </c>
      <c r="L904" s="597" t="s">
        <v>3888</v>
      </c>
    </row>
    <row r="905" spans="1:12" s="429" customFormat="1" x14ac:dyDescent="0.2">
      <c r="A905" s="316">
        <v>8</v>
      </c>
      <c r="B905" s="591" t="s">
        <v>3335</v>
      </c>
      <c r="C905" s="598" t="s">
        <v>3365</v>
      </c>
      <c r="D905" s="627" t="s">
        <v>1427</v>
      </c>
      <c r="E905" s="644" t="s">
        <v>425</v>
      </c>
      <c r="F905" s="645" t="s">
        <v>426</v>
      </c>
      <c r="G905" s="653" t="s">
        <v>1635</v>
      </c>
      <c r="H905" s="599">
        <v>44722</v>
      </c>
      <c r="I905" s="595">
        <f t="shared" si="77"/>
        <v>64132297.297297291</v>
      </c>
      <c r="J905" s="595">
        <f t="shared" si="78"/>
        <v>7054552.702702702</v>
      </c>
      <c r="K905" s="596">
        <v>71186850</v>
      </c>
      <c r="L905" s="597" t="s">
        <v>3888</v>
      </c>
    </row>
    <row r="906" spans="1:12" s="429" customFormat="1" x14ac:dyDescent="0.2">
      <c r="A906" s="316">
        <v>10</v>
      </c>
      <c r="B906" s="591" t="s">
        <v>3337</v>
      </c>
      <c r="C906" s="598" t="s">
        <v>3367</v>
      </c>
      <c r="D906" s="652" t="s">
        <v>591</v>
      </c>
      <c r="E906" s="738" t="s">
        <v>777</v>
      </c>
      <c r="F906" s="739" t="s">
        <v>590</v>
      </c>
      <c r="G906" s="653" t="s">
        <v>1636</v>
      </c>
      <c r="H906" s="599">
        <v>44722</v>
      </c>
      <c r="I906" s="595">
        <f t="shared" si="77"/>
        <v>763207.2072072071</v>
      </c>
      <c r="J906" s="595">
        <f t="shared" si="78"/>
        <v>83952.792792792781</v>
      </c>
      <c r="K906" s="596">
        <v>847160</v>
      </c>
      <c r="L906" s="597" t="s">
        <v>3888</v>
      </c>
    </row>
    <row r="907" spans="1:12" s="429" customFormat="1" x14ac:dyDescent="0.2">
      <c r="A907" s="316">
        <v>11</v>
      </c>
      <c r="B907" s="591" t="s">
        <v>3338</v>
      </c>
      <c r="C907" s="598" t="s">
        <v>3369</v>
      </c>
      <c r="D907" s="586" t="s">
        <v>584</v>
      </c>
      <c r="E907" s="587" t="s">
        <v>582</v>
      </c>
      <c r="F907" s="651" t="s">
        <v>583</v>
      </c>
      <c r="G907" s="653" t="s">
        <v>3744</v>
      </c>
      <c r="H907" s="599">
        <v>44723</v>
      </c>
      <c r="I907" s="595">
        <f t="shared" si="77"/>
        <v>658558.55855855846</v>
      </c>
      <c r="J907" s="595">
        <f t="shared" si="78"/>
        <v>72441.441441441435</v>
      </c>
      <c r="K907" s="596">
        <v>731000</v>
      </c>
      <c r="L907" s="597" t="s">
        <v>3888</v>
      </c>
    </row>
    <row r="908" spans="1:12" s="429" customFormat="1" x14ac:dyDescent="0.2">
      <c r="A908" s="316">
        <v>12</v>
      </c>
      <c r="B908" s="591" t="s">
        <v>3339</v>
      </c>
      <c r="C908" s="598" t="s">
        <v>3370</v>
      </c>
      <c r="D908" s="737" t="s">
        <v>580</v>
      </c>
      <c r="E908" s="738" t="s">
        <v>595</v>
      </c>
      <c r="F908" s="739" t="s">
        <v>579</v>
      </c>
      <c r="G908" s="653" t="s">
        <v>3745</v>
      </c>
      <c r="H908" s="599">
        <v>44723</v>
      </c>
      <c r="I908" s="595">
        <f t="shared" si="77"/>
        <v>2962508.1081081079</v>
      </c>
      <c r="J908" s="595">
        <f t="shared" si="78"/>
        <v>325875.89189189189</v>
      </c>
      <c r="K908" s="596">
        <v>3288384</v>
      </c>
      <c r="L908" s="597" t="s">
        <v>3890</v>
      </c>
    </row>
    <row r="909" spans="1:12" s="429" customFormat="1" x14ac:dyDescent="0.2">
      <c r="A909" s="316">
        <v>13</v>
      </c>
      <c r="B909" s="591" t="s">
        <v>3340</v>
      </c>
      <c r="C909" s="598" t="s">
        <v>3371</v>
      </c>
      <c r="D909" s="586" t="s">
        <v>671</v>
      </c>
      <c r="E909" s="587" t="s">
        <v>672</v>
      </c>
      <c r="F909" s="588" t="s">
        <v>673</v>
      </c>
      <c r="G909" s="653" t="s">
        <v>3746</v>
      </c>
      <c r="H909" s="599">
        <v>44723</v>
      </c>
      <c r="I909" s="595">
        <f t="shared" si="77"/>
        <v>677189.18918918911</v>
      </c>
      <c r="J909" s="595">
        <f t="shared" si="78"/>
        <v>74490.810810810799</v>
      </c>
      <c r="K909" s="596">
        <v>751680</v>
      </c>
      <c r="L909" s="597" t="s">
        <v>3891</v>
      </c>
    </row>
    <row r="910" spans="1:12" s="429" customFormat="1" x14ac:dyDescent="0.2">
      <c r="A910" s="316">
        <v>14</v>
      </c>
      <c r="B910" s="591" t="s">
        <v>3341</v>
      </c>
      <c r="C910" s="598" t="s">
        <v>3372</v>
      </c>
      <c r="D910" s="652" t="s">
        <v>591</v>
      </c>
      <c r="E910" s="738" t="s">
        <v>777</v>
      </c>
      <c r="F910" s="739" t="s">
        <v>590</v>
      </c>
      <c r="G910" s="653" t="s">
        <v>3747</v>
      </c>
      <c r="H910" s="599">
        <v>44725</v>
      </c>
      <c r="I910" s="595">
        <f t="shared" si="77"/>
        <v>724972.9729729729</v>
      </c>
      <c r="J910" s="595">
        <f t="shared" si="78"/>
        <v>79747.027027027027</v>
      </c>
      <c r="K910" s="596">
        <v>804720</v>
      </c>
      <c r="L910" s="597" t="s">
        <v>3888</v>
      </c>
    </row>
    <row r="911" spans="1:12" s="429" customFormat="1" x14ac:dyDescent="0.2">
      <c r="A911" s="316">
        <v>15</v>
      </c>
      <c r="B911" s="591" t="s">
        <v>3342</v>
      </c>
      <c r="C911" s="598" t="s">
        <v>3373</v>
      </c>
      <c r="D911" s="737" t="s">
        <v>580</v>
      </c>
      <c r="E911" s="738" t="s">
        <v>595</v>
      </c>
      <c r="F911" s="754" t="s">
        <v>579</v>
      </c>
      <c r="G911" s="653" t="s">
        <v>3748</v>
      </c>
      <c r="H911" s="599">
        <v>44725</v>
      </c>
      <c r="I911" s="595">
        <f t="shared" si="77"/>
        <v>2625859.4594594594</v>
      </c>
      <c r="J911" s="595">
        <f t="shared" si="78"/>
        <v>288844.54054054053</v>
      </c>
      <c r="K911" s="596">
        <v>2914704</v>
      </c>
      <c r="L911" s="597" t="s">
        <v>3889</v>
      </c>
    </row>
    <row r="912" spans="1:12" s="429" customFormat="1" x14ac:dyDescent="0.2">
      <c r="A912" s="316">
        <v>16</v>
      </c>
      <c r="B912" s="591" t="s">
        <v>3343</v>
      </c>
      <c r="C912" s="598" t="s">
        <v>3368</v>
      </c>
      <c r="D912" s="737" t="s">
        <v>607</v>
      </c>
      <c r="E912" s="738" t="s">
        <v>605</v>
      </c>
      <c r="F912" s="739" t="s">
        <v>606</v>
      </c>
      <c r="G912" s="653" t="s">
        <v>3749</v>
      </c>
      <c r="H912" s="599">
        <v>44725</v>
      </c>
      <c r="I912" s="595">
        <f t="shared" si="77"/>
        <v>4154594.5945945941</v>
      </c>
      <c r="J912" s="595">
        <f t="shared" si="78"/>
        <v>457005.40540540533</v>
      </c>
      <c r="K912" s="596">
        <v>4611600</v>
      </c>
      <c r="L912" s="597" t="s">
        <v>3891</v>
      </c>
    </row>
    <row r="913" spans="1:12" s="429" customFormat="1" x14ac:dyDescent="0.2">
      <c r="A913" s="316">
        <v>17</v>
      </c>
      <c r="B913" s="591" t="s">
        <v>3344</v>
      </c>
      <c r="C913" s="598" t="s">
        <v>3374</v>
      </c>
      <c r="D913" s="586" t="s">
        <v>1427</v>
      </c>
      <c r="E913" s="587" t="s">
        <v>425</v>
      </c>
      <c r="F913" s="588" t="s">
        <v>426</v>
      </c>
      <c r="G913" s="653" t="s">
        <v>3750</v>
      </c>
      <c r="H913" s="599">
        <v>14</v>
      </c>
      <c r="I913" s="595">
        <f t="shared" si="77"/>
        <v>5284054.0540540535</v>
      </c>
      <c r="J913" s="595">
        <f t="shared" si="78"/>
        <v>581245.94594594592</v>
      </c>
      <c r="K913" s="596">
        <v>5865300</v>
      </c>
      <c r="L913" s="597" t="s">
        <v>3889</v>
      </c>
    </row>
    <row r="914" spans="1:12" s="429" customFormat="1" x14ac:dyDescent="0.2">
      <c r="A914" s="316">
        <v>18</v>
      </c>
      <c r="B914" s="591" t="s">
        <v>3345</v>
      </c>
      <c r="C914" s="598" t="s">
        <v>3375</v>
      </c>
      <c r="D914" s="751" t="s">
        <v>580</v>
      </c>
      <c r="E914" s="752" t="s">
        <v>595</v>
      </c>
      <c r="F914" s="753" t="s">
        <v>579</v>
      </c>
      <c r="G914" s="653" t="s">
        <v>3751</v>
      </c>
      <c r="H914" s="599">
        <v>44727</v>
      </c>
      <c r="I914" s="595">
        <f t="shared" si="77"/>
        <v>3007394.5945945946</v>
      </c>
      <c r="J914" s="595">
        <f t="shared" si="78"/>
        <v>330813.40540540538</v>
      </c>
      <c r="K914" s="596">
        <v>3338208</v>
      </c>
      <c r="L914" s="597" t="s">
        <v>3889</v>
      </c>
    </row>
    <row r="915" spans="1:12" s="429" customFormat="1" x14ac:dyDescent="0.2">
      <c r="A915" s="316">
        <v>19</v>
      </c>
      <c r="B915" s="591" t="s">
        <v>3346</v>
      </c>
      <c r="C915" s="598" t="s">
        <v>3376</v>
      </c>
      <c r="D915" s="737" t="s">
        <v>581</v>
      </c>
      <c r="E915" s="746" t="s">
        <v>596</v>
      </c>
      <c r="F915" s="746" t="s">
        <v>579</v>
      </c>
      <c r="G915" s="653" t="s">
        <v>3752</v>
      </c>
      <c r="H915" s="599">
        <v>44727</v>
      </c>
      <c r="I915" s="595">
        <f t="shared" si="77"/>
        <v>8149313.5135135129</v>
      </c>
      <c r="J915" s="595">
        <f t="shared" si="78"/>
        <v>896424.48648648639</v>
      </c>
      <c r="K915" s="596">
        <v>9045738</v>
      </c>
      <c r="L915" s="597" t="s">
        <v>3889</v>
      </c>
    </row>
    <row r="916" spans="1:12" s="429" customFormat="1" x14ac:dyDescent="0.2">
      <c r="A916" s="316">
        <v>20</v>
      </c>
      <c r="B916" s="591" t="s">
        <v>3347</v>
      </c>
      <c r="C916" s="598" t="s">
        <v>3501</v>
      </c>
      <c r="D916" s="586" t="s">
        <v>741</v>
      </c>
      <c r="E916" s="587" t="s">
        <v>740</v>
      </c>
      <c r="F916" s="588" t="s">
        <v>579</v>
      </c>
      <c r="G916" s="653" t="s">
        <v>3753</v>
      </c>
      <c r="H916" s="594">
        <v>44728</v>
      </c>
      <c r="I916" s="595">
        <f t="shared" si="77"/>
        <v>4280799.5495495489</v>
      </c>
      <c r="J916" s="595">
        <f t="shared" si="78"/>
        <v>470887.95045045036</v>
      </c>
      <c r="K916" s="596">
        <v>4751687.5</v>
      </c>
      <c r="L916" s="597" t="s">
        <v>3891</v>
      </c>
    </row>
    <row r="917" spans="1:12" s="429" customFormat="1" x14ac:dyDescent="0.2">
      <c r="A917" s="316">
        <v>21</v>
      </c>
      <c r="B917" s="591" t="s">
        <v>3348</v>
      </c>
      <c r="C917" s="598" t="s">
        <v>3575</v>
      </c>
      <c r="D917" s="737" t="s">
        <v>581</v>
      </c>
      <c r="E917" s="746" t="s">
        <v>596</v>
      </c>
      <c r="F917" s="746" t="s">
        <v>579</v>
      </c>
      <c r="G917" s="653" t="s">
        <v>3754</v>
      </c>
      <c r="H917" s="599">
        <v>44728</v>
      </c>
      <c r="I917" s="595">
        <f t="shared" si="77"/>
        <v>6489729.7297297288</v>
      </c>
      <c r="J917" s="595">
        <f t="shared" si="78"/>
        <v>713870.27027027018</v>
      </c>
      <c r="K917" s="596">
        <v>7203600</v>
      </c>
      <c r="L917" s="597" t="s">
        <v>3889</v>
      </c>
    </row>
    <row r="918" spans="1:12" s="429" customFormat="1" x14ac:dyDescent="0.2">
      <c r="A918" s="316">
        <v>22</v>
      </c>
      <c r="B918" s="591" t="s">
        <v>3349</v>
      </c>
      <c r="C918" s="598" t="s">
        <v>3576</v>
      </c>
      <c r="D918" s="737" t="s">
        <v>580</v>
      </c>
      <c r="E918" s="738" t="s">
        <v>595</v>
      </c>
      <c r="F918" s="739" t="s">
        <v>579</v>
      </c>
      <c r="G918" s="653" t="s">
        <v>3755</v>
      </c>
      <c r="H918" s="599">
        <v>44729</v>
      </c>
      <c r="I918" s="595">
        <f t="shared" si="77"/>
        <v>7228594.5945945941</v>
      </c>
      <c r="J918" s="595">
        <f t="shared" si="78"/>
        <v>795145.40540540533</v>
      </c>
      <c r="K918" s="596">
        <v>8023740</v>
      </c>
      <c r="L918" s="597" t="s">
        <v>3890</v>
      </c>
    </row>
    <row r="919" spans="1:12" s="429" customFormat="1" x14ac:dyDescent="0.2">
      <c r="A919" s="316">
        <v>23</v>
      </c>
      <c r="B919" s="591" t="s">
        <v>3350</v>
      </c>
      <c r="C919" s="598" t="s">
        <v>3577</v>
      </c>
      <c r="D919" s="737" t="s">
        <v>581</v>
      </c>
      <c r="E919" s="746" t="s">
        <v>596</v>
      </c>
      <c r="F919" s="746" t="s">
        <v>579</v>
      </c>
      <c r="G919" s="653" t="s">
        <v>3756</v>
      </c>
      <c r="H919" s="599">
        <v>44729</v>
      </c>
      <c r="I919" s="595">
        <f t="shared" si="77"/>
        <v>1758810.8108108107</v>
      </c>
      <c r="J919" s="595">
        <f t="shared" si="78"/>
        <v>193469.18918918917</v>
      </c>
      <c r="K919" s="596">
        <v>1952280</v>
      </c>
      <c r="L919" s="597" t="s">
        <v>3890</v>
      </c>
    </row>
    <row r="920" spans="1:12" s="429" customFormat="1" x14ac:dyDescent="0.2">
      <c r="A920" s="316">
        <v>24</v>
      </c>
      <c r="B920" s="591" t="s">
        <v>3351</v>
      </c>
      <c r="C920" s="598" t="s">
        <v>3578</v>
      </c>
      <c r="D920" s="737" t="s">
        <v>581</v>
      </c>
      <c r="E920" s="746" t="s">
        <v>596</v>
      </c>
      <c r="F920" s="746" t="s">
        <v>579</v>
      </c>
      <c r="G920" s="653" t="s">
        <v>3757</v>
      </c>
      <c r="H920" s="599">
        <v>44730</v>
      </c>
      <c r="I920" s="595">
        <f t="shared" si="77"/>
        <v>6715459.4594594585</v>
      </c>
      <c r="J920" s="595">
        <f t="shared" si="78"/>
        <v>738700.54054054047</v>
      </c>
      <c r="K920" s="596">
        <v>7454160</v>
      </c>
      <c r="L920" s="597" t="s">
        <v>3892</v>
      </c>
    </row>
    <row r="921" spans="1:12" s="429" customFormat="1" x14ac:dyDescent="0.2">
      <c r="A921" s="316">
        <v>25</v>
      </c>
      <c r="B921" s="591" t="s">
        <v>3352</v>
      </c>
      <c r="C921" s="598" t="s">
        <v>3579</v>
      </c>
      <c r="D921" s="652" t="s">
        <v>591</v>
      </c>
      <c r="E921" s="738" t="s">
        <v>777</v>
      </c>
      <c r="F921" s="739" t="s">
        <v>590</v>
      </c>
      <c r="G921" s="653" t="s">
        <v>3758</v>
      </c>
      <c r="H921" s="599">
        <v>44730</v>
      </c>
      <c r="I921" s="595">
        <f t="shared" si="77"/>
        <v>1146162.1621621621</v>
      </c>
      <c r="J921" s="595">
        <f t="shared" si="78"/>
        <v>126077.83783783784</v>
      </c>
      <c r="K921" s="596">
        <v>1272240</v>
      </c>
      <c r="L921" s="597" t="s">
        <v>3892</v>
      </c>
    </row>
    <row r="922" spans="1:12" s="429" customFormat="1" x14ac:dyDescent="0.2">
      <c r="A922" s="316">
        <v>26</v>
      </c>
      <c r="B922" s="591" t="s">
        <v>3353</v>
      </c>
      <c r="C922" s="598" t="s">
        <v>3580</v>
      </c>
      <c r="D922" s="737" t="s">
        <v>581</v>
      </c>
      <c r="E922" s="746" t="s">
        <v>596</v>
      </c>
      <c r="F922" s="771" t="s">
        <v>579</v>
      </c>
      <c r="G922" s="653" t="s">
        <v>3759</v>
      </c>
      <c r="H922" s="599">
        <v>44730</v>
      </c>
      <c r="I922" s="595">
        <f t="shared" si="77"/>
        <v>5263264.8648648644</v>
      </c>
      <c r="J922" s="595">
        <f t="shared" si="78"/>
        <v>578959.13513513503</v>
      </c>
      <c r="K922" s="596">
        <v>5842224</v>
      </c>
      <c r="L922" s="597" t="s">
        <v>3890</v>
      </c>
    </row>
    <row r="923" spans="1:12" x14ac:dyDescent="0.2">
      <c r="A923" s="316">
        <v>27</v>
      </c>
      <c r="B923" s="591" t="s">
        <v>3354</v>
      </c>
      <c r="C923" s="598" t="s">
        <v>3581</v>
      </c>
      <c r="D923" s="737" t="s">
        <v>617</v>
      </c>
      <c r="E923" s="738" t="s">
        <v>616</v>
      </c>
      <c r="F923" s="739" t="s">
        <v>579</v>
      </c>
      <c r="G923" s="653" t="s">
        <v>3760</v>
      </c>
      <c r="H923" s="599">
        <v>44733</v>
      </c>
      <c r="I923" s="595">
        <f t="shared" si="77"/>
        <v>112612.6126126126</v>
      </c>
      <c r="J923" s="595">
        <f t="shared" si="78"/>
        <v>12387.387387387387</v>
      </c>
      <c r="K923" s="596">
        <v>125000</v>
      </c>
      <c r="L923" s="597" t="s">
        <v>3890</v>
      </c>
    </row>
    <row r="924" spans="1:12" x14ac:dyDescent="0.2">
      <c r="A924" s="316">
        <v>28</v>
      </c>
      <c r="B924" s="591" t="s">
        <v>3355</v>
      </c>
      <c r="C924" s="598" t="s">
        <v>3599</v>
      </c>
      <c r="D924" s="586" t="s">
        <v>584</v>
      </c>
      <c r="E924" s="587" t="s">
        <v>582</v>
      </c>
      <c r="F924" s="588" t="s">
        <v>583</v>
      </c>
      <c r="G924" s="653" t="s">
        <v>3761</v>
      </c>
      <c r="H924" s="599">
        <v>44732</v>
      </c>
      <c r="I924" s="595">
        <f t="shared" si="77"/>
        <v>954459.45945945941</v>
      </c>
      <c r="J924" s="595">
        <f t="shared" si="78"/>
        <v>104990.54054054053</v>
      </c>
      <c r="K924" s="596">
        <v>1059450</v>
      </c>
      <c r="L924" s="597" t="s">
        <v>3891</v>
      </c>
    </row>
    <row r="925" spans="1:12" x14ac:dyDescent="0.2">
      <c r="A925" s="316">
        <v>29</v>
      </c>
      <c r="B925" s="591" t="s">
        <v>3356</v>
      </c>
      <c r="C925" s="598" t="s">
        <v>3600</v>
      </c>
      <c r="D925" s="737" t="s">
        <v>581</v>
      </c>
      <c r="E925" s="746" t="s">
        <v>596</v>
      </c>
      <c r="F925" s="746" t="s">
        <v>579</v>
      </c>
      <c r="G925" s="653" t="s">
        <v>3762</v>
      </c>
      <c r="H925" s="599">
        <v>44734</v>
      </c>
      <c r="I925" s="595">
        <f t="shared" si="77"/>
        <v>5446513.5135135129</v>
      </c>
      <c r="J925" s="595">
        <f t="shared" si="78"/>
        <v>599116.48648648639</v>
      </c>
      <c r="K925" s="596">
        <v>6045630</v>
      </c>
      <c r="L925" s="597" t="s">
        <v>3889</v>
      </c>
    </row>
    <row r="926" spans="1:12" x14ac:dyDescent="0.2">
      <c r="A926" s="316">
        <v>30</v>
      </c>
      <c r="B926" s="591" t="s">
        <v>3357</v>
      </c>
      <c r="C926" s="598" t="s">
        <v>3601</v>
      </c>
      <c r="D926" s="737" t="s">
        <v>580</v>
      </c>
      <c r="E926" s="738" t="s">
        <v>595</v>
      </c>
      <c r="F926" s="739" t="s">
        <v>579</v>
      </c>
      <c r="G926" s="653" t="s">
        <v>3763</v>
      </c>
      <c r="H926" s="599">
        <v>44734</v>
      </c>
      <c r="I926" s="595">
        <f t="shared" si="77"/>
        <v>5202936.036036036</v>
      </c>
      <c r="J926" s="595">
        <f t="shared" si="78"/>
        <v>572322.96396396391</v>
      </c>
      <c r="K926" s="596">
        <v>5775259</v>
      </c>
      <c r="L926" s="597" t="s">
        <v>3889</v>
      </c>
    </row>
    <row r="927" spans="1:12" x14ac:dyDescent="0.2">
      <c r="A927" s="316">
        <v>31</v>
      </c>
      <c r="B927" s="591" t="s">
        <v>3358</v>
      </c>
      <c r="C927" s="598" t="s">
        <v>3602</v>
      </c>
      <c r="D927" s="737" t="s">
        <v>603</v>
      </c>
      <c r="E927" s="738" t="s">
        <v>608</v>
      </c>
      <c r="F927" s="739" t="s">
        <v>602</v>
      </c>
      <c r="G927" s="653" t="s">
        <v>3764</v>
      </c>
      <c r="H927" s="599">
        <v>44734</v>
      </c>
      <c r="I927" s="595">
        <f t="shared" si="77"/>
        <v>2767567.5675675673</v>
      </c>
      <c r="J927" s="595">
        <f t="shared" si="78"/>
        <v>304432.43243243243</v>
      </c>
      <c r="K927" s="596">
        <v>3072000</v>
      </c>
      <c r="L927" s="597" t="s">
        <v>3891</v>
      </c>
    </row>
    <row r="928" spans="1:12" x14ac:dyDescent="0.2">
      <c r="A928" s="316">
        <v>32</v>
      </c>
      <c r="B928" s="591" t="s">
        <v>3359</v>
      </c>
      <c r="C928" s="598" t="s">
        <v>3603</v>
      </c>
      <c r="D928" s="751" t="s">
        <v>603</v>
      </c>
      <c r="E928" s="752" t="s">
        <v>608</v>
      </c>
      <c r="F928" s="753" t="s">
        <v>602</v>
      </c>
      <c r="G928" s="653" t="s">
        <v>3765</v>
      </c>
      <c r="H928" s="599">
        <v>44734</v>
      </c>
      <c r="I928" s="595">
        <f t="shared" si="77"/>
        <v>5842643.6036036033</v>
      </c>
      <c r="J928" s="595">
        <f t="shared" si="78"/>
        <v>642690.79639639636</v>
      </c>
      <c r="K928" s="596">
        <v>6485334.4000000004</v>
      </c>
      <c r="L928" s="597" t="s">
        <v>3891</v>
      </c>
    </row>
    <row r="929" spans="1:12" x14ac:dyDescent="0.2">
      <c r="A929" s="316">
        <v>33</v>
      </c>
      <c r="B929" s="591" t="s">
        <v>3582</v>
      </c>
      <c r="C929" s="598" t="s">
        <v>3604</v>
      </c>
      <c r="D929" s="751" t="s">
        <v>580</v>
      </c>
      <c r="E929" s="752" t="s">
        <v>595</v>
      </c>
      <c r="F929" s="753" t="s">
        <v>579</v>
      </c>
      <c r="G929" s="653" t="s">
        <v>3766</v>
      </c>
      <c r="H929" s="594">
        <v>44736</v>
      </c>
      <c r="I929" s="595">
        <f t="shared" si="77"/>
        <v>6542205.405405405</v>
      </c>
      <c r="J929" s="595">
        <f t="shared" si="78"/>
        <v>719642.59459459456</v>
      </c>
      <c r="K929" s="596">
        <v>7261848</v>
      </c>
      <c r="L929" s="600" t="s">
        <v>3890</v>
      </c>
    </row>
    <row r="930" spans="1:12" x14ac:dyDescent="0.2">
      <c r="A930" s="316">
        <v>34</v>
      </c>
      <c r="B930" s="591" t="s">
        <v>3583</v>
      </c>
      <c r="C930" s="598" t="s">
        <v>657</v>
      </c>
      <c r="D930" s="737" t="s">
        <v>581</v>
      </c>
      <c r="E930" s="746" t="s">
        <v>596</v>
      </c>
      <c r="F930" s="746" t="s">
        <v>579</v>
      </c>
      <c r="G930" s="653" t="s">
        <v>3767</v>
      </c>
      <c r="H930" s="599">
        <v>44736</v>
      </c>
      <c r="I930" s="595">
        <f t="shared" ref="I930:I947" si="79">K930/1.11</f>
        <v>4225848.6486486485</v>
      </c>
      <c r="J930" s="595">
        <f t="shared" ref="J930:J947" si="80">I930*11%</f>
        <v>464843.35135135136</v>
      </c>
      <c r="K930" s="596">
        <v>4690692</v>
      </c>
      <c r="L930" s="597" t="s">
        <v>3889</v>
      </c>
    </row>
    <row r="931" spans="1:12" x14ac:dyDescent="0.2">
      <c r="A931" s="316">
        <v>35</v>
      </c>
      <c r="B931" s="591" t="s">
        <v>3584</v>
      </c>
      <c r="C931" s="598" t="s">
        <v>3605</v>
      </c>
      <c r="D931" s="737" t="s">
        <v>617</v>
      </c>
      <c r="E931" s="738" t="s">
        <v>616</v>
      </c>
      <c r="F931" s="739" t="s">
        <v>579</v>
      </c>
      <c r="G931" s="653" t="s">
        <v>3768</v>
      </c>
      <c r="H931" s="599">
        <v>44737</v>
      </c>
      <c r="I931" s="595">
        <f t="shared" si="79"/>
        <v>658783.78378378367</v>
      </c>
      <c r="J931" s="595">
        <f t="shared" si="80"/>
        <v>72466.216216216199</v>
      </c>
      <c r="K931" s="596">
        <v>731250</v>
      </c>
      <c r="L931" s="597" t="s">
        <v>3889</v>
      </c>
    </row>
    <row r="932" spans="1:12" x14ac:dyDescent="0.2">
      <c r="A932" s="316">
        <v>36</v>
      </c>
      <c r="B932" s="591" t="s">
        <v>3585</v>
      </c>
      <c r="C932" s="598" t="s">
        <v>3606</v>
      </c>
      <c r="D932" s="737" t="s">
        <v>580</v>
      </c>
      <c r="E932" s="738" t="s">
        <v>595</v>
      </c>
      <c r="F932" s="739" t="s">
        <v>579</v>
      </c>
      <c r="G932" s="653" t="s">
        <v>3769</v>
      </c>
      <c r="H932" s="599">
        <v>44737</v>
      </c>
      <c r="I932" s="595">
        <f t="shared" si="79"/>
        <v>5330270.2702702694</v>
      </c>
      <c r="J932" s="595">
        <f t="shared" si="80"/>
        <v>586329.72972972959</v>
      </c>
      <c r="K932" s="596">
        <v>5916600</v>
      </c>
      <c r="L932" s="597" t="s">
        <v>3889</v>
      </c>
    </row>
    <row r="933" spans="1:12" x14ac:dyDescent="0.2">
      <c r="A933" s="316">
        <v>37</v>
      </c>
      <c r="B933" s="591" t="s">
        <v>3586</v>
      </c>
      <c r="C933" s="598" t="s">
        <v>665</v>
      </c>
      <c r="D933" s="586" t="s">
        <v>584</v>
      </c>
      <c r="E933" s="587" t="s">
        <v>582</v>
      </c>
      <c r="F933" s="588" t="s">
        <v>583</v>
      </c>
      <c r="G933" s="653" t="s">
        <v>3770</v>
      </c>
      <c r="H933" s="599">
        <v>44738</v>
      </c>
      <c r="I933" s="595">
        <f t="shared" si="79"/>
        <v>2273837.8378378376</v>
      </c>
      <c r="J933" s="595">
        <f t="shared" si="80"/>
        <v>250122.16216216213</v>
      </c>
      <c r="K933" s="596">
        <v>2523960</v>
      </c>
      <c r="L933" s="597" t="s">
        <v>3889</v>
      </c>
    </row>
    <row r="934" spans="1:12" x14ac:dyDescent="0.2">
      <c r="A934" s="316">
        <v>38</v>
      </c>
      <c r="B934" s="591" t="s">
        <v>3587</v>
      </c>
      <c r="C934" s="598" t="s">
        <v>3657</v>
      </c>
      <c r="D934" s="737" t="s">
        <v>580</v>
      </c>
      <c r="E934" s="738" t="s">
        <v>595</v>
      </c>
      <c r="F934" s="739" t="s">
        <v>579</v>
      </c>
      <c r="G934" s="653" t="s">
        <v>3771</v>
      </c>
      <c r="H934" s="599">
        <v>44738</v>
      </c>
      <c r="I934" s="595">
        <f t="shared" si="79"/>
        <v>5797837.8378378376</v>
      </c>
      <c r="J934" s="595">
        <f t="shared" si="80"/>
        <v>637762.16216216213</v>
      </c>
      <c r="K934" s="596">
        <v>6435600</v>
      </c>
      <c r="L934" s="597" t="s">
        <v>3888</v>
      </c>
    </row>
    <row r="935" spans="1:12" x14ac:dyDescent="0.2">
      <c r="A935" s="316">
        <v>39</v>
      </c>
      <c r="B935" s="591" t="s">
        <v>3588</v>
      </c>
      <c r="C935" s="598" t="s">
        <v>3672</v>
      </c>
      <c r="D935" s="737" t="s">
        <v>607</v>
      </c>
      <c r="E935" s="738" t="s">
        <v>605</v>
      </c>
      <c r="F935" s="739" t="s">
        <v>606</v>
      </c>
      <c r="G935" s="653" t="s">
        <v>3772</v>
      </c>
      <c r="H935" s="599">
        <v>44737</v>
      </c>
      <c r="I935" s="595">
        <f t="shared" si="79"/>
        <v>4222702.702702702</v>
      </c>
      <c r="J935" s="595">
        <f t="shared" si="80"/>
        <v>464497.29729729722</v>
      </c>
      <c r="K935" s="596">
        <v>4687200</v>
      </c>
      <c r="L935" s="597" t="s">
        <v>3888</v>
      </c>
    </row>
    <row r="936" spans="1:12" x14ac:dyDescent="0.2">
      <c r="A936" s="316">
        <v>40</v>
      </c>
      <c r="B936" s="591" t="s">
        <v>3589</v>
      </c>
      <c r="C936" s="598" t="s">
        <v>3673</v>
      </c>
      <c r="D936" s="737" t="s">
        <v>581</v>
      </c>
      <c r="E936" s="746" t="s">
        <v>596</v>
      </c>
      <c r="F936" s="746" t="s">
        <v>579</v>
      </c>
      <c r="G936" s="653" t="s">
        <v>3773</v>
      </c>
      <c r="H936" s="599">
        <v>44737</v>
      </c>
      <c r="I936" s="595">
        <f t="shared" si="79"/>
        <v>6837729.7297297288</v>
      </c>
      <c r="J936" s="595">
        <f t="shared" si="80"/>
        <v>752150.27027027018</v>
      </c>
      <c r="K936" s="596">
        <v>7589880</v>
      </c>
      <c r="L936" s="597" t="s">
        <v>3888</v>
      </c>
    </row>
    <row r="937" spans="1:12" x14ac:dyDescent="0.2">
      <c r="A937" s="316">
        <v>41</v>
      </c>
      <c r="B937" s="591" t="s">
        <v>3590</v>
      </c>
      <c r="C937" s="598" t="s">
        <v>3674</v>
      </c>
      <c r="D937" s="586" t="s">
        <v>1427</v>
      </c>
      <c r="E937" s="587" t="s">
        <v>425</v>
      </c>
      <c r="F937" s="588" t="s">
        <v>426</v>
      </c>
      <c r="G937" s="653" t="s">
        <v>3774</v>
      </c>
      <c r="H937" s="599">
        <v>44737</v>
      </c>
      <c r="I937" s="595">
        <f t="shared" si="79"/>
        <v>7394594.5945945941</v>
      </c>
      <c r="J937" s="595">
        <f t="shared" si="80"/>
        <v>813405.40540540533</v>
      </c>
      <c r="K937" s="596">
        <v>8208000</v>
      </c>
      <c r="L937" s="597" t="s">
        <v>3889</v>
      </c>
    </row>
    <row r="938" spans="1:12" x14ac:dyDescent="0.2">
      <c r="A938" s="316">
        <v>42</v>
      </c>
      <c r="B938" s="591" t="s">
        <v>3591</v>
      </c>
      <c r="C938" s="598" t="s">
        <v>3678</v>
      </c>
      <c r="D938" s="751" t="s">
        <v>581</v>
      </c>
      <c r="E938" s="770" t="s">
        <v>596</v>
      </c>
      <c r="F938" s="770" t="s">
        <v>579</v>
      </c>
      <c r="G938" s="653" t="s">
        <v>3775</v>
      </c>
      <c r="H938" s="599">
        <v>44739</v>
      </c>
      <c r="I938" s="595">
        <f t="shared" si="79"/>
        <v>2031567.5675675673</v>
      </c>
      <c r="J938" s="595">
        <f t="shared" si="80"/>
        <v>223472.4324324324</v>
      </c>
      <c r="K938" s="596">
        <v>2255040</v>
      </c>
      <c r="L938" s="597" t="s">
        <v>3889</v>
      </c>
    </row>
    <row r="939" spans="1:12" x14ac:dyDescent="0.2">
      <c r="A939" s="316">
        <v>43</v>
      </c>
      <c r="B939" s="591" t="s">
        <v>3592</v>
      </c>
      <c r="C939" s="598" t="s">
        <v>738</v>
      </c>
      <c r="D939" s="586" t="s">
        <v>584</v>
      </c>
      <c r="E939" s="587" t="s">
        <v>582</v>
      </c>
      <c r="F939" s="588" t="s">
        <v>583</v>
      </c>
      <c r="G939" s="653" t="s">
        <v>3776</v>
      </c>
      <c r="H939" s="599">
        <v>44739</v>
      </c>
      <c r="I939" s="595">
        <f t="shared" si="79"/>
        <v>1455810.8108108107</v>
      </c>
      <c r="J939" s="595">
        <f t="shared" si="80"/>
        <v>160139.18918918917</v>
      </c>
      <c r="K939" s="596">
        <v>1615950</v>
      </c>
      <c r="L939" s="597" t="s">
        <v>3888</v>
      </c>
    </row>
    <row r="940" spans="1:12" x14ac:dyDescent="0.2">
      <c r="A940" s="316">
        <v>44</v>
      </c>
      <c r="B940" s="591" t="s">
        <v>3593</v>
      </c>
      <c r="C940" s="598" t="s">
        <v>3679</v>
      </c>
      <c r="D940" s="737" t="s">
        <v>607</v>
      </c>
      <c r="E940" s="738" t="s">
        <v>605</v>
      </c>
      <c r="F940" s="739" t="s">
        <v>606</v>
      </c>
      <c r="G940" s="653" t="s">
        <v>3777</v>
      </c>
      <c r="H940" s="599">
        <v>44740</v>
      </c>
      <c r="I940" s="595">
        <f t="shared" si="79"/>
        <v>2451891.8918918916</v>
      </c>
      <c r="J940" s="595">
        <f t="shared" si="80"/>
        <v>269708.10810810811</v>
      </c>
      <c r="K940" s="596">
        <v>2721600</v>
      </c>
      <c r="L940" s="597" t="s">
        <v>3893</v>
      </c>
    </row>
    <row r="941" spans="1:12" x14ac:dyDescent="0.2">
      <c r="A941" s="316">
        <v>45</v>
      </c>
      <c r="B941" s="591" t="s">
        <v>3594</v>
      </c>
      <c r="C941" s="598" t="s">
        <v>3680</v>
      </c>
      <c r="D941" s="737" t="s">
        <v>580</v>
      </c>
      <c r="E941" s="738" t="s">
        <v>595</v>
      </c>
      <c r="F941" s="739" t="s">
        <v>579</v>
      </c>
      <c r="G941" s="653" t="s">
        <v>1637</v>
      </c>
      <c r="H941" s="599">
        <v>44740</v>
      </c>
      <c r="I941" s="595">
        <f t="shared" si="79"/>
        <v>13869924.324324323</v>
      </c>
      <c r="J941" s="595">
        <f t="shared" si="80"/>
        <v>1525691.6756756755</v>
      </c>
      <c r="K941" s="596">
        <v>15395616</v>
      </c>
      <c r="L941" s="597" t="s">
        <v>3888</v>
      </c>
    </row>
    <row r="942" spans="1:12" x14ac:dyDescent="0.2">
      <c r="A942" s="316">
        <v>46</v>
      </c>
      <c r="B942" s="591" t="s">
        <v>3595</v>
      </c>
      <c r="C942" s="598" t="s">
        <v>1418</v>
      </c>
      <c r="D942" s="586" t="s">
        <v>1427</v>
      </c>
      <c r="E942" s="587" t="s">
        <v>425</v>
      </c>
      <c r="F942" s="588" t="s">
        <v>426</v>
      </c>
      <c r="G942" s="653" t="s">
        <v>1638</v>
      </c>
      <c r="H942" s="599">
        <v>44742</v>
      </c>
      <c r="I942" s="595">
        <f t="shared" si="79"/>
        <v>17435675.675675675</v>
      </c>
      <c r="J942" s="595">
        <f t="shared" si="80"/>
        <v>1917924.3243243243</v>
      </c>
      <c r="K942" s="596">
        <v>19353600</v>
      </c>
      <c r="L942" s="597" t="s">
        <v>3890</v>
      </c>
    </row>
    <row r="943" spans="1:12" x14ac:dyDescent="0.2">
      <c r="A943" s="316">
        <v>47</v>
      </c>
      <c r="B943" s="591" t="s">
        <v>3596</v>
      </c>
      <c r="C943" s="598" t="s">
        <v>3718</v>
      </c>
      <c r="D943" s="751" t="s">
        <v>580</v>
      </c>
      <c r="E943" s="752" t="s">
        <v>595</v>
      </c>
      <c r="F943" s="753" t="s">
        <v>579</v>
      </c>
      <c r="G943" s="653" t="s">
        <v>1639</v>
      </c>
      <c r="H943" s="599">
        <v>44742</v>
      </c>
      <c r="I943" s="595">
        <f t="shared" si="79"/>
        <v>5731443.2432432426</v>
      </c>
      <c r="J943" s="595">
        <f t="shared" si="80"/>
        <v>630458.75675675669</v>
      </c>
      <c r="K943" s="596">
        <v>6361902</v>
      </c>
      <c r="L943" s="597" t="s">
        <v>3889</v>
      </c>
    </row>
    <row r="944" spans="1:12" x14ac:dyDescent="0.2">
      <c r="A944" s="316">
        <v>48</v>
      </c>
      <c r="B944" s="591" t="s">
        <v>3597</v>
      </c>
      <c r="C944" s="598" t="s">
        <v>3719</v>
      </c>
      <c r="D944" s="737" t="s">
        <v>581</v>
      </c>
      <c r="E944" s="746" t="s">
        <v>596</v>
      </c>
      <c r="F944" s="746" t="s">
        <v>579</v>
      </c>
      <c r="G944" s="653" t="s">
        <v>1640</v>
      </c>
      <c r="H944" s="599">
        <v>44742</v>
      </c>
      <c r="I944" s="595">
        <f t="shared" si="79"/>
        <v>2031567.5675675673</v>
      </c>
      <c r="J944" s="595">
        <f t="shared" si="80"/>
        <v>223472.4324324324</v>
      </c>
      <c r="K944" s="596">
        <v>2255040</v>
      </c>
      <c r="L944" s="597" t="s">
        <v>3889</v>
      </c>
    </row>
    <row r="945" spans="1:12" x14ac:dyDescent="0.2">
      <c r="A945" s="316">
        <v>49</v>
      </c>
      <c r="B945" s="591" t="s">
        <v>3598</v>
      </c>
      <c r="C945" s="598" t="s">
        <v>3737</v>
      </c>
      <c r="D945" s="586" t="s">
        <v>1427</v>
      </c>
      <c r="E945" s="587" t="s">
        <v>425</v>
      </c>
      <c r="F945" s="588" t="s">
        <v>426</v>
      </c>
      <c r="G945" s="653" t="s">
        <v>1641</v>
      </c>
      <c r="H945" s="599">
        <v>44737</v>
      </c>
      <c r="I945" s="595">
        <f t="shared" si="79"/>
        <v>18486486.486486483</v>
      </c>
      <c r="J945" s="595">
        <f t="shared" si="80"/>
        <v>2033513.5135135131</v>
      </c>
      <c r="K945" s="596">
        <v>20520000</v>
      </c>
      <c r="L945" s="597" t="s">
        <v>3889</v>
      </c>
    </row>
    <row r="946" spans="1:12" x14ac:dyDescent="0.2">
      <c r="A946" s="316">
        <v>50</v>
      </c>
      <c r="B946" s="591" t="s">
        <v>3607</v>
      </c>
      <c r="C946" s="598" t="s">
        <v>3900</v>
      </c>
      <c r="D946" s="769" t="s">
        <v>591</v>
      </c>
      <c r="E946" s="752" t="s">
        <v>777</v>
      </c>
      <c r="F946" s="753" t="s">
        <v>590</v>
      </c>
      <c r="G946" s="653" t="s">
        <v>1642</v>
      </c>
      <c r="H946" s="599">
        <v>44742</v>
      </c>
      <c r="I946" s="595">
        <f t="shared" si="79"/>
        <v>1313513.5135135134</v>
      </c>
      <c r="J946" s="595">
        <f t="shared" si="80"/>
        <v>144486.48648648648</v>
      </c>
      <c r="K946" s="596">
        <v>1458000</v>
      </c>
      <c r="L946" s="597" t="s">
        <v>3891</v>
      </c>
    </row>
    <row r="947" spans="1:12" x14ac:dyDescent="0.2">
      <c r="A947" s="316">
        <v>9</v>
      </c>
      <c r="B947" s="591" t="s">
        <v>3336</v>
      </c>
      <c r="C947" s="598" t="s">
        <v>3366</v>
      </c>
      <c r="D947" s="737" t="s">
        <v>580</v>
      </c>
      <c r="E947" s="738" t="s">
        <v>595</v>
      </c>
      <c r="F947" s="754" t="s">
        <v>579</v>
      </c>
      <c r="G947" s="653" t="s">
        <v>1643</v>
      </c>
      <c r="H947" s="599">
        <v>44722</v>
      </c>
      <c r="I947" s="595">
        <f t="shared" si="79"/>
        <v>3481663.9639639636</v>
      </c>
      <c r="J947" s="595">
        <f t="shared" si="80"/>
        <v>382983.03603603598</v>
      </c>
      <c r="K947" s="596">
        <v>3864647</v>
      </c>
      <c r="L947" s="597" t="s">
        <v>3888</v>
      </c>
    </row>
    <row r="948" spans="1:12" x14ac:dyDescent="0.2">
      <c r="A948" s="316">
        <v>51</v>
      </c>
      <c r="B948" s="591" t="s">
        <v>3608</v>
      </c>
      <c r="C948" s="598" t="s">
        <v>4051</v>
      </c>
      <c r="D948" s="586"/>
      <c r="E948" s="587" t="s">
        <v>992</v>
      </c>
      <c r="F948" s="588" t="s">
        <v>1075</v>
      </c>
      <c r="G948" s="653"/>
      <c r="H948" s="599">
        <v>44718</v>
      </c>
      <c r="I948" s="595">
        <f t="shared" ref="I948:I960" si="81">K948/1.11</f>
        <v>16909589.189189188</v>
      </c>
      <c r="J948" s="595">
        <f t="shared" ref="J948:J960" si="82">I948*11%</f>
        <v>1860054.8108108107</v>
      </c>
      <c r="K948" s="596">
        <f>10126620+5318784+3324240</f>
        <v>18769644</v>
      </c>
      <c r="L948" s="597"/>
    </row>
    <row r="949" spans="1:12" x14ac:dyDescent="0.2">
      <c r="A949" s="316">
        <v>52</v>
      </c>
      <c r="B949" s="591" t="s">
        <v>3609</v>
      </c>
      <c r="C949" s="598" t="s">
        <v>4037</v>
      </c>
      <c r="D949" s="586"/>
      <c r="E949" s="593" t="s">
        <v>1054</v>
      </c>
      <c r="F949" s="593" t="s">
        <v>1055</v>
      </c>
      <c r="G949" s="653"/>
      <c r="H949" s="594">
        <v>44718</v>
      </c>
      <c r="I949" s="595">
        <f t="shared" si="81"/>
        <v>5922608.1081081079</v>
      </c>
      <c r="J949" s="595">
        <f t="shared" si="82"/>
        <v>651486.89189189184</v>
      </c>
      <c r="K949" s="596">
        <f>1625184+875691+4073220</f>
        <v>6574095</v>
      </c>
      <c r="L949" s="597"/>
    </row>
    <row r="950" spans="1:12" x14ac:dyDescent="0.2">
      <c r="A950" s="316">
        <v>53</v>
      </c>
      <c r="B950" s="591" t="s">
        <v>3610</v>
      </c>
      <c r="C950" s="598" t="s">
        <v>3915</v>
      </c>
      <c r="D950" s="586"/>
      <c r="E950" s="587" t="s">
        <v>978</v>
      </c>
      <c r="F950" s="588" t="s">
        <v>590</v>
      </c>
      <c r="G950" s="653"/>
      <c r="H950" s="599">
        <v>44718</v>
      </c>
      <c r="I950" s="595">
        <f t="shared" si="81"/>
        <v>11111302.702702701</v>
      </c>
      <c r="J950" s="595">
        <f t="shared" si="82"/>
        <v>1222243.297297297</v>
      </c>
      <c r="K950" s="596">
        <f>2523960+8347536+1462050</f>
        <v>12333546</v>
      </c>
      <c r="L950" s="597"/>
    </row>
    <row r="951" spans="1:12" x14ac:dyDescent="0.2">
      <c r="A951" s="316">
        <v>54</v>
      </c>
      <c r="B951" s="591" t="s">
        <v>3611</v>
      </c>
      <c r="C951" s="598" t="s">
        <v>4074</v>
      </c>
      <c r="D951" s="586"/>
      <c r="E951" s="587" t="s">
        <v>979</v>
      </c>
      <c r="F951" s="588" t="s">
        <v>980</v>
      </c>
      <c r="G951" s="653"/>
      <c r="H951" s="599">
        <v>44718</v>
      </c>
      <c r="I951" s="595">
        <f t="shared" si="81"/>
        <v>13587567.567567566</v>
      </c>
      <c r="J951" s="595">
        <f t="shared" si="82"/>
        <v>1494632.4324324324</v>
      </c>
      <c r="K951" s="596">
        <f>2523960+7978176+4580064</f>
        <v>15082200</v>
      </c>
      <c r="L951" s="597"/>
    </row>
    <row r="952" spans="1:12" x14ac:dyDescent="0.2">
      <c r="A952" s="316">
        <v>55</v>
      </c>
      <c r="B952" s="591" t="s">
        <v>3612</v>
      </c>
      <c r="C952" s="598" t="s">
        <v>4059</v>
      </c>
      <c r="D952" s="586"/>
      <c r="E952" s="601" t="s">
        <v>1288</v>
      </c>
      <c r="F952" s="588" t="s">
        <v>1221</v>
      </c>
      <c r="G952" s="653"/>
      <c r="H952" s="599">
        <v>44718</v>
      </c>
      <c r="I952" s="595">
        <f t="shared" si="81"/>
        <v>8360975.6756756753</v>
      </c>
      <c r="J952" s="595">
        <f t="shared" si="82"/>
        <v>919707.32432432426</v>
      </c>
      <c r="K952" s="596">
        <f>4700619+4580064</f>
        <v>9280683</v>
      </c>
      <c r="L952" s="597"/>
    </row>
    <row r="953" spans="1:12" x14ac:dyDescent="0.2">
      <c r="A953" s="316">
        <v>56</v>
      </c>
      <c r="B953" s="591" t="s">
        <v>3613</v>
      </c>
      <c r="C953" s="598" t="s">
        <v>4012</v>
      </c>
      <c r="D953" s="586"/>
      <c r="E953" s="587" t="s">
        <v>1014</v>
      </c>
      <c r="F953" s="588" t="s">
        <v>1015</v>
      </c>
      <c r="G953" s="653"/>
      <c r="H953" s="599">
        <v>44718</v>
      </c>
      <c r="I953" s="595">
        <f t="shared" si="81"/>
        <v>12766767.567567566</v>
      </c>
      <c r="J953" s="595">
        <f t="shared" si="82"/>
        <v>1404344.4324324324</v>
      </c>
      <c r="K953" s="596">
        <f>2277720+4653936+7239456</f>
        <v>14171112</v>
      </c>
      <c r="L953" s="597"/>
    </row>
    <row r="954" spans="1:12" x14ac:dyDescent="0.2">
      <c r="A954" s="316">
        <v>57</v>
      </c>
      <c r="B954" s="591" t="s">
        <v>3614</v>
      </c>
      <c r="C954" s="598" t="s">
        <v>3923</v>
      </c>
      <c r="D954" s="586"/>
      <c r="E954" s="587" t="s">
        <v>1006</v>
      </c>
      <c r="F954" s="588" t="s">
        <v>984</v>
      </c>
      <c r="G954" s="653"/>
      <c r="H954" s="599">
        <v>44718</v>
      </c>
      <c r="I954" s="595">
        <f t="shared" si="81"/>
        <v>4153759.4594594589</v>
      </c>
      <c r="J954" s="595">
        <f t="shared" si="82"/>
        <v>456913.54054054047</v>
      </c>
      <c r="K954" s="596">
        <f>1649808+1785240+1175625</f>
        <v>4610673</v>
      </c>
      <c r="L954" s="597"/>
    </row>
    <row r="955" spans="1:12" x14ac:dyDescent="0.2">
      <c r="A955" s="316">
        <v>58</v>
      </c>
      <c r="B955" s="591" t="s">
        <v>3615</v>
      </c>
      <c r="C955" s="598" t="s">
        <v>4026</v>
      </c>
      <c r="D955" s="586"/>
      <c r="E955" s="587" t="s">
        <v>1103</v>
      </c>
      <c r="F955" s="588" t="s">
        <v>1104</v>
      </c>
      <c r="G955" s="653"/>
      <c r="H955" s="599">
        <v>44718</v>
      </c>
      <c r="I955" s="595">
        <f t="shared" si="81"/>
        <v>9411470.2702702694</v>
      </c>
      <c r="J955" s="595">
        <f t="shared" si="82"/>
        <v>1035261.7297297296</v>
      </c>
      <c r="K955" s="596">
        <f>5731236+1145016+3570480</f>
        <v>10446732</v>
      </c>
      <c r="L955" s="597"/>
    </row>
    <row r="956" spans="1:12" x14ac:dyDescent="0.2">
      <c r="A956" s="316">
        <v>59</v>
      </c>
      <c r="B956" s="591" t="s">
        <v>3616</v>
      </c>
      <c r="C956" s="598" t="s">
        <v>3914</v>
      </c>
      <c r="D956" s="586"/>
      <c r="E956" s="587" t="s">
        <v>995</v>
      </c>
      <c r="F956" s="588" t="s">
        <v>996</v>
      </c>
      <c r="G956" s="653"/>
      <c r="H956" s="599">
        <v>44718</v>
      </c>
      <c r="I956" s="595">
        <f t="shared" si="81"/>
        <v>17939286.486486483</v>
      </c>
      <c r="J956" s="595">
        <f t="shared" si="82"/>
        <v>1973321.5135135131</v>
      </c>
      <c r="K956" s="596">
        <f>3250368+10955628+5706612</f>
        <v>19912608</v>
      </c>
      <c r="L956" s="597"/>
    </row>
    <row r="957" spans="1:12" x14ac:dyDescent="0.2">
      <c r="A957" s="316">
        <v>60</v>
      </c>
      <c r="B957" s="591" t="s">
        <v>3617</v>
      </c>
      <c r="C957" s="598" t="s">
        <v>4027</v>
      </c>
      <c r="D957" s="586"/>
      <c r="E957" s="587" t="s">
        <v>1063</v>
      </c>
      <c r="F957" s="588" t="s">
        <v>993</v>
      </c>
      <c r="G957" s="653"/>
      <c r="H957" s="599">
        <v>44718</v>
      </c>
      <c r="I957" s="595">
        <f t="shared" si="81"/>
        <v>10714767.567567566</v>
      </c>
      <c r="J957" s="595">
        <f t="shared" si="82"/>
        <v>1178624.4324324324</v>
      </c>
      <c r="K957" s="596">
        <f>3213432+1440504+7239456</f>
        <v>11893392</v>
      </c>
      <c r="L957" s="597"/>
    </row>
    <row r="958" spans="1:12" x14ac:dyDescent="0.2">
      <c r="A958" s="316">
        <v>61</v>
      </c>
      <c r="B958" s="591" t="s">
        <v>3618</v>
      </c>
      <c r="C958" s="598" t="s">
        <v>4045</v>
      </c>
      <c r="D958" s="586"/>
      <c r="E958" s="587" t="s">
        <v>1072</v>
      </c>
      <c r="F958" s="588" t="s">
        <v>1058</v>
      </c>
      <c r="G958" s="653"/>
      <c r="H958" s="599">
        <v>44718</v>
      </c>
      <c r="I958" s="595">
        <f t="shared" si="81"/>
        <v>5724802.702702702</v>
      </c>
      <c r="J958" s="595">
        <f t="shared" si="82"/>
        <v>629728.29729729728</v>
      </c>
      <c r="K958" s="596">
        <f>3213432+3141099</f>
        <v>6354531</v>
      </c>
      <c r="L958" s="597"/>
    </row>
    <row r="959" spans="1:12" x14ac:dyDescent="0.2">
      <c r="A959" s="316">
        <v>62</v>
      </c>
      <c r="B959" s="591" t="s">
        <v>3619</v>
      </c>
      <c r="C959" s="598" t="s">
        <v>3908</v>
      </c>
      <c r="D959" s="586"/>
      <c r="E959" s="587" t="s">
        <v>1126</v>
      </c>
      <c r="F959" s="588" t="s">
        <v>1127</v>
      </c>
      <c r="G959" s="653"/>
      <c r="H959" s="599">
        <v>44718</v>
      </c>
      <c r="I959" s="595">
        <f t="shared" si="81"/>
        <v>7120994.5945945941</v>
      </c>
      <c r="J959" s="595">
        <f t="shared" si="82"/>
        <v>783309.40540540533</v>
      </c>
      <c r="K959" s="596">
        <v>7904304</v>
      </c>
      <c r="L959" s="597"/>
    </row>
    <row r="960" spans="1:12" x14ac:dyDescent="0.2">
      <c r="A960" s="316">
        <v>63</v>
      </c>
      <c r="B960" s="591" t="s">
        <v>3620</v>
      </c>
      <c r="C960" s="598" t="s">
        <v>3968</v>
      </c>
      <c r="D960" s="586"/>
      <c r="E960" s="587" t="s">
        <v>3909</v>
      </c>
      <c r="F960" s="588" t="s">
        <v>599</v>
      </c>
      <c r="G960" s="653"/>
      <c r="H960" s="599">
        <v>44718</v>
      </c>
      <c r="I960" s="595">
        <f t="shared" si="81"/>
        <v>6175135.1351351347</v>
      </c>
      <c r="J960" s="595">
        <f t="shared" si="82"/>
        <v>679264.86486486485</v>
      </c>
      <c r="K960" s="596">
        <f>2217600+4636800</f>
        <v>6854400</v>
      </c>
      <c r="L960" s="597"/>
    </row>
    <row r="961" spans="1:12" x14ac:dyDescent="0.2">
      <c r="A961" s="316">
        <v>64</v>
      </c>
      <c r="B961" s="591" t="s">
        <v>3621</v>
      </c>
      <c r="C961" s="598" t="s">
        <v>3963</v>
      </c>
      <c r="D961" s="586"/>
      <c r="E961" s="587" t="s">
        <v>992</v>
      </c>
      <c r="F961" s="588" t="s">
        <v>993</v>
      </c>
      <c r="G961" s="653"/>
      <c r="H961" s="599">
        <v>44718</v>
      </c>
      <c r="I961" s="595">
        <f t="shared" ref="I961:I1074" si="83">K961/1.11</f>
        <v>8174398.1981981974</v>
      </c>
      <c r="J961" s="595">
        <f t="shared" ref="J961:J1074" si="84">I961*11%</f>
        <v>899183.80180180178</v>
      </c>
      <c r="K961" s="596">
        <f>555750+7791082+726750</f>
        <v>9073582</v>
      </c>
      <c r="L961" s="597"/>
    </row>
    <row r="962" spans="1:12" x14ac:dyDescent="0.2">
      <c r="A962" s="316">
        <v>65</v>
      </c>
      <c r="B962" s="591" t="s">
        <v>3622</v>
      </c>
      <c r="C962" s="598" t="s">
        <v>4040</v>
      </c>
      <c r="D962" s="586"/>
      <c r="E962" s="587" t="s">
        <v>1205</v>
      </c>
      <c r="F962" s="588" t="s">
        <v>1206</v>
      </c>
      <c r="G962" s="653"/>
      <c r="H962" s="599">
        <v>44735</v>
      </c>
      <c r="I962" s="595">
        <f t="shared" si="83"/>
        <v>2239873.8738738736</v>
      </c>
      <c r="J962" s="595">
        <f t="shared" si="84"/>
        <v>246386.1261261261</v>
      </c>
      <c r="K962" s="596">
        <f>1912975+330890+242395</f>
        <v>2486260</v>
      </c>
      <c r="L962" s="597"/>
    </row>
    <row r="963" spans="1:12" x14ac:dyDescent="0.2">
      <c r="A963" s="316">
        <v>66</v>
      </c>
      <c r="B963" s="591" t="s">
        <v>3623</v>
      </c>
      <c r="C963" s="598" t="s">
        <v>3910</v>
      </c>
      <c r="D963" s="586"/>
      <c r="E963" s="587" t="s">
        <v>1085</v>
      </c>
      <c r="F963" s="588" t="s">
        <v>1047</v>
      </c>
      <c r="G963" s="653"/>
      <c r="H963" s="599">
        <v>44719</v>
      </c>
      <c r="I963" s="595">
        <f t="shared" si="83"/>
        <v>2705343.2432432431</v>
      </c>
      <c r="J963" s="595">
        <f t="shared" si="84"/>
        <v>297587.75675675675</v>
      </c>
      <c r="K963" s="596">
        <v>3002931</v>
      </c>
      <c r="L963" s="597"/>
    </row>
    <row r="964" spans="1:12" x14ac:dyDescent="0.2">
      <c r="A964" s="316">
        <v>67</v>
      </c>
      <c r="B964" s="591" t="s">
        <v>3624</v>
      </c>
      <c r="C964" s="598" t="s">
        <v>4109</v>
      </c>
      <c r="D964" s="586"/>
      <c r="E964" s="587" t="s">
        <v>1194</v>
      </c>
      <c r="F964" s="588" t="s">
        <v>620</v>
      </c>
      <c r="G964" s="761"/>
      <c r="H964" s="599">
        <v>44718</v>
      </c>
      <c r="I964" s="595">
        <f t="shared" si="83"/>
        <v>278343.2432432432</v>
      </c>
      <c r="J964" s="595">
        <f t="shared" si="84"/>
        <v>30617.756756756753</v>
      </c>
      <c r="K964" s="596">
        <f>259200+49761</f>
        <v>308961</v>
      </c>
      <c r="L964" s="597"/>
    </row>
    <row r="965" spans="1:12" x14ac:dyDescent="0.2">
      <c r="A965" s="316">
        <v>68</v>
      </c>
      <c r="B965" s="591" t="s">
        <v>3625</v>
      </c>
      <c r="C965" s="598" t="s">
        <v>3948</v>
      </c>
      <c r="D965" s="586"/>
      <c r="E965" s="587" t="s">
        <v>1090</v>
      </c>
      <c r="F965" s="588" t="s">
        <v>606</v>
      </c>
      <c r="G965" s="761"/>
      <c r="H965" s="599">
        <v>44719</v>
      </c>
      <c r="I965" s="595">
        <f t="shared" si="83"/>
        <v>10063118.918918919</v>
      </c>
      <c r="J965" s="595">
        <f t="shared" si="84"/>
        <v>1106943.0810810812</v>
      </c>
      <c r="K965" s="596">
        <f>2042766+3800304+5326992</f>
        <v>11170062</v>
      </c>
      <c r="L965" s="597"/>
    </row>
    <row r="966" spans="1:12" x14ac:dyDescent="0.2">
      <c r="A966" s="316">
        <v>69</v>
      </c>
      <c r="B966" s="591" t="s">
        <v>3626</v>
      </c>
      <c r="C966" s="598" t="s">
        <v>4019</v>
      </c>
      <c r="D966" s="586"/>
      <c r="E966" s="587" t="s">
        <v>992</v>
      </c>
      <c r="F966" s="588" t="s">
        <v>673</v>
      </c>
      <c r="G966" s="761"/>
      <c r="H966" s="599">
        <v>44719</v>
      </c>
      <c r="I966" s="595">
        <f t="shared" si="83"/>
        <v>26268989.189189188</v>
      </c>
      <c r="J966" s="595">
        <f t="shared" si="84"/>
        <v>2889588.8108108109</v>
      </c>
      <c r="K966" s="596">
        <f>4863240+23110308+1185030</f>
        <v>29158578</v>
      </c>
      <c r="L966" s="597"/>
    </row>
    <row r="967" spans="1:12" x14ac:dyDescent="0.2">
      <c r="A967" s="316">
        <v>70</v>
      </c>
      <c r="B967" s="591" t="s">
        <v>3627</v>
      </c>
      <c r="C967" s="598" t="s">
        <v>3911</v>
      </c>
      <c r="D967" s="586"/>
      <c r="E967" s="587" t="s">
        <v>1768</v>
      </c>
      <c r="F967" s="588" t="s">
        <v>1008</v>
      </c>
      <c r="G967" s="761"/>
      <c r="H967" s="599">
        <v>44719</v>
      </c>
      <c r="I967" s="595">
        <f t="shared" si="83"/>
        <v>6599675.6756756753</v>
      </c>
      <c r="J967" s="595">
        <f t="shared" si="84"/>
        <v>725964.32432432426</v>
      </c>
      <c r="K967" s="596">
        <v>7325640</v>
      </c>
      <c r="L967" s="597"/>
    </row>
    <row r="968" spans="1:12" x14ac:dyDescent="0.2">
      <c r="A968" s="316">
        <v>71</v>
      </c>
      <c r="B968" s="591" t="s">
        <v>3628</v>
      </c>
      <c r="C968" s="598" t="s">
        <v>3962</v>
      </c>
      <c r="D968" s="586"/>
      <c r="E968" s="587" t="s">
        <v>985</v>
      </c>
      <c r="F968" s="588" t="s">
        <v>426</v>
      </c>
      <c r="G968" s="761"/>
      <c r="H968" s="599">
        <v>44719</v>
      </c>
      <c r="I968" s="595">
        <f t="shared" si="83"/>
        <v>9015859.4594594594</v>
      </c>
      <c r="J968" s="595">
        <f t="shared" si="84"/>
        <v>991744.54054054059</v>
      </c>
      <c r="K968" s="596">
        <f>2560896+5029452+2417256</f>
        <v>10007604</v>
      </c>
      <c r="L968" s="597"/>
    </row>
    <row r="969" spans="1:12" x14ac:dyDescent="0.2">
      <c r="A969" s="316">
        <v>72</v>
      </c>
      <c r="B969" s="591" t="s">
        <v>3629</v>
      </c>
      <c r="C969" s="598" t="s">
        <v>3956</v>
      </c>
      <c r="D969" s="586"/>
      <c r="E969" s="593" t="s">
        <v>1036</v>
      </c>
      <c r="F969" s="593" t="s">
        <v>1008</v>
      </c>
      <c r="G969" s="761"/>
      <c r="H969" s="594">
        <v>44719</v>
      </c>
      <c r="I969" s="595">
        <f t="shared" si="83"/>
        <v>8354043.2432432426</v>
      </c>
      <c r="J969" s="595">
        <f t="shared" si="84"/>
        <v>918944.75675675669</v>
      </c>
      <c r="K969" s="596">
        <f>3092364+3250368+2930256</f>
        <v>9272988</v>
      </c>
      <c r="L969" s="597"/>
    </row>
    <row r="970" spans="1:12" x14ac:dyDescent="0.2">
      <c r="A970" s="316">
        <v>73</v>
      </c>
      <c r="B970" s="591" t="s">
        <v>3630</v>
      </c>
      <c r="C970" s="598" t="s">
        <v>4047</v>
      </c>
      <c r="D970" s="586"/>
      <c r="E970" s="587" t="s">
        <v>1034</v>
      </c>
      <c r="F970" s="588" t="s">
        <v>984</v>
      </c>
      <c r="G970" s="761"/>
      <c r="H970" s="599">
        <v>44719</v>
      </c>
      <c r="I970" s="595">
        <f t="shared" si="83"/>
        <v>4248964.8648648644</v>
      </c>
      <c r="J970" s="595">
        <f t="shared" si="84"/>
        <v>467386.13513513509</v>
      </c>
      <c r="K970" s="596">
        <f>1171179+2852793+692379</f>
        <v>4716351</v>
      </c>
      <c r="L970" s="597"/>
    </row>
    <row r="971" spans="1:12" x14ac:dyDescent="0.2">
      <c r="A971" s="316">
        <v>74</v>
      </c>
      <c r="B971" s="591" t="s">
        <v>3631</v>
      </c>
      <c r="C971" s="598" t="s">
        <v>3947</v>
      </c>
      <c r="D971" s="586"/>
      <c r="E971" s="587" t="s">
        <v>1009</v>
      </c>
      <c r="F971" s="588" t="s">
        <v>1008</v>
      </c>
      <c r="G971" s="761"/>
      <c r="H971" s="599">
        <v>44720</v>
      </c>
      <c r="I971" s="595">
        <f t="shared" si="83"/>
        <v>5587540.5405405397</v>
      </c>
      <c r="J971" s="595">
        <f t="shared" si="84"/>
        <v>614629.45945945941</v>
      </c>
      <c r="K971" s="596">
        <f>3473010+697680+2031480</f>
        <v>6202170</v>
      </c>
      <c r="L971" s="597"/>
    </row>
    <row r="972" spans="1:12" x14ac:dyDescent="0.2">
      <c r="A972" s="316">
        <v>75</v>
      </c>
      <c r="B972" s="591" t="s">
        <v>3632</v>
      </c>
      <c r="C972" s="598" t="s">
        <v>3972</v>
      </c>
      <c r="D972" s="586"/>
      <c r="E972" s="587" t="s">
        <v>1744</v>
      </c>
      <c r="F972" s="588" t="s">
        <v>1745</v>
      </c>
      <c r="G972" s="761"/>
      <c r="H972" s="599">
        <v>44720</v>
      </c>
      <c r="I972" s="595">
        <f t="shared" si="83"/>
        <v>3485164.8648648644</v>
      </c>
      <c r="J972" s="595">
        <f t="shared" si="84"/>
        <v>383368.13513513509</v>
      </c>
      <c r="K972" s="596">
        <f>156465+387828+3324240</f>
        <v>3868533</v>
      </c>
      <c r="L972" s="597"/>
    </row>
    <row r="973" spans="1:12" x14ac:dyDescent="0.2">
      <c r="A973" s="316">
        <v>76</v>
      </c>
      <c r="B973" s="591" t="s">
        <v>3633</v>
      </c>
      <c r="C973" s="598" t="s">
        <v>3912</v>
      </c>
      <c r="D973" s="586"/>
      <c r="E973" s="587" t="s">
        <v>1225</v>
      </c>
      <c r="F973" s="588" t="s">
        <v>1206</v>
      </c>
      <c r="G973" s="761"/>
      <c r="H973" s="599">
        <v>44720</v>
      </c>
      <c r="I973" s="595">
        <f t="shared" si="83"/>
        <v>2201563.9639639636</v>
      </c>
      <c r="J973" s="595">
        <f t="shared" si="84"/>
        <v>242172.03603603601</v>
      </c>
      <c r="K973" s="596">
        <v>2443736</v>
      </c>
      <c r="L973" s="597"/>
    </row>
    <row r="974" spans="1:12" x14ac:dyDescent="0.2">
      <c r="A974" s="316">
        <v>77</v>
      </c>
      <c r="B974" s="591" t="s">
        <v>3634</v>
      </c>
      <c r="C974" s="598" t="s">
        <v>3955</v>
      </c>
      <c r="D974" s="586"/>
      <c r="E974" s="587" t="s">
        <v>1083</v>
      </c>
      <c r="F974" s="588" t="s">
        <v>1084</v>
      </c>
      <c r="G974" s="761"/>
      <c r="H974" s="599">
        <v>44720</v>
      </c>
      <c r="I974" s="595">
        <f t="shared" si="83"/>
        <v>7029562.1621621614</v>
      </c>
      <c r="J974" s="595">
        <f t="shared" si="84"/>
        <v>773251.83783783775</v>
      </c>
      <c r="K974" s="596">
        <f>3828006+1232310+2742498</f>
        <v>7802814</v>
      </c>
      <c r="L974" s="597"/>
    </row>
    <row r="975" spans="1:12" x14ac:dyDescent="0.2">
      <c r="A975" s="316">
        <v>78</v>
      </c>
      <c r="B975" s="591" t="s">
        <v>3635</v>
      </c>
      <c r="C975" s="598" t="s">
        <v>3913</v>
      </c>
      <c r="D975" s="586"/>
      <c r="E975" s="587" t="s">
        <v>1298</v>
      </c>
      <c r="F975" s="588" t="s">
        <v>426</v>
      </c>
      <c r="G975" s="761"/>
      <c r="H975" s="599">
        <v>44720</v>
      </c>
      <c r="I975" s="595">
        <f t="shared" si="83"/>
        <v>775970.27027027018</v>
      </c>
      <c r="J975" s="595">
        <f t="shared" si="84"/>
        <v>85356.729729729719</v>
      </c>
      <c r="K975" s="596">
        <v>861327</v>
      </c>
      <c r="L975" s="597"/>
    </row>
    <row r="976" spans="1:12" x14ac:dyDescent="0.2">
      <c r="A976" s="316">
        <v>79</v>
      </c>
      <c r="B976" s="591" t="s">
        <v>3636</v>
      </c>
      <c r="C976" s="598" t="s">
        <v>3953</v>
      </c>
      <c r="D976" s="586"/>
      <c r="E976" s="587" t="s">
        <v>992</v>
      </c>
      <c r="F976" s="588" t="s">
        <v>583</v>
      </c>
      <c r="G976" s="761"/>
      <c r="H976" s="599">
        <v>44721</v>
      </c>
      <c r="I976" s="595">
        <f t="shared" si="83"/>
        <v>6462875.6756756753</v>
      </c>
      <c r="J976" s="595">
        <f t="shared" si="84"/>
        <v>710916.32432432426</v>
      </c>
      <c r="K976" s="596">
        <f>487350+6474060+212382</f>
        <v>7173792</v>
      </c>
      <c r="L976" s="597"/>
    </row>
    <row r="977" spans="1:12" x14ac:dyDescent="0.2">
      <c r="A977" s="316">
        <v>80</v>
      </c>
      <c r="B977" s="591" t="s">
        <v>3637</v>
      </c>
      <c r="C977" s="598" t="s">
        <v>3945</v>
      </c>
      <c r="D977" s="586"/>
      <c r="E977" s="587" t="s">
        <v>1040</v>
      </c>
      <c r="F977" s="588" t="s">
        <v>1019</v>
      </c>
      <c r="G977" s="761"/>
      <c r="H977" s="599">
        <v>44721</v>
      </c>
      <c r="I977" s="595">
        <f t="shared" si="83"/>
        <v>4103999.9999999995</v>
      </c>
      <c r="J977" s="595">
        <f t="shared" si="84"/>
        <v>451439.99999999994</v>
      </c>
      <c r="K977" s="596">
        <f>2216160+307800+2031480</f>
        <v>4555440</v>
      </c>
      <c r="L977" s="597"/>
    </row>
    <row r="978" spans="1:12" x14ac:dyDescent="0.2">
      <c r="A978" s="316">
        <v>81</v>
      </c>
      <c r="B978" s="591" t="s">
        <v>3638</v>
      </c>
      <c r="C978" s="598" t="s">
        <v>3984</v>
      </c>
      <c r="D978" s="586"/>
      <c r="E978" s="587" t="s">
        <v>976</v>
      </c>
      <c r="F978" s="588" t="s">
        <v>977</v>
      </c>
      <c r="G978" s="761"/>
      <c r="H978" s="599">
        <v>44721</v>
      </c>
      <c r="I978" s="595">
        <f t="shared" si="83"/>
        <v>10001189.189189188</v>
      </c>
      <c r="J978" s="595">
        <f t="shared" si="84"/>
        <v>1100130.8108108107</v>
      </c>
      <c r="K978" s="596">
        <f>6225768+3250368+1625184</f>
        <v>11101320</v>
      </c>
      <c r="L978" s="597"/>
    </row>
    <row r="979" spans="1:12" x14ac:dyDescent="0.2">
      <c r="A979" s="316">
        <v>82</v>
      </c>
      <c r="B979" s="591" t="s">
        <v>3639</v>
      </c>
      <c r="C979" s="598" t="s">
        <v>3944</v>
      </c>
      <c r="D979" s="586"/>
      <c r="E979" s="587" t="s">
        <v>1007</v>
      </c>
      <c r="F979" s="588" t="s">
        <v>1008</v>
      </c>
      <c r="G979" s="761"/>
      <c r="H979" s="599">
        <v>44721</v>
      </c>
      <c r="I979" s="595">
        <f t="shared" si="83"/>
        <v>6134237.8378378376</v>
      </c>
      <c r="J979" s="595">
        <f t="shared" si="84"/>
        <v>674766.16216216213</v>
      </c>
      <c r="K979" s="596">
        <f>3469887+1390230+1948887</f>
        <v>6809004</v>
      </c>
      <c r="L979" s="597"/>
    </row>
    <row r="980" spans="1:12" x14ac:dyDescent="0.2">
      <c r="A980" s="316">
        <v>83</v>
      </c>
      <c r="B980" s="591" t="s">
        <v>3640</v>
      </c>
      <c r="C980" s="598" t="s">
        <v>3916</v>
      </c>
      <c r="D980" s="586"/>
      <c r="E980" s="593" t="s">
        <v>3917</v>
      </c>
      <c r="F980" s="593" t="s">
        <v>426</v>
      </c>
      <c r="G980" s="761"/>
      <c r="H980" s="594">
        <v>44721</v>
      </c>
      <c r="I980" s="595">
        <f t="shared" si="83"/>
        <v>160585.58558558556</v>
      </c>
      <c r="J980" s="595">
        <f t="shared" si="84"/>
        <v>17664.414414414412</v>
      </c>
      <c r="K980" s="596">
        <v>178250</v>
      </c>
      <c r="L980" s="597"/>
    </row>
    <row r="981" spans="1:12" x14ac:dyDescent="0.2">
      <c r="A981" s="316">
        <v>84</v>
      </c>
      <c r="B981" s="591" t="s">
        <v>3641</v>
      </c>
      <c r="C981" s="598" t="s">
        <v>4160</v>
      </c>
      <c r="D981" s="586"/>
      <c r="E981" s="593" t="s">
        <v>972</v>
      </c>
      <c r="F981" s="593" t="s">
        <v>966</v>
      </c>
      <c r="G981" s="761"/>
      <c r="H981" s="594">
        <v>44721</v>
      </c>
      <c r="I981" s="595">
        <f t="shared" si="83"/>
        <v>10149859.459459459</v>
      </c>
      <c r="J981" s="595">
        <f t="shared" si="84"/>
        <v>1116484.5405405406</v>
      </c>
      <c r="K981" s="596">
        <f>2339280+4347000+4580064</f>
        <v>11266344</v>
      </c>
      <c r="L981" s="597"/>
    </row>
    <row r="982" spans="1:12" x14ac:dyDescent="0.2">
      <c r="A982" s="316">
        <v>85</v>
      </c>
      <c r="B982" s="591" t="s">
        <v>3642</v>
      </c>
      <c r="C982" s="598" t="s">
        <v>3939</v>
      </c>
      <c r="D982" s="586"/>
      <c r="E982" s="587" t="s">
        <v>965</v>
      </c>
      <c r="F982" s="588" t="s">
        <v>966</v>
      </c>
      <c r="G982" s="761"/>
      <c r="H982" s="599">
        <v>44721</v>
      </c>
      <c r="I982" s="595">
        <f t="shared" si="83"/>
        <v>42349382.882882878</v>
      </c>
      <c r="J982" s="595">
        <f t="shared" si="84"/>
        <v>4658432.1171171162</v>
      </c>
      <c r="K982" s="596">
        <f>11179296+25948139+9880380</f>
        <v>47007815</v>
      </c>
      <c r="L982" s="597"/>
    </row>
    <row r="983" spans="1:12" x14ac:dyDescent="0.2">
      <c r="A983" s="316">
        <v>86</v>
      </c>
      <c r="B983" s="591" t="s">
        <v>3643</v>
      </c>
      <c r="C983" s="598" t="s">
        <v>4162</v>
      </c>
      <c r="D983" s="586"/>
      <c r="E983" s="587" t="s">
        <v>1317</v>
      </c>
      <c r="F983" s="588" t="s">
        <v>966</v>
      </c>
      <c r="G983" s="761"/>
      <c r="H983" s="599">
        <v>44721</v>
      </c>
      <c r="I983" s="595">
        <f t="shared" si="83"/>
        <v>7997254.0540540535</v>
      </c>
      <c r="J983" s="595">
        <f t="shared" si="84"/>
        <v>879697.94594594592</v>
      </c>
      <c r="K983" s="596">
        <f>1169640+7707312</f>
        <v>8876952</v>
      </c>
      <c r="L983" s="597"/>
    </row>
    <row r="984" spans="1:12" x14ac:dyDescent="0.2">
      <c r="A984" s="316">
        <v>87</v>
      </c>
      <c r="B984" s="591" t="s">
        <v>3644</v>
      </c>
      <c r="C984" s="598" t="s">
        <v>4149</v>
      </c>
      <c r="D984" s="586"/>
      <c r="E984" s="587" t="s">
        <v>1062</v>
      </c>
      <c r="F984" s="588" t="s">
        <v>966</v>
      </c>
      <c r="G984" s="761"/>
      <c r="H984" s="599">
        <v>44722</v>
      </c>
      <c r="I984" s="595">
        <f t="shared" si="83"/>
        <v>15512244.144144142</v>
      </c>
      <c r="J984" s="595">
        <f t="shared" si="84"/>
        <v>1706346.8558558556</v>
      </c>
      <c r="K984" s="596">
        <f>6659766+7038360+3520465</f>
        <v>17218591</v>
      </c>
      <c r="L984" s="597"/>
    </row>
    <row r="985" spans="1:12" x14ac:dyDescent="0.2">
      <c r="A985" s="316">
        <v>88</v>
      </c>
      <c r="B985" s="591" t="s">
        <v>3645</v>
      </c>
      <c r="C985" s="598" t="s">
        <v>3918</v>
      </c>
      <c r="D985" s="586"/>
      <c r="E985" s="587" t="s">
        <v>1217</v>
      </c>
      <c r="F985" s="588" t="s">
        <v>1218</v>
      </c>
      <c r="G985" s="761"/>
      <c r="H985" s="599">
        <v>44722</v>
      </c>
      <c r="I985" s="595">
        <f t="shared" si="83"/>
        <v>6080205.405405405</v>
      </c>
      <c r="J985" s="595">
        <f t="shared" si="84"/>
        <v>668822.59459459456</v>
      </c>
      <c r="K985" s="596">
        <v>6749028</v>
      </c>
      <c r="L985" s="597"/>
    </row>
    <row r="986" spans="1:12" x14ac:dyDescent="0.2">
      <c r="A986" s="316">
        <v>89</v>
      </c>
      <c r="B986" s="591" t="s">
        <v>3646</v>
      </c>
      <c r="C986" s="598" t="s">
        <v>3922</v>
      </c>
      <c r="D986" s="586"/>
      <c r="E986" s="587" t="s">
        <v>1729</v>
      </c>
      <c r="F986" s="588" t="s">
        <v>599</v>
      </c>
      <c r="G986" s="761"/>
      <c r="H986" s="599">
        <v>44722</v>
      </c>
      <c r="I986" s="595">
        <f t="shared" si="83"/>
        <v>229529.7297297297</v>
      </c>
      <c r="J986" s="595">
        <f t="shared" si="84"/>
        <v>25248.270270270266</v>
      </c>
      <c r="K986" s="596">
        <v>254778</v>
      </c>
      <c r="L986" s="597"/>
    </row>
    <row r="987" spans="1:12" x14ac:dyDescent="0.2">
      <c r="A987" s="316">
        <v>90</v>
      </c>
      <c r="B987" s="591" t="s">
        <v>3647</v>
      </c>
      <c r="C987" s="598" t="s">
        <v>3961</v>
      </c>
      <c r="D987" s="586"/>
      <c r="E987" s="587" t="s">
        <v>1021</v>
      </c>
      <c r="F987" s="588" t="s">
        <v>1022</v>
      </c>
      <c r="G987" s="761"/>
      <c r="H987" s="599">
        <v>44722</v>
      </c>
      <c r="I987" s="595">
        <f t="shared" si="83"/>
        <v>3501076.5765765761</v>
      </c>
      <c r="J987" s="595">
        <f t="shared" si="84"/>
        <v>385118.42342342337</v>
      </c>
      <c r="K987" s="596">
        <f>777415+153900+2954880</f>
        <v>3886195</v>
      </c>
      <c r="L987" s="597"/>
    </row>
    <row r="988" spans="1:12" x14ac:dyDescent="0.2">
      <c r="A988" s="316">
        <v>91</v>
      </c>
      <c r="B988" s="591" t="s">
        <v>3648</v>
      </c>
      <c r="C988" s="598" t="s">
        <v>3987</v>
      </c>
      <c r="D988" s="586"/>
      <c r="E988" s="587" t="s">
        <v>2493</v>
      </c>
      <c r="F988" s="588" t="s">
        <v>996</v>
      </c>
      <c r="G988" s="761"/>
      <c r="H988" s="599">
        <v>44722</v>
      </c>
      <c r="I988" s="595">
        <f t="shared" si="83"/>
        <v>5539070.2702702694</v>
      </c>
      <c r="J988" s="595">
        <f t="shared" si="84"/>
        <v>609297.72972972959</v>
      </c>
      <c r="K988" s="596">
        <f>3250368+2898000</f>
        <v>6148368</v>
      </c>
      <c r="L988" s="597"/>
    </row>
    <row r="989" spans="1:12" x14ac:dyDescent="0.2">
      <c r="A989" s="316">
        <v>92</v>
      </c>
      <c r="B989" s="591" t="s">
        <v>3649</v>
      </c>
      <c r="C989" s="598" t="s">
        <v>4070</v>
      </c>
      <c r="D989" s="586"/>
      <c r="E989" s="587" t="s">
        <v>1006</v>
      </c>
      <c r="F989" s="588" t="s">
        <v>984</v>
      </c>
      <c r="G989" s="761"/>
      <c r="H989" s="599">
        <v>44722</v>
      </c>
      <c r="I989" s="595">
        <f t="shared" si="83"/>
        <v>13431827.027027026</v>
      </c>
      <c r="J989" s="595">
        <f t="shared" si="84"/>
        <v>1477500.9729729728</v>
      </c>
      <c r="K989" s="596">
        <f>7100442+3250368+372438+4186080</f>
        <v>14909328</v>
      </c>
      <c r="L989" s="597"/>
    </row>
    <row r="990" spans="1:12" x14ac:dyDescent="0.2">
      <c r="A990" s="316">
        <v>93</v>
      </c>
      <c r="B990" s="591" t="s">
        <v>3650</v>
      </c>
      <c r="C990" s="598" t="s">
        <v>3934</v>
      </c>
      <c r="D990" s="586"/>
      <c r="E990" s="587" t="s">
        <v>1864</v>
      </c>
      <c r="F990" s="588" t="s">
        <v>1042</v>
      </c>
      <c r="G990" s="761"/>
      <c r="H990" s="599">
        <v>44722</v>
      </c>
      <c r="I990" s="595">
        <f t="shared" si="83"/>
        <v>1192375.6756756755</v>
      </c>
      <c r="J990" s="595">
        <f t="shared" si="84"/>
        <v>131161.32432432432</v>
      </c>
      <c r="K990" s="596">
        <v>1323537</v>
      </c>
      <c r="L990" s="597"/>
    </row>
    <row r="991" spans="1:12" x14ac:dyDescent="0.2">
      <c r="A991" s="316">
        <v>94</v>
      </c>
      <c r="B991" s="591" t="s">
        <v>3651</v>
      </c>
      <c r="C991" s="598" t="s">
        <v>3983</v>
      </c>
      <c r="D991" s="586"/>
      <c r="E991" s="587" t="s">
        <v>978</v>
      </c>
      <c r="F991" s="588" t="s">
        <v>590</v>
      </c>
      <c r="G991" s="761"/>
      <c r="H991" s="599">
        <v>44723</v>
      </c>
      <c r="I991" s="595">
        <f t="shared" si="83"/>
        <v>9888421.6216216199</v>
      </c>
      <c r="J991" s="595">
        <f t="shared" si="84"/>
        <v>1087726.3783783782</v>
      </c>
      <c r="K991" s="596">
        <f>2359800+5097168+3519180</f>
        <v>10976148</v>
      </c>
      <c r="L991" s="597"/>
    </row>
    <row r="992" spans="1:12" x14ac:dyDescent="0.2">
      <c r="A992" s="316">
        <v>95</v>
      </c>
      <c r="B992" s="591" t="s">
        <v>3652</v>
      </c>
      <c r="C992" s="602" t="s">
        <v>3935</v>
      </c>
      <c r="D992" s="603"/>
      <c r="E992" s="604" t="s">
        <v>1226</v>
      </c>
      <c r="F992" s="605" t="s">
        <v>1127</v>
      </c>
      <c r="G992" s="761"/>
      <c r="H992" s="606">
        <v>44723</v>
      </c>
      <c r="I992" s="595">
        <f t="shared" si="83"/>
        <v>615518.91891891882</v>
      </c>
      <c r="J992" s="595">
        <f t="shared" si="84"/>
        <v>67707.081081081065</v>
      </c>
      <c r="K992" s="596">
        <v>683226</v>
      </c>
      <c r="L992" s="597"/>
    </row>
    <row r="993" spans="1:12" x14ac:dyDescent="0.2">
      <c r="A993" s="316">
        <v>96</v>
      </c>
      <c r="B993" s="591" t="s">
        <v>3653</v>
      </c>
      <c r="C993" s="598" t="s">
        <v>3952</v>
      </c>
      <c r="D993" s="586"/>
      <c r="E993" s="593" t="s">
        <v>1246</v>
      </c>
      <c r="F993" s="593" t="s">
        <v>579</v>
      </c>
      <c r="G993" s="761"/>
      <c r="H993" s="599">
        <v>44723</v>
      </c>
      <c r="I993" s="595">
        <f t="shared" si="83"/>
        <v>4632867.5675675673</v>
      </c>
      <c r="J993" s="595">
        <f t="shared" si="84"/>
        <v>509615.43243243243</v>
      </c>
      <c r="K993" s="596">
        <f>491625+1400490+3250368</f>
        <v>5142483</v>
      </c>
      <c r="L993" s="597"/>
    </row>
    <row r="994" spans="1:12" x14ac:dyDescent="0.2">
      <c r="A994" s="316">
        <v>97</v>
      </c>
      <c r="B994" s="591" t="s">
        <v>3654</v>
      </c>
      <c r="C994" s="598" t="s">
        <v>3990</v>
      </c>
      <c r="D994" s="586"/>
      <c r="E994" s="587" t="s">
        <v>3936</v>
      </c>
      <c r="F994" s="588" t="s">
        <v>996</v>
      </c>
      <c r="G994" s="761"/>
      <c r="H994" s="599">
        <v>44723</v>
      </c>
      <c r="I994" s="595">
        <f t="shared" si="83"/>
        <v>8129774.774774774</v>
      </c>
      <c r="J994" s="595">
        <f t="shared" si="84"/>
        <v>894275.22522522509</v>
      </c>
      <c r="K994" s="596">
        <f>4636800+2938250+1449000</f>
        <v>9024050</v>
      </c>
      <c r="L994" s="597"/>
    </row>
    <row r="995" spans="1:12" x14ac:dyDescent="0.2">
      <c r="A995" s="316">
        <v>98</v>
      </c>
      <c r="B995" s="591" t="s">
        <v>3655</v>
      </c>
      <c r="C995" s="598" t="s">
        <v>3937</v>
      </c>
      <c r="D995" s="586"/>
      <c r="E995" s="587" t="s">
        <v>1783</v>
      </c>
      <c r="F995" s="588" t="s">
        <v>620</v>
      </c>
      <c r="G995" s="761"/>
      <c r="H995" s="599">
        <v>44723</v>
      </c>
      <c r="I995" s="595">
        <f t="shared" si="83"/>
        <v>3188918.9189189188</v>
      </c>
      <c r="J995" s="595">
        <f t="shared" si="84"/>
        <v>350781.08108108107</v>
      </c>
      <c r="K995" s="596">
        <v>3539700</v>
      </c>
      <c r="L995" s="597"/>
    </row>
    <row r="996" spans="1:12" x14ac:dyDescent="0.2">
      <c r="A996" s="316">
        <v>99</v>
      </c>
      <c r="B996" s="591" t="s">
        <v>3656</v>
      </c>
      <c r="C996" s="598" t="s">
        <v>3977</v>
      </c>
      <c r="D996" s="586"/>
      <c r="E996" s="587" t="s">
        <v>1243</v>
      </c>
      <c r="F996" s="588" t="s">
        <v>1244</v>
      </c>
      <c r="G996" s="761"/>
      <c r="H996" s="599">
        <v>44723</v>
      </c>
      <c r="I996" s="595">
        <f t="shared" si="83"/>
        <v>802735.13513513503</v>
      </c>
      <c r="J996" s="595">
        <f t="shared" si="84"/>
        <v>88300.864864864852</v>
      </c>
      <c r="K996" s="596">
        <f>289800+601236</f>
        <v>891036</v>
      </c>
      <c r="L996" s="597"/>
    </row>
    <row r="997" spans="1:12" x14ac:dyDescent="0.2">
      <c r="A997" s="316">
        <v>100</v>
      </c>
      <c r="B997" s="591" t="s">
        <v>3778</v>
      </c>
      <c r="C997" s="598" t="s">
        <v>3954</v>
      </c>
      <c r="D997" s="586"/>
      <c r="E997" s="587" t="s">
        <v>1046</v>
      </c>
      <c r="F997" s="588" t="s">
        <v>1047</v>
      </c>
      <c r="G997" s="761"/>
      <c r="H997" s="599">
        <v>44723</v>
      </c>
      <c r="I997" s="595">
        <f t="shared" si="83"/>
        <v>2397697.297297297</v>
      </c>
      <c r="J997" s="595">
        <f t="shared" si="84"/>
        <v>263746.70270270266</v>
      </c>
      <c r="K997" s="596">
        <f>1671354+990090</f>
        <v>2661444</v>
      </c>
      <c r="L997" s="597"/>
    </row>
    <row r="998" spans="1:12" x14ac:dyDescent="0.2">
      <c r="A998" s="316">
        <v>101</v>
      </c>
      <c r="B998" s="591" t="s">
        <v>3779</v>
      </c>
      <c r="C998" s="598" t="s">
        <v>3938</v>
      </c>
      <c r="D998" s="586"/>
      <c r="E998" s="587" t="s">
        <v>2393</v>
      </c>
      <c r="F998" s="588" t="s">
        <v>3045</v>
      </c>
      <c r="G998" s="761"/>
      <c r="H998" s="599">
        <v>44725</v>
      </c>
      <c r="I998" s="595">
        <f t="shared" si="83"/>
        <v>372972.97297297296</v>
      </c>
      <c r="J998" s="595">
        <f t="shared" si="84"/>
        <v>41027.027027027027</v>
      </c>
      <c r="K998" s="596">
        <v>414000</v>
      </c>
      <c r="L998" s="597"/>
    </row>
    <row r="999" spans="1:12" x14ac:dyDescent="0.2">
      <c r="A999" s="316">
        <v>102</v>
      </c>
      <c r="B999" s="591" t="s">
        <v>3780</v>
      </c>
      <c r="C999" s="598" t="s">
        <v>3940</v>
      </c>
      <c r="D999" s="586"/>
      <c r="E999" s="587" t="s">
        <v>1032</v>
      </c>
      <c r="F999" s="588" t="s">
        <v>1033</v>
      </c>
      <c r="G999" s="761"/>
      <c r="H999" s="599">
        <v>44725</v>
      </c>
      <c r="I999" s="595">
        <f t="shared" si="83"/>
        <v>1733570.2702702701</v>
      </c>
      <c r="J999" s="595">
        <f t="shared" si="84"/>
        <v>190692.7297297297</v>
      </c>
      <c r="K999" s="596">
        <v>1924263</v>
      </c>
      <c r="L999" s="597"/>
    </row>
    <row r="1000" spans="1:12" x14ac:dyDescent="0.2">
      <c r="A1000" s="316">
        <v>103</v>
      </c>
      <c r="B1000" s="591" t="s">
        <v>3781</v>
      </c>
      <c r="C1000" s="598" t="s">
        <v>4077</v>
      </c>
      <c r="D1000" s="586"/>
      <c r="E1000" s="587" t="s">
        <v>1082</v>
      </c>
      <c r="F1000" s="588" t="s">
        <v>1058</v>
      </c>
      <c r="G1000" s="761"/>
      <c r="H1000" s="599">
        <v>44725</v>
      </c>
      <c r="I1000" s="595">
        <f t="shared" si="83"/>
        <v>7920535.1351351347</v>
      </c>
      <c r="J1000" s="595">
        <f t="shared" si="84"/>
        <v>871258.86486486485</v>
      </c>
      <c r="K1000" s="596">
        <f>2586546+1625184+4580064</f>
        <v>8791794</v>
      </c>
      <c r="L1000" s="597"/>
    </row>
    <row r="1001" spans="1:12" x14ac:dyDescent="0.2">
      <c r="A1001" s="316">
        <v>104</v>
      </c>
      <c r="B1001" s="591" t="s">
        <v>3782</v>
      </c>
      <c r="C1001" s="598" t="s">
        <v>4013</v>
      </c>
      <c r="D1001" s="586"/>
      <c r="E1001" s="587" t="s">
        <v>995</v>
      </c>
      <c r="F1001" s="588" t="s">
        <v>996</v>
      </c>
      <c r="G1001" s="761"/>
      <c r="H1001" s="599">
        <v>44725</v>
      </c>
      <c r="I1001" s="595">
        <f t="shared" si="83"/>
        <v>10253529.729729729</v>
      </c>
      <c r="J1001" s="595">
        <f t="shared" si="84"/>
        <v>1127888.2702702701</v>
      </c>
      <c r="K1001" s="596">
        <f>2363904+4346136+4671378</f>
        <v>11381418</v>
      </c>
      <c r="L1001" s="597"/>
    </row>
    <row r="1002" spans="1:12" x14ac:dyDescent="0.2">
      <c r="A1002" s="316">
        <v>105</v>
      </c>
      <c r="B1002" s="591" t="s">
        <v>3783</v>
      </c>
      <c r="C1002" s="598" t="s">
        <v>4042</v>
      </c>
      <c r="D1002" s="586"/>
      <c r="E1002" s="587" t="s">
        <v>1755</v>
      </c>
      <c r="F1002" s="588" t="s">
        <v>1104</v>
      </c>
      <c r="G1002" s="761"/>
      <c r="H1002" s="599">
        <v>44725</v>
      </c>
      <c r="I1002" s="595">
        <f t="shared" si="83"/>
        <v>3234672.9729729728</v>
      </c>
      <c r="J1002" s="595">
        <f t="shared" si="84"/>
        <v>355814.02702702698</v>
      </c>
      <c r="K1002" s="596">
        <f>1662120+1928367</f>
        <v>3590487</v>
      </c>
      <c r="L1002" s="597"/>
    </row>
    <row r="1003" spans="1:12" x14ac:dyDescent="0.2">
      <c r="A1003" s="316">
        <v>106</v>
      </c>
      <c r="B1003" s="591" t="s">
        <v>3784</v>
      </c>
      <c r="C1003" s="602" t="s">
        <v>3959</v>
      </c>
      <c r="D1003" s="603"/>
      <c r="E1003" s="604" t="s">
        <v>1220</v>
      </c>
      <c r="F1003" s="605" t="s">
        <v>1221</v>
      </c>
      <c r="G1003" s="761"/>
      <c r="H1003" s="606">
        <v>44725</v>
      </c>
      <c r="I1003" s="595">
        <f t="shared" si="83"/>
        <v>6570097.297297297</v>
      </c>
      <c r="J1003" s="595">
        <f t="shared" si="84"/>
        <v>722710.70270270272</v>
      </c>
      <c r="K1003" s="596">
        <f>1733940+1465128+4093740</f>
        <v>7292808</v>
      </c>
      <c r="L1003" s="597"/>
    </row>
    <row r="1004" spans="1:12" x14ac:dyDescent="0.2">
      <c r="A1004" s="316">
        <v>107</v>
      </c>
      <c r="B1004" s="591" t="s">
        <v>3785</v>
      </c>
      <c r="C1004" s="598" t="s">
        <v>3985</v>
      </c>
      <c r="D1004" s="586"/>
      <c r="E1004" s="593" t="s">
        <v>1016</v>
      </c>
      <c r="F1004" s="593" t="s">
        <v>1017</v>
      </c>
      <c r="G1004" s="761"/>
      <c r="H1004" s="599">
        <v>44726</v>
      </c>
      <c r="I1004" s="595">
        <f t="shared" si="83"/>
        <v>2912545.9459459456</v>
      </c>
      <c r="J1004" s="595">
        <f t="shared" si="84"/>
        <v>320380.05405405402</v>
      </c>
      <c r="K1004" s="596">
        <f>543780+522234+2166912</f>
        <v>3232926</v>
      </c>
      <c r="L1004" s="597"/>
    </row>
    <row r="1005" spans="1:12" x14ac:dyDescent="0.2">
      <c r="A1005" s="316">
        <v>108</v>
      </c>
      <c r="B1005" s="591" t="s">
        <v>3786</v>
      </c>
      <c r="C1005" s="598" t="s">
        <v>1086</v>
      </c>
      <c r="D1005" s="586"/>
      <c r="E1005" s="587" t="s">
        <v>3941</v>
      </c>
      <c r="F1005" s="588" t="s">
        <v>3045</v>
      </c>
      <c r="G1005" s="761"/>
      <c r="H1005" s="599">
        <v>44725</v>
      </c>
      <c r="I1005" s="595">
        <f t="shared" si="83"/>
        <v>286540.54054054053</v>
      </c>
      <c r="J1005" s="595">
        <f t="shared" si="84"/>
        <v>31519.45945945946</v>
      </c>
      <c r="K1005" s="596">
        <v>318060</v>
      </c>
      <c r="L1005" s="597"/>
    </row>
    <row r="1006" spans="1:12" x14ac:dyDescent="0.2">
      <c r="A1006" s="316">
        <v>109</v>
      </c>
      <c r="B1006" s="591" t="s">
        <v>3787</v>
      </c>
      <c r="C1006" s="598" t="s">
        <v>4152</v>
      </c>
      <c r="D1006" s="586"/>
      <c r="E1006" s="587" t="s">
        <v>1315</v>
      </c>
      <c r="F1006" s="588" t="s">
        <v>966</v>
      </c>
      <c r="G1006" s="761"/>
      <c r="H1006" s="599">
        <v>44726</v>
      </c>
      <c r="I1006" s="595">
        <f t="shared" si="83"/>
        <v>23743956.756756756</v>
      </c>
      <c r="J1006" s="595">
        <f t="shared" si="84"/>
        <v>2611835.2432432431</v>
      </c>
      <c r="K1006" s="596">
        <f>1551312+7643700+17160780</f>
        <v>26355792</v>
      </c>
      <c r="L1006" s="597"/>
    </row>
    <row r="1007" spans="1:12" x14ac:dyDescent="0.2">
      <c r="A1007" s="316">
        <v>110</v>
      </c>
      <c r="B1007" s="591" t="s">
        <v>3788</v>
      </c>
      <c r="C1007" s="598" t="s">
        <v>4016</v>
      </c>
      <c r="D1007" s="586"/>
      <c r="E1007" s="587" t="s">
        <v>3022</v>
      </c>
      <c r="F1007" s="588" t="s">
        <v>1019</v>
      </c>
      <c r="G1007" s="761"/>
      <c r="H1007" s="599">
        <v>44726</v>
      </c>
      <c r="I1007" s="595">
        <f t="shared" ref="I1007:I1056" si="85">K1007/1.11</f>
        <v>6294954.9549549548</v>
      </c>
      <c r="J1007" s="595">
        <f t="shared" ref="J1007:J1056" si="86">I1007*11%</f>
        <v>692445.04504504509</v>
      </c>
      <c r="K1007" s="596">
        <f>2318400+4669000</f>
        <v>6987400</v>
      </c>
      <c r="L1007" s="597"/>
    </row>
    <row r="1008" spans="1:12" x14ac:dyDescent="0.2">
      <c r="A1008" s="316">
        <v>111</v>
      </c>
      <c r="B1008" s="591" t="s">
        <v>3789</v>
      </c>
      <c r="C1008" s="598" t="s">
        <v>3942</v>
      </c>
      <c r="D1008" s="586"/>
      <c r="E1008" s="587" t="s">
        <v>3943</v>
      </c>
      <c r="F1008" s="588" t="s">
        <v>606</v>
      </c>
      <c r="G1008" s="761"/>
      <c r="H1008" s="599">
        <v>44726</v>
      </c>
      <c r="I1008" s="595">
        <f t="shared" si="85"/>
        <v>297632.43243243243</v>
      </c>
      <c r="J1008" s="595">
        <f t="shared" si="86"/>
        <v>32739.567567567567</v>
      </c>
      <c r="K1008" s="596">
        <v>330372</v>
      </c>
      <c r="L1008" s="597"/>
    </row>
    <row r="1009" spans="1:12" x14ac:dyDescent="0.2">
      <c r="A1009" s="316">
        <v>112</v>
      </c>
      <c r="B1009" s="591" t="s">
        <v>3790</v>
      </c>
      <c r="C1009" s="598" t="s">
        <v>3981</v>
      </c>
      <c r="D1009" s="586"/>
      <c r="E1009" s="587" t="s">
        <v>1727</v>
      </c>
      <c r="F1009" s="588" t="s">
        <v>987</v>
      </c>
      <c r="G1009" s="761"/>
      <c r="H1009" s="599">
        <v>44727</v>
      </c>
      <c r="I1009" s="595">
        <f t="shared" si="85"/>
        <v>11891878.378378378</v>
      </c>
      <c r="J1009" s="595">
        <f t="shared" si="86"/>
        <v>1308106.6216216215</v>
      </c>
      <c r="K1009" s="596">
        <f>2800809+5137848+5261328</f>
        <v>13199985</v>
      </c>
      <c r="L1009" s="597"/>
    </row>
    <row r="1010" spans="1:12" x14ac:dyDescent="0.2">
      <c r="A1010" s="316">
        <v>113</v>
      </c>
      <c r="B1010" s="591" t="s">
        <v>3791</v>
      </c>
      <c r="C1010" s="598" t="s">
        <v>3946</v>
      </c>
      <c r="D1010" s="586"/>
      <c r="E1010" s="587" t="s">
        <v>976</v>
      </c>
      <c r="F1010" s="588" t="s">
        <v>977</v>
      </c>
      <c r="G1010" s="761"/>
      <c r="H1010" s="599">
        <v>44728</v>
      </c>
      <c r="I1010" s="595">
        <f t="shared" si="85"/>
        <v>198918.91891891891</v>
      </c>
      <c r="J1010" s="595">
        <f t="shared" si="86"/>
        <v>21881.08108108108</v>
      </c>
      <c r="K1010" s="596">
        <v>220800</v>
      </c>
      <c r="L1010" s="597" t="s">
        <v>3129</v>
      </c>
    </row>
    <row r="1011" spans="1:12" x14ac:dyDescent="0.2">
      <c r="A1011" s="316">
        <v>114</v>
      </c>
      <c r="B1011" s="591" t="s">
        <v>3792</v>
      </c>
      <c r="C1011" s="598" t="s">
        <v>3949</v>
      </c>
      <c r="D1011" s="586"/>
      <c r="E1011" s="587" t="s">
        <v>2405</v>
      </c>
      <c r="F1011" s="588" t="s">
        <v>2406</v>
      </c>
      <c r="G1011" s="761"/>
      <c r="H1011" s="599">
        <v>44728</v>
      </c>
      <c r="I1011" s="595">
        <f t="shared" si="85"/>
        <v>116216.21621621621</v>
      </c>
      <c r="J1011" s="595">
        <f t="shared" si="86"/>
        <v>12783.783783783783</v>
      </c>
      <c r="K1011" s="596">
        <v>129000</v>
      </c>
      <c r="L1011" s="597"/>
    </row>
    <row r="1012" spans="1:12" x14ac:dyDescent="0.2">
      <c r="A1012" s="316">
        <v>115</v>
      </c>
      <c r="B1012" s="591" t="s">
        <v>3793</v>
      </c>
      <c r="C1012" s="598" t="s">
        <v>3986</v>
      </c>
      <c r="D1012" s="586"/>
      <c r="E1012" s="587" t="s">
        <v>981</v>
      </c>
      <c r="F1012" s="588" t="s">
        <v>980</v>
      </c>
      <c r="G1012" s="761"/>
      <c r="H1012" s="599">
        <v>44728</v>
      </c>
      <c r="I1012" s="595">
        <f t="shared" si="85"/>
        <v>16538010.81081081</v>
      </c>
      <c r="J1012" s="595">
        <f t="shared" si="86"/>
        <v>1819181.1891891891</v>
      </c>
      <c r="K1012" s="596">
        <f>14651280+1489752+2216160</f>
        <v>18357192</v>
      </c>
      <c r="L1012" s="597"/>
    </row>
    <row r="1013" spans="1:12" x14ac:dyDescent="0.2">
      <c r="A1013" s="316">
        <v>116</v>
      </c>
      <c r="B1013" s="591" t="s">
        <v>3794</v>
      </c>
      <c r="C1013" s="598" t="s">
        <v>3950</v>
      </c>
      <c r="D1013" s="586"/>
      <c r="E1013" s="587" t="s">
        <v>3951</v>
      </c>
      <c r="F1013" s="588" t="s">
        <v>1123</v>
      </c>
      <c r="G1013" s="761"/>
      <c r="H1013" s="599">
        <v>44728</v>
      </c>
      <c r="I1013" s="595">
        <f t="shared" si="85"/>
        <v>278486.48648648645</v>
      </c>
      <c r="J1013" s="595">
        <f t="shared" si="86"/>
        <v>30633.51351351351</v>
      </c>
      <c r="K1013" s="596">
        <v>309120</v>
      </c>
      <c r="L1013" s="597"/>
    </row>
    <row r="1014" spans="1:12" x14ac:dyDescent="0.2">
      <c r="A1014" s="316">
        <v>117</v>
      </c>
      <c r="B1014" s="591" t="s">
        <v>3795</v>
      </c>
      <c r="C1014" s="602" t="s">
        <v>4055</v>
      </c>
      <c r="D1014" s="603"/>
      <c r="E1014" s="604" t="s">
        <v>1120</v>
      </c>
      <c r="F1014" s="605" t="s">
        <v>1099</v>
      </c>
      <c r="G1014" s="761"/>
      <c r="H1014" s="606">
        <v>44728</v>
      </c>
      <c r="I1014" s="595">
        <f t="shared" si="85"/>
        <v>14190892.792792792</v>
      </c>
      <c r="J1014" s="595">
        <f t="shared" si="86"/>
        <v>1560998.2072072071</v>
      </c>
      <c r="K1014" s="596">
        <f>3159259+1992000+10600632</f>
        <v>15751891</v>
      </c>
      <c r="L1014" s="597"/>
    </row>
    <row r="1015" spans="1:12" x14ac:dyDescent="0.2">
      <c r="A1015" s="316">
        <v>118</v>
      </c>
      <c r="B1015" s="591" t="s">
        <v>3796</v>
      </c>
      <c r="C1015" s="598" t="s">
        <v>3957</v>
      </c>
      <c r="D1015" s="586"/>
      <c r="E1015" s="593" t="s">
        <v>974</v>
      </c>
      <c r="F1015" s="593" t="s">
        <v>975</v>
      </c>
      <c r="G1015" s="761"/>
      <c r="H1015" s="599">
        <v>44728</v>
      </c>
      <c r="I1015" s="595">
        <f t="shared" si="85"/>
        <v>337333.33333333331</v>
      </c>
      <c r="J1015" s="595">
        <f t="shared" si="86"/>
        <v>37106.666666666664</v>
      </c>
      <c r="K1015" s="596">
        <v>374440</v>
      </c>
      <c r="L1015" s="597"/>
    </row>
    <row r="1016" spans="1:12" x14ac:dyDescent="0.2">
      <c r="A1016" s="316">
        <v>119</v>
      </c>
      <c r="B1016" s="591" t="s">
        <v>3797</v>
      </c>
      <c r="C1016" s="598" t="s">
        <v>4025</v>
      </c>
      <c r="D1016" s="586"/>
      <c r="E1016" s="587" t="s">
        <v>1090</v>
      </c>
      <c r="F1016" s="588" t="s">
        <v>606</v>
      </c>
      <c r="G1016" s="761"/>
      <c r="H1016" s="599">
        <v>44729</v>
      </c>
      <c r="I1016" s="595">
        <f t="shared" si="85"/>
        <v>23965110.810810808</v>
      </c>
      <c r="J1016" s="595">
        <f t="shared" si="86"/>
        <v>2636162.1891891891</v>
      </c>
      <c r="K1016" s="596">
        <f>1852956+20672703+4075614</f>
        <v>26601273</v>
      </c>
      <c r="L1016" s="597"/>
    </row>
    <row r="1017" spans="1:12" x14ac:dyDescent="0.2">
      <c r="A1017" s="316">
        <v>120</v>
      </c>
      <c r="B1017" s="591" t="s">
        <v>3798</v>
      </c>
      <c r="C1017" s="598" t="s">
        <v>3958</v>
      </c>
      <c r="D1017" s="586"/>
      <c r="E1017" s="587" t="s">
        <v>1714</v>
      </c>
      <c r="F1017" s="588" t="s">
        <v>1130</v>
      </c>
      <c r="G1017" s="761"/>
      <c r="H1017" s="599">
        <v>44729</v>
      </c>
      <c r="I1017" s="595">
        <f t="shared" si="85"/>
        <v>310110.81081081077</v>
      </c>
      <c r="J1017" s="595">
        <f t="shared" si="86"/>
        <v>34112.189189189186</v>
      </c>
      <c r="K1017" s="596">
        <v>344223</v>
      </c>
      <c r="L1017" s="597"/>
    </row>
    <row r="1018" spans="1:12" x14ac:dyDescent="0.2">
      <c r="A1018" s="316">
        <v>121</v>
      </c>
      <c r="B1018" s="591" t="s">
        <v>3799</v>
      </c>
      <c r="C1018" s="598" t="s">
        <v>1128</v>
      </c>
      <c r="D1018" s="586"/>
      <c r="E1018" s="587" t="s">
        <v>1813</v>
      </c>
      <c r="F1018" s="588" t="s">
        <v>1123</v>
      </c>
      <c r="G1018" s="761"/>
      <c r="H1018" s="599">
        <v>44729</v>
      </c>
      <c r="I1018" s="595">
        <f t="shared" si="85"/>
        <v>101066.66666666666</v>
      </c>
      <c r="J1018" s="595">
        <f t="shared" si="86"/>
        <v>11117.333333333332</v>
      </c>
      <c r="K1018" s="596">
        <v>112184</v>
      </c>
      <c r="L1018" s="597"/>
    </row>
    <row r="1019" spans="1:12" x14ac:dyDescent="0.2">
      <c r="A1019" s="316">
        <v>122</v>
      </c>
      <c r="B1019" s="591" t="s">
        <v>3800</v>
      </c>
      <c r="C1019" s="598" t="s">
        <v>3974</v>
      </c>
      <c r="D1019" s="586"/>
      <c r="E1019" s="587" t="s">
        <v>1738</v>
      </c>
      <c r="F1019" s="588" t="s">
        <v>1055</v>
      </c>
      <c r="G1019" s="761"/>
      <c r="H1019" s="599">
        <v>44729</v>
      </c>
      <c r="I1019" s="595">
        <f t="shared" si="85"/>
        <v>13247747.747747747</v>
      </c>
      <c r="J1019" s="595">
        <f t="shared" si="86"/>
        <v>1457252.2522522523</v>
      </c>
      <c r="K1019" s="596">
        <f>11646000+1449000+1610000</f>
        <v>14705000</v>
      </c>
      <c r="L1019" s="597"/>
    </row>
    <row r="1020" spans="1:12" x14ac:dyDescent="0.2">
      <c r="A1020" s="316">
        <v>123</v>
      </c>
      <c r="B1020" s="591" t="s">
        <v>3801</v>
      </c>
      <c r="C1020" s="598" t="s">
        <v>3960</v>
      </c>
      <c r="D1020" s="586"/>
      <c r="E1020" s="587" t="s">
        <v>1200</v>
      </c>
      <c r="F1020" s="588" t="s">
        <v>971</v>
      </c>
      <c r="G1020" s="761"/>
      <c r="H1020" s="599">
        <v>44729</v>
      </c>
      <c r="I1020" s="595">
        <f t="shared" si="85"/>
        <v>58232.432432432426</v>
      </c>
      <c r="J1020" s="595">
        <f t="shared" si="86"/>
        <v>6405.5675675675666</v>
      </c>
      <c r="K1020" s="596">
        <v>64638</v>
      </c>
      <c r="L1020" s="597"/>
    </row>
    <row r="1021" spans="1:12" x14ac:dyDescent="0.2">
      <c r="A1021" s="316">
        <v>124</v>
      </c>
      <c r="B1021" s="591" t="s">
        <v>3802</v>
      </c>
      <c r="C1021" s="598" t="s">
        <v>4035</v>
      </c>
      <c r="D1021" s="586"/>
      <c r="E1021" s="587" t="s">
        <v>970</v>
      </c>
      <c r="F1021" s="588" t="s">
        <v>971</v>
      </c>
      <c r="G1021" s="761"/>
      <c r="H1021" s="599">
        <v>44729</v>
      </c>
      <c r="I1021" s="595">
        <f t="shared" si="85"/>
        <v>2830281.0810810807</v>
      </c>
      <c r="J1021" s="595">
        <f t="shared" si="86"/>
        <v>311330.91891891888</v>
      </c>
      <c r="K1021" s="596">
        <f>2503440+420660+217512</f>
        <v>3141612</v>
      </c>
      <c r="L1021" s="597"/>
    </row>
    <row r="1022" spans="1:12" x14ac:dyDescent="0.2">
      <c r="A1022" s="316">
        <v>125</v>
      </c>
      <c r="B1022" s="591" t="s">
        <v>3803</v>
      </c>
      <c r="C1022" s="598" t="s">
        <v>3975</v>
      </c>
      <c r="D1022" s="586"/>
      <c r="E1022" s="587" t="s">
        <v>1036</v>
      </c>
      <c r="F1022" s="588" t="s">
        <v>1008</v>
      </c>
      <c r="G1022" s="761"/>
      <c r="H1022" s="599">
        <v>44729</v>
      </c>
      <c r="I1022" s="595">
        <f t="shared" si="85"/>
        <v>3688054.0540540535</v>
      </c>
      <c r="J1022" s="595">
        <f t="shared" si="86"/>
        <v>405685.94594594586</v>
      </c>
      <c r="K1022" s="596">
        <f>3324240+769500</f>
        <v>4093740</v>
      </c>
      <c r="L1022" s="597"/>
    </row>
    <row r="1023" spans="1:12" x14ac:dyDescent="0.2">
      <c r="A1023" s="316">
        <v>126</v>
      </c>
      <c r="B1023" s="591" t="s">
        <v>3804</v>
      </c>
      <c r="C1023" s="598" t="s">
        <v>3988</v>
      </c>
      <c r="D1023" s="586"/>
      <c r="E1023" s="587" t="s">
        <v>1739</v>
      </c>
      <c r="F1023" s="588" t="s">
        <v>1328</v>
      </c>
      <c r="G1023" s="761"/>
      <c r="H1023" s="599">
        <v>44732</v>
      </c>
      <c r="I1023" s="595">
        <f t="shared" si="85"/>
        <v>10873311.71171171</v>
      </c>
      <c r="J1023" s="595">
        <f t="shared" si="86"/>
        <v>1196064.2882882881</v>
      </c>
      <c r="K1023" s="596">
        <f>6118000+3053376+2898000</f>
        <v>12069376</v>
      </c>
      <c r="L1023" s="597"/>
    </row>
    <row r="1024" spans="1:12" x14ac:dyDescent="0.2">
      <c r="A1024" s="316">
        <v>127</v>
      </c>
      <c r="B1024" s="591" t="s">
        <v>3805</v>
      </c>
      <c r="C1024" s="598" t="s">
        <v>3964</v>
      </c>
      <c r="D1024" s="586"/>
      <c r="E1024" s="587" t="s">
        <v>2415</v>
      </c>
      <c r="F1024" s="588" t="s">
        <v>590</v>
      </c>
      <c r="G1024" s="761"/>
      <c r="H1024" s="599">
        <v>44730</v>
      </c>
      <c r="I1024" s="595">
        <f t="shared" si="85"/>
        <v>62237.837837837833</v>
      </c>
      <c r="J1024" s="595">
        <f t="shared" si="86"/>
        <v>6846.1621621621616</v>
      </c>
      <c r="K1024" s="596">
        <v>69084</v>
      </c>
      <c r="L1024" s="597"/>
    </row>
    <row r="1025" spans="1:12" x14ac:dyDescent="0.2">
      <c r="A1025" s="316">
        <v>128</v>
      </c>
      <c r="B1025" s="591" t="s">
        <v>3806</v>
      </c>
      <c r="C1025" s="602" t="s">
        <v>3965</v>
      </c>
      <c r="D1025" s="603"/>
      <c r="E1025" s="604" t="s">
        <v>1747</v>
      </c>
      <c r="F1025" s="605" t="s">
        <v>1745</v>
      </c>
      <c r="G1025" s="761"/>
      <c r="H1025" s="606">
        <v>44730</v>
      </c>
      <c r="I1025" s="595">
        <f t="shared" si="85"/>
        <v>440908.10810810805</v>
      </c>
      <c r="J1025" s="595">
        <f t="shared" si="86"/>
        <v>48499.891891891886</v>
      </c>
      <c r="K1025" s="596">
        <v>489408</v>
      </c>
      <c r="L1025" s="597"/>
    </row>
    <row r="1026" spans="1:12" x14ac:dyDescent="0.2">
      <c r="A1026" s="316">
        <v>129</v>
      </c>
      <c r="B1026" s="591" t="s">
        <v>3807</v>
      </c>
      <c r="C1026" s="598" t="s">
        <v>3966</v>
      </c>
      <c r="D1026" s="586"/>
      <c r="E1026" s="593" t="s">
        <v>3967</v>
      </c>
      <c r="F1026" s="593" t="s">
        <v>1058</v>
      </c>
      <c r="G1026" s="761"/>
      <c r="H1026" s="599">
        <v>44730</v>
      </c>
      <c r="I1026" s="595">
        <f t="shared" si="85"/>
        <v>1996540.5405405404</v>
      </c>
      <c r="J1026" s="595">
        <f t="shared" si="86"/>
        <v>219619.45945945944</v>
      </c>
      <c r="K1026" s="596">
        <v>2216160</v>
      </c>
      <c r="L1026" s="597"/>
    </row>
    <row r="1027" spans="1:12" x14ac:dyDescent="0.2">
      <c r="A1027" s="316">
        <v>130</v>
      </c>
      <c r="B1027" s="591" t="s">
        <v>3808</v>
      </c>
      <c r="C1027" s="598" t="s">
        <v>3989</v>
      </c>
      <c r="D1027" s="586"/>
      <c r="E1027" s="587" t="s">
        <v>2494</v>
      </c>
      <c r="F1027" s="588" t="s">
        <v>996</v>
      </c>
      <c r="G1027" s="761"/>
      <c r="H1027" s="599">
        <v>44732</v>
      </c>
      <c r="I1027" s="595">
        <f t="shared" si="85"/>
        <v>3952477.4774774769</v>
      </c>
      <c r="J1027" s="595">
        <f t="shared" si="86"/>
        <v>434772.52252252249</v>
      </c>
      <c r="K1027" s="596">
        <f>2938250+1449000</f>
        <v>4387250</v>
      </c>
      <c r="L1027" s="597"/>
    </row>
    <row r="1028" spans="1:12" x14ac:dyDescent="0.2">
      <c r="A1028" s="316">
        <v>131</v>
      </c>
      <c r="B1028" s="591" t="s">
        <v>3809</v>
      </c>
      <c r="C1028" s="598" t="s">
        <v>4112</v>
      </c>
      <c r="D1028" s="586"/>
      <c r="E1028" s="587" t="s">
        <v>1753</v>
      </c>
      <c r="F1028" s="588" t="s">
        <v>1019</v>
      </c>
      <c r="G1028" s="761"/>
      <c r="H1028" s="599">
        <v>44732</v>
      </c>
      <c r="I1028" s="595">
        <f t="shared" si="85"/>
        <v>4994366.666666666</v>
      </c>
      <c r="J1028" s="595">
        <f t="shared" si="86"/>
        <v>549380.33333333326</v>
      </c>
      <c r="K1028" s="596">
        <f>3059000+1449000+1035747</f>
        <v>5543747</v>
      </c>
      <c r="L1028" s="597"/>
    </row>
    <row r="1029" spans="1:12" x14ac:dyDescent="0.2">
      <c r="A1029" s="316">
        <v>132</v>
      </c>
      <c r="B1029" s="591" t="s">
        <v>3810</v>
      </c>
      <c r="C1029" s="598" t="s">
        <v>3991</v>
      </c>
      <c r="D1029" s="586"/>
      <c r="E1029" s="587" t="s">
        <v>1108</v>
      </c>
      <c r="F1029" s="588" t="s">
        <v>1109</v>
      </c>
      <c r="G1029" s="761"/>
      <c r="H1029" s="599">
        <v>44732</v>
      </c>
      <c r="I1029" s="595">
        <f t="shared" si="85"/>
        <v>3952477.4774774769</v>
      </c>
      <c r="J1029" s="595">
        <f t="shared" si="86"/>
        <v>434772.52252252249</v>
      </c>
      <c r="K1029" s="596">
        <f>2938250+1449000</f>
        <v>4387250</v>
      </c>
      <c r="L1029" s="597"/>
    </row>
    <row r="1030" spans="1:12" x14ac:dyDescent="0.2">
      <c r="A1030" s="316">
        <v>133</v>
      </c>
      <c r="B1030" s="591" t="s">
        <v>3811</v>
      </c>
      <c r="C1030" s="598" t="s">
        <v>3969</v>
      </c>
      <c r="D1030" s="586"/>
      <c r="E1030" s="587" t="s">
        <v>1765</v>
      </c>
      <c r="F1030" s="588" t="s">
        <v>579</v>
      </c>
      <c r="G1030" s="761"/>
      <c r="H1030" s="599">
        <v>44732</v>
      </c>
      <c r="I1030" s="595">
        <f t="shared" si="85"/>
        <v>278486.48648648645</v>
      </c>
      <c r="J1030" s="595">
        <f t="shared" si="86"/>
        <v>30633.51351351351</v>
      </c>
      <c r="K1030" s="596">
        <v>309120</v>
      </c>
      <c r="L1030" s="597"/>
    </row>
    <row r="1031" spans="1:12" x14ac:dyDescent="0.2">
      <c r="A1031" s="316">
        <v>134</v>
      </c>
      <c r="B1031" s="591" t="s">
        <v>3812</v>
      </c>
      <c r="C1031" s="598" t="s">
        <v>4058</v>
      </c>
      <c r="D1031" s="586"/>
      <c r="E1031" s="587" t="s">
        <v>1040</v>
      </c>
      <c r="F1031" s="588" t="s">
        <v>1019</v>
      </c>
      <c r="G1031" s="761"/>
      <c r="H1031" s="599">
        <v>44732</v>
      </c>
      <c r="I1031" s="595">
        <f t="shared" si="85"/>
        <v>10232270.270270269</v>
      </c>
      <c r="J1031" s="595">
        <f t="shared" si="86"/>
        <v>1125549.7297297297</v>
      </c>
      <c r="K1031" s="596">
        <f>2025324+2659392+6673104</f>
        <v>11357820</v>
      </c>
      <c r="L1031" s="597"/>
    </row>
    <row r="1032" spans="1:12" x14ac:dyDescent="0.2">
      <c r="A1032" s="316">
        <v>135</v>
      </c>
      <c r="B1032" s="591" t="s">
        <v>3813</v>
      </c>
      <c r="C1032" s="598" t="s">
        <v>3970</v>
      </c>
      <c r="D1032" s="586"/>
      <c r="E1032" s="587" t="s">
        <v>1716</v>
      </c>
      <c r="F1032" s="588" t="s">
        <v>1055</v>
      </c>
      <c r="G1032" s="761"/>
      <c r="H1032" s="599">
        <v>44732</v>
      </c>
      <c r="I1032" s="595">
        <f t="shared" si="85"/>
        <v>1221022.5225225224</v>
      </c>
      <c r="J1032" s="595">
        <f t="shared" si="86"/>
        <v>134312.47747747746</v>
      </c>
      <c r="K1032" s="596">
        <v>1355335</v>
      </c>
      <c r="L1032" s="597"/>
    </row>
    <row r="1033" spans="1:12" x14ac:dyDescent="0.2">
      <c r="A1033" s="316">
        <v>136</v>
      </c>
      <c r="B1033" s="591" t="s">
        <v>3814</v>
      </c>
      <c r="C1033" s="598" t="s">
        <v>3971</v>
      </c>
      <c r="D1033" s="586"/>
      <c r="E1033" s="587" t="s">
        <v>2489</v>
      </c>
      <c r="F1033" s="588" t="s">
        <v>1025</v>
      </c>
      <c r="G1033" s="761"/>
      <c r="H1033" s="599">
        <v>44732</v>
      </c>
      <c r="I1033" s="595">
        <f t="shared" si="85"/>
        <v>126518.018018018</v>
      </c>
      <c r="J1033" s="595">
        <f t="shared" si="86"/>
        <v>13916.98198198198</v>
      </c>
      <c r="K1033" s="596">
        <v>140435</v>
      </c>
      <c r="L1033" s="597"/>
    </row>
    <row r="1034" spans="1:12" x14ac:dyDescent="0.2">
      <c r="A1034" s="316">
        <v>137</v>
      </c>
      <c r="B1034" s="591" t="s">
        <v>3815</v>
      </c>
      <c r="C1034" s="598" t="s">
        <v>4034</v>
      </c>
      <c r="D1034" s="586"/>
      <c r="E1034" s="587" t="s">
        <v>1246</v>
      </c>
      <c r="F1034" s="588" t="s">
        <v>579</v>
      </c>
      <c r="G1034" s="761"/>
      <c r="H1034" s="599">
        <v>44732</v>
      </c>
      <c r="I1034" s="595">
        <f t="shared" si="85"/>
        <v>3855356.7567567565</v>
      </c>
      <c r="J1034" s="595">
        <f t="shared" si="86"/>
        <v>424089.2432432432</v>
      </c>
      <c r="K1034" s="596">
        <f>1989414+2290032</f>
        <v>4279446</v>
      </c>
      <c r="L1034" s="597"/>
    </row>
    <row r="1035" spans="1:12" x14ac:dyDescent="0.2">
      <c r="A1035" s="316">
        <v>138</v>
      </c>
      <c r="B1035" s="591" t="s">
        <v>3816</v>
      </c>
      <c r="C1035" s="598" t="s">
        <v>3973</v>
      </c>
      <c r="D1035" s="586"/>
      <c r="E1035" s="587" t="s">
        <v>2393</v>
      </c>
      <c r="F1035" s="588" t="s">
        <v>984</v>
      </c>
      <c r="G1035" s="761"/>
      <c r="H1035" s="599">
        <v>44733</v>
      </c>
      <c r="I1035" s="595">
        <f t="shared" si="85"/>
        <v>665513.51351351349</v>
      </c>
      <c r="J1035" s="595">
        <f t="shared" si="86"/>
        <v>73206.486486486479</v>
      </c>
      <c r="K1035" s="596">
        <v>738720</v>
      </c>
      <c r="L1035" s="597"/>
    </row>
    <row r="1036" spans="1:12" x14ac:dyDescent="0.2">
      <c r="A1036" s="316">
        <v>139</v>
      </c>
      <c r="B1036" s="591" t="s">
        <v>3817</v>
      </c>
      <c r="C1036" s="602" t="s">
        <v>4050</v>
      </c>
      <c r="D1036" s="603"/>
      <c r="E1036" s="604" t="s">
        <v>1238</v>
      </c>
      <c r="F1036" s="605" t="s">
        <v>1042</v>
      </c>
      <c r="G1036" s="761"/>
      <c r="H1036" s="606">
        <v>44732</v>
      </c>
      <c r="I1036" s="595">
        <f t="shared" si="85"/>
        <v>8012109.9099099096</v>
      </c>
      <c r="J1036" s="595">
        <f t="shared" si="86"/>
        <v>881332.09009009006</v>
      </c>
      <c r="K1036" s="596">
        <f>2938250+1449000+4506192</f>
        <v>8893442</v>
      </c>
      <c r="L1036" s="597"/>
    </row>
    <row r="1037" spans="1:12" x14ac:dyDescent="0.2">
      <c r="A1037" s="316">
        <v>140</v>
      </c>
      <c r="B1037" s="591" t="s">
        <v>3818</v>
      </c>
      <c r="C1037" s="602" t="s">
        <v>4008</v>
      </c>
      <c r="D1037" s="603"/>
      <c r="E1037" s="604" t="s">
        <v>992</v>
      </c>
      <c r="F1037" s="605" t="s">
        <v>993</v>
      </c>
      <c r="G1037" s="761"/>
      <c r="H1037" s="599">
        <v>44733</v>
      </c>
      <c r="I1037" s="595">
        <f t="shared" si="85"/>
        <v>11757405.405405404</v>
      </c>
      <c r="J1037" s="595">
        <f t="shared" si="86"/>
        <v>1293314.5945945946</v>
      </c>
      <c r="K1037" s="596">
        <f>256500+5000724+7793496</f>
        <v>13050720</v>
      </c>
      <c r="L1037" s="597"/>
    </row>
    <row r="1038" spans="1:12" x14ac:dyDescent="0.2">
      <c r="A1038" s="316">
        <v>141</v>
      </c>
      <c r="B1038" s="591" t="s">
        <v>3819</v>
      </c>
      <c r="C1038" s="602" t="s">
        <v>3976</v>
      </c>
      <c r="D1038" s="603"/>
      <c r="E1038" s="604" t="s">
        <v>1226</v>
      </c>
      <c r="F1038" s="605" t="s">
        <v>1109</v>
      </c>
      <c r="G1038" s="761"/>
      <c r="H1038" s="599">
        <v>44733</v>
      </c>
      <c r="I1038" s="595">
        <f t="shared" si="85"/>
        <v>261081.08108108107</v>
      </c>
      <c r="J1038" s="595">
        <f t="shared" si="86"/>
        <v>28718.918918918916</v>
      </c>
      <c r="K1038" s="596">
        <v>289800</v>
      </c>
      <c r="L1038" s="597"/>
    </row>
    <row r="1039" spans="1:12" x14ac:dyDescent="0.2">
      <c r="A1039" s="316">
        <v>142</v>
      </c>
      <c r="B1039" s="591" t="s">
        <v>3820</v>
      </c>
      <c r="C1039" s="602" t="s">
        <v>3978</v>
      </c>
      <c r="D1039" s="603"/>
      <c r="E1039" s="604" t="s">
        <v>1001</v>
      </c>
      <c r="F1039" s="605" t="s">
        <v>590</v>
      </c>
      <c r="G1039" s="761"/>
      <c r="H1039" s="599">
        <v>44733</v>
      </c>
      <c r="I1039" s="595">
        <f t="shared" si="85"/>
        <v>1597631.5315315314</v>
      </c>
      <c r="J1039" s="595">
        <f t="shared" si="86"/>
        <v>175739.46846846846</v>
      </c>
      <c r="K1039" s="596">
        <v>1773371</v>
      </c>
      <c r="L1039" s="597"/>
    </row>
    <row r="1040" spans="1:12" x14ac:dyDescent="0.2">
      <c r="A1040" s="316">
        <v>143</v>
      </c>
      <c r="B1040" s="591" t="s">
        <v>3821</v>
      </c>
      <c r="C1040" s="602" t="s">
        <v>3979</v>
      </c>
      <c r="D1040" s="603"/>
      <c r="E1040" s="604" t="s">
        <v>2752</v>
      </c>
      <c r="F1040" s="605" t="s">
        <v>1025</v>
      </c>
      <c r="G1040" s="761"/>
      <c r="H1040" s="599">
        <v>44733</v>
      </c>
      <c r="I1040" s="595">
        <f t="shared" si="85"/>
        <v>275756.75675675675</v>
      </c>
      <c r="J1040" s="595">
        <f t="shared" si="86"/>
        <v>30333.243243243243</v>
      </c>
      <c r="K1040" s="596">
        <v>306090</v>
      </c>
      <c r="L1040" s="597"/>
    </row>
    <row r="1041" spans="1:12" x14ac:dyDescent="0.2">
      <c r="A1041" s="316">
        <v>144</v>
      </c>
      <c r="B1041" s="591" t="s">
        <v>3822</v>
      </c>
      <c r="C1041" s="602" t="s">
        <v>3980</v>
      </c>
      <c r="D1041" s="603"/>
      <c r="E1041" s="604" t="s">
        <v>1306</v>
      </c>
      <c r="F1041" s="605" t="s">
        <v>984</v>
      </c>
      <c r="G1041" s="761"/>
      <c r="H1041" s="606">
        <v>44733</v>
      </c>
      <c r="I1041" s="595">
        <f t="shared" si="85"/>
        <v>1087837.8378378376</v>
      </c>
      <c r="J1041" s="595">
        <f t="shared" si="86"/>
        <v>119662.16216216215</v>
      </c>
      <c r="K1041" s="596">
        <v>1207500</v>
      </c>
      <c r="L1041" s="597"/>
    </row>
    <row r="1042" spans="1:12" x14ac:dyDescent="0.2">
      <c r="A1042" s="316">
        <v>145</v>
      </c>
      <c r="B1042" s="591" t="s">
        <v>3823</v>
      </c>
      <c r="C1042" s="602" t="s">
        <v>4153</v>
      </c>
      <c r="D1042" s="603"/>
      <c r="E1042" s="604" t="s">
        <v>965</v>
      </c>
      <c r="F1042" s="605" t="s">
        <v>966</v>
      </c>
      <c r="G1042" s="761"/>
      <c r="H1042" s="599">
        <v>44734</v>
      </c>
      <c r="I1042" s="595">
        <f t="shared" si="85"/>
        <v>8991364.8648648635</v>
      </c>
      <c r="J1042" s="595">
        <f t="shared" si="86"/>
        <v>989050.13513513503</v>
      </c>
      <c r="K1042" s="596">
        <f>5622480+1277370+3080565</f>
        <v>9980415</v>
      </c>
      <c r="L1042" s="597"/>
    </row>
    <row r="1043" spans="1:12" x14ac:dyDescent="0.2">
      <c r="A1043" s="316">
        <v>146</v>
      </c>
      <c r="B1043" s="591" t="s">
        <v>3824</v>
      </c>
      <c r="C1043" s="602" t="s">
        <v>4023</v>
      </c>
      <c r="D1043" s="603"/>
      <c r="E1043" s="604" t="s">
        <v>1220</v>
      </c>
      <c r="F1043" s="605" t="s">
        <v>1221</v>
      </c>
      <c r="G1043" s="761"/>
      <c r="H1043" s="599">
        <v>44734</v>
      </c>
      <c r="I1043" s="595">
        <f t="shared" si="85"/>
        <v>28373845.945945945</v>
      </c>
      <c r="J1043" s="595">
        <f t="shared" si="86"/>
        <v>3121123.054054054</v>
      </c>
      <c r="K1043" s="596">
        <f>4708845+19214244+7571880</f>
        <v>31494969</v>
      </c>
      <c r="L1043" s="597"/>
    </row>
    <row r="1044" spans="1:12" x14ac:dyDescent="0.2">
      <c r="A1044" s="316">
        <v>147</v>
      </c>
      <c r="B1044" s="591" t="s">
        <v>3825</v>
      </c>
      <c r="C1044" s="602" t="s">
        <v>3982</v>
      </c>
      <c r="D1044" s="603"/>
      <c r="E1044" s="604" t="s">
        <v>1083</v>
      </c>
      <c r="F1044" s="605" t="s">
        <v>1084</v>
      </c>
      <c r="G1044" s="761"/>
      <c r="H1044" s="599">
        <v>44734</v>
      </c>
      <c r="I1044" s="595">
        <f t="shared" si="85"/>
        <v>1088854.054054054</v>
      </c>
      <c r="J1044" s="595">
        <f t="shared" si="86"/>
        <v>119773.94594594593</v>
      </c>
      <c r="K1044" s="596">
        <v>1208628</v>
      </c>
      <c r="L1044" s="597"/>
    </row>
    <row r="1045" spans="1:12" x14ac:dyDescent="0.2">
      <c r="A1045" s="316">
        <v>148</v>
      </c>
      <c r="B1045" s="591" t="s">
        <v>3826</v>
      </c>
      <c r="C1045" s="602" t="s">
        <v>4056</v>
      </c>
      <c r="D1045" s="603"/>
      <c r="E1045" s="604" t="s">
        <v>1007</v>
      </c>
      <c r="F1045" s="605" t="s">
        <v>1008</v>
      </c>
      <c r="G1045" s="761"/>
      <c r="H1045" s="599">
        <v>44734</v>
      </c>
      <c r="I1045" s="595">
        <f t="shared" si="85"/>
        <v>4370513.5135135129</v>
      </c>
      <c r="J1045" s="595">
        <f t="shared" si="86"/>
        <v>480756.48648648645</v>
      </c>
      <c r="K1045" s="596">
        <f>1468206+3383064</f>
        <v>4851270</v>
      </c>
      <c r="L1045" s="597"/>
    </row>
    <row r="1046" spans="1:12" x14ac:dyDescent="0.2">
      <c r="A1046" s="316">
        <v>149</v>
      </c>
      <c r="B1046" s="591" t="s">
        <v>3827</v>
      </c>
      <c r="C1046" s="602" t="s">
        <v>4114</v>
      </c>
      <c r="D1046" s="603"/>
      <c r="E1046" s="604" t="s">
        <v>1009</v>
      </c>
      <c r="F1046" s="605" t="s">
        <v>1008</v>
      </c>
      <c r="G1046" s="761"/>
      <c r="H1046" s="606">
        <v>44734</v>
      </c>
      <c r="I1046" s="595">
        <f t="shared" si="85"/>
        <v>8724081.0810810812</v>
      </c>
      <c r="J1046" s="595">
        <f t="shared" si="86"/>
        <v>959648.91891891893</v>
      </c>
      <c r="K1046" s="596">
        <f>4541076+2604330+2538324</f>
        <v>9683730</v>
      </c>
      <c r="L1046" s="597"/>
    </row>
    <row r="1047" spans="1:12" x14ac:dyDescent="0.2">
      <c r="A1047" s="316">
        <v>150</v>
      </c>
      <c r="B1047" s="591" t="s">
        <v>3828</v>
      </c>
      <c r="C1047" s="602" t="s">
        <v>4032</v>
      </c>
      <c r="D1047" s="603"/>
      <c r="E1047" s="604" t="s">
        <v>1738</v>
      </c>
      <c r="F1047" s="605" t="s">
        <v>1055</v>
      </c>
      <c r="G1047" s="761"/>
      <c r="H1047" s="599">
        <v>44734</v>
      </c>
      <c r="I1047" s="595">
        <f t="shared" si="85"/>
        <v>2755855.8558558556</v>
      </c>
      <c r="J1047" s="595">
        <f t="shared" si="86"/>
        <v>303144.14414414414</v>
      </c>
      <c r="K1047" s="596">
        <f>1449000+1610000</f>
        <v>3059000</v>
      </c>
      <c r="L1047" s="597"/>
    </row>
    <row r="1048" spans="1:12" x14ac:dyDescent="0.2">
      <c r="A1048" s="316">
        <v>151</v>
      </c>
      <c r="B1048" s="591" t="s">
        <v>3829</v>
      </c>
      <c r="C1048" s="602" t="s">
        <v>4062</v>
      </c>
      <c r="D1048" s="603"/>
      <c r="E1048" s="604" t="s">
        <v>985</v>
      </c>
      <c r="F1048" s="605" t="s">
        <v>426</v>
      </c>
      <c r="G1048" s="761"/>
      <c r="H1048" s="599">
        <v>44736</v>
      </c>
      <c r="I1048" s="595">
        <f t="shared" si="85"/>
        <v>34408897.297297291</v>
      </c>
      <c r="J1048" s="595">
        <f t="shared" si="86"/>
        <v>3784978.702702702</v>
      </c>
      <c r="K1048" s="596">
        <f>26214300+7104024+4875552</f>
        <v>38193876</v>
      </c>
      <c r="L1048" s="597"/>
    </row>
    <row r="1049" spans="1:12" x14ac:dyDescent="0.2">
      <c r="A1049" s="316">
        <v>152</v>
      </c>
      <c r="B1049" s="591" t="s">
        <v>3830</v>
      </c>
      <c r="C1049" s="602" t="s">
        <v>4004</v>
      </c>
      <c r="D1049" s="603"/>
      <c r="E1049" s="604" t="s">
        <v>4005</v>
      </c>
      <c r="F1049" s="605" t="s">
        <v>1055</v>
      </c>
      <c r="G1049" s="761"/>
      <c r="H1049" s="599">
        <v>44735</v>
      </c>
      <c r="I1049" s="595">
        <f t="shared" si="85"/>
        <v>704729.7297297297</v>
      </c>
      <c r="J1049" s="595">
        <f t="shared" si="86"/>
        <v>77520.270270270266</v>
      </c>
      <c r="K1049" s="596">
        <v>782250</v>
      </c>
      <c r="L1049" s="597"/>
    </row>
    <row r="1050" spans="1:12" x14ac:dyDescent="0.2">
      <c r="A1050" s="316">
        <v>153</v>
      </c>
      <c r="B1050" s="591" t="s">
        <v>3831</v>
      </c>
      <c r="C1050" s="602" t="s">
        <v>4006</v>
      </c>
      <c r="D1050" s="603"/>
      <c r="E1050" s="604" t="s">
        <v>4007</v>
      </c>
      <c r="F1050" s="605" t="s">
        <v>1042</v>
      </c>
      <c r="G1050" s="761"/>
      <c r="H1050" s="599">
        <v>44736</v>
      </c>
      <c r="I1050" s="595">
        <f t="shared" si="85"/>
        <v>14282162.162162161</v>
      </c>
      <c r="J1050" s="595">
        <f t="shared" si="86"/>
        <v>1571037.8378378376</v>
      </c>
      <c r="K1050" s="596">
        <v>15853200</v>
      </c>
      <c r="L1050" s="597"/>
    </row>
    <row r="1051" spans="1:12" x14ac:dyDescent="0.2">
      <c r="A1051" s="316">
        <v>154</v>
      </c>
      <c r="B1051" s="591" t="s">
        <v>3832</v>
      </c>
      <c r="C1051" s="602" t="s">
        <v>4053</v>
      </c>
      <c r="D1051" s="603"/>
      <c r="E1051" s="604" t="s">
        <v>1021</v>
      </c>
      <c r="F1051" s="605" t="s">
        <v>1022</v>
      </c>
      <c r="G1051" s="761"/>
      <c r="H1051" s="606">
        <v>44736</v>
      </c>
      <c r="I1051" s="595">
        <f t="shared" si="85"/>
        <v>5803832.4324324317</v>
      </c>
      <c r="J1051" s="595">
        <f t="shared" si="86"/>
        <v>638421.56756756746</v>
      </c>
      <c r="K1051" s="596">
        <f>4700106+1742148</f>
        <v>6442254</v>
      </c>
      <c r="L1051" s="597"/>
    </row>
    <row r="1052" spans="1:12" x14ac:dyDescent="0.2">
      <c r="A1052" s="316">
        <v>155</v>
      </c>
      <c r="B1052" s="591" t="s">
        <v>3833</v>
      </c>
      <c r="C1052" s="602" t="s">
        <v>4046</v>
      </c>
      <c r="D1052" s="603"/>
      <c r="E1052" s="604" t="s">
        <v>978</v>
      </c>
      <c r="F1052" s="605" t="s">
        <v>590</v>
      </c>
      <c r="G1052" s="761"/>
      <c r="H1052" s="599">
        <v>44736</v>
      </c>
      <c r="I1052" s="595">
        <f t="shared" si="85"/>
        <v>20913762.162162159</v>
      </c>
      <c r="J1052" s="595">
        <f t="shared" si="86"/>
        <v>2300513.8378378376</v>
      </c>
      <c r="K1052" s="596">
        <f>17304516+3250368+2659392</f>
        <v>23214276</v>
      </c>
      <c r="L1052" s="597"/>
    </row>
    <row r="1053" spans="1:12" x14ac:dyDescent="0.2">
      <c r="A1053" s="316">
        <v>156</v>
      </c>
      <c r="B1053" s="591" t="s">
        <v>3834</v>
      </c>
      <c r="C1053" s="602" t="s">
        <v>4009</v>
      </c>
      <c r="D1053" s="603"/>
      <c r="E1053" s="604" t="s">
        <v>1018</v>
      </c>
      <c r="F1053" s="605" t="s">
        <v>1019</v>
      </c>
      <c r="G1053" s="761"/>
      <c r="H1053" s="599">
        <v>44736</v>
      </c>
      <c r="I1053" s="595">
        <f t="shared" si="85"/>
        <v>11402464.864864863</v>
      </c>
      <c r="J1053" s="595">
        <f t="shared" si="86"/>
        <v>1254271.1351351349</v>
      </c>
      <c r="K1053" s="596">
        <v>12656736</v>
      </c>
      <c r="L1053" s="597"/>
    </row>
    <row r="1054" spans="1:12" x14ac:dyDescent="0.2">
      <c r="A1054" s="316">
        <v>157</v>
      </c>
      <c r="B1054" s="591" t="s">
        <v>3835</v>
      </c>
      <c r="C1054" s="602" t="s">
        <v>4010</v>
      </c>
      <c r="D1054" s="603"/>
      <c r="E1054" s="604" t="s">
        <v>1752</v>
      </c>
      <c r="F1054" s="605" t="s">
        <v>673</v>
      </c>
      <c r="G1054" s="761"/>
      <c r="H1054" s="599">
        <v>44736</v>
      </c>
      <c r="I1054" s="595">
        <f t="shared" si="85"/>
        <v>67013.513513513506</v>
      </c>
      <c r="J1054" s="595">
        <f t="shared" si="86"/>
        <v>7371.4864864864858</v>
      </c>
      <c r="K1054" s="596">
        <v>74385</v>
      </c>
      <c r="L1054" s="597"/>
    </row>
    <row r="1055" spans="1:12" x14ac:dyDescent="0.2">
      <c r="A1055" s="316">
        <v>158</v>
      </c>
      <c r="B1055" s="591" t="s">
        <v>3836</v>
      </c>
      <c r="C1055" s="602" t="s">
        <v>4052</v>
      </c>
      <c r="D1055" s="603"/>
      <c r="E1055" s="604" t="s">
        <v>986</v>
      </c>
      <c r="F1055" s="605" t="s">
        <v>980</v>
      </c>
      <c r="G1055" s="761"/>
      <c r="H1055" s="599">
        <v>44736</v>
      </c>
      <c r="I1055" s="595">
        <f t="shared" si="85"/>
        <v>6327924.3243243238</v>
      </c>
      <c r="J1055" s="595">
        <f t="shared" si="86"/>
        <v>696071.67567567562</v>
      </c>
      <c r="K1055" s="596">
        <f>4580064+1354320+1089612</f>
        <v>7023996</v>
      </c>
      <c r="L1055" s="597"/>
    </row>
    <row r="1056" spans="1:12" x14ac:dyDescent="0.2">
      <c r="A1056" s="316">
        <v>159</v>
      </c>
      <c r="B1056" s="591" t="s">
        <v>3837</v>
      </c>
      <c r="C1056" s="602" t="s">
        <v>4011</v>
      </c>
      <c r="D1056" s="603"/>
      <c r="E1056" s="604" t="s">
        <v>1727</v>
      </c>
      <c r="F1056" s="605" t="s">
        <v>987</v>
      </c>
      <c r="G1056" s="761"/>
      <c r="H1056" s="599">
        <v>44736</v>
      </c>
      <c r="I1056" s="595">
        <f t="shared" si="85"/>
        <v>8940064.8648648635</v>
      </c>
      <c r="J1056" s="595">
        <f t="shared" si="86"/>
        <v>983407.13513513503</v>
      </c>
      <c r="K1056" s="596">
        <v>9923472</v>
      </c>
      <c r="L1056" s="597"/>
    </row>
    <row r="1057" spans="1:12" x14ac:dyDescent="0.2">
      <c r="A1057" s="316">
        <v>160</v>
      </c>
      <c r="B1057" s="591" t="s">
        <v>3838</v>
      </c>
      <c r="C1057" s="598" t="s">
        <v>4014</v>
      </c>
      <c r="D1057" s="586"/>
      <c r="E1057" s="587" t="s">
        <v>1791</v>
      </c>
      <c r="F1057" s="588" t="s">
        <v>1015</v>
      </c>
      <c r="G1057" s="761"/>
      <c r="H1057" s="599">
        <v>44736</v>
      </c>
      <c r="I1057" s="595">
        <f t="shared" si="83"/>
        <v>3327567.5675675673</v>
      </c>
      <c r="J1057" s="595">
        <f t="shared" si="84"/>
        <v>366032.43243243243</v>
      </c>
      <c r="K1057" s="596">
        <v>3693600</v>
      </c>
      <c r="L1057" s="597"/>
    </row>
    <row r="1058" spans="1:12" x14ac:dyDescent="0.2">
      <c r="A1058" s="316">
        <v>161</v>
      </c>
      <c r="B1058" s="591" t="s">
        <v>3839</v>
      </c>
      <c r="C1058" s="598" t="s">
        <v>4015</v>
      </c>
      <c r="D1058" s="586"/>
      <c r="E1058" s="587" t="s">
        <v>1326</v>
      </c>
      <c r="F1058" s="588" t="s">
        <v>1328</v>
      </c>
      <c r="G1058" s="761"/>
      <c r="H1058" s="599">
        <v>44736</v>
      </c>
      <c r="I1058" s="595">
        <f t="shared" si="83"/>
        <v>217567.56756756754</v>
      </c>
      <c r="J1058" s="595">
        <f t="shared" si="84"/>
        <v>23932.43243243243</v>
      </c>
      <c r="K1058" s="596">
        <v>241500</v>
      </c>
      <c r="L1058" s="597"/>
    </row>
    <row r="1059" spans="1:12" x14ac:dyDescent="0.2">
      <c r="A1059" s="316">
        <v>162</v>
      </c>
      <c r="B1059" s="591" t="s">
        <v>3840</v>
      </c>
      <c r="C1059" s="598" t="s">
        <v>4017</v>
      </c>
      <c r="D1059" s="586"/>
      <c r="E1059" s="587" t="s">
        <v>1235</v>
      </c>
      <c r="F1059" s="588" t="s">
        <v>1104</v>
      </c>
      <c r="G1059" s="761"/>
      <c r="H1059" s="599">
        <v>44737</v>
      </c>
      <c r="I1059" s="595">
        <f t="shared" si="83"/>
        <v>2264132.4324324322</v>
      </c>
      <c r="J1059" s="595">
        <f t="shared" si="84"/>
        <v>249054.56756756754</v>
      </c>
      <c r="K1059" s="596">
        <v>2513187</v>
      </c>
      <c r="L1059" s="597"/>
    </row>
    <row r="1060" spans="1:12" x14ac:dyDescent="0.2">
      <c r="A1060" s="316">
        <v>163</v>
      </c>
      <c r="B1060" s="591" t="s">
        <v>3841</v>
      </c>
      <c r="C1060" s="598" t="s">
        <v>4044</v>
      </c>
      <c r="D1060" s="586"/>
      <c r="E1060" s="587" t="s">
        <v>1068</v>
      </c>
      <c r="F1060" s="588" t="s">
        <v>1058</v>
      </c>
      <c r="G1060" s="761"/>
      <c r="H1060" s="599">
        <v>44737</v>
      </c>
      <c r="I1060" s="595">
        <f t="shared" si="83"/>
        <v>12743659.459459458</v>
      </c>
      <c r="J1060" s="595">
        <f t="shared" si="84"/>
        <v>1401802.5405405404</v>
      </c>
      <c r="K1060" s="596">
        <f>2548584+8937486+2659392</f>
        <v>14145462</v>
      </c>
      <c r="L1060" s="597"/>
    </row>
    <row r="1061" spans="1:12" x14ac:dyDescent="0.2">
      <c r="A1061" s="316">
        <v>164</v>
      </c>
      <c r="B1061" s="591" t="s">
        <v>3842</v>
      </c>
      <c r="C1061" s="598" t="s">
        <v>4018</v>
      </c>
      <c r="D1061" s="586"/>
      <c r="E1061" s="587" t="s">
        <v>1105</v>
      </c>
      <c r="F1061" s="588" t="s">
        <v>1104</v>
      </c>
      <c r="G1061" s="761"/>
      <c r="H1061" s="599">
        <v>44737</v>
      </c>
      <c r="I1061" s="595">
        <f t="shared" si="83"/>
        <v>3762162.1621621619</v>
      </c>
      <c r="J1061" s="595">
        <f t="shared" si="84"/>
        <v>413837.83783783781</v>
      </c>
      <c r="K1061" s="596">
        <v>4176000</v>
      </c>
      <c r="L1061" s="597"/>
    </row>
    <row r="1062" spans="1:12" x14ac:dyDescent="0.2">
      <c r="A1062" s="316">
        <v>165</v>
      </c>
      <c r="B1062" s="591" t="s">
        <v>3843</v>
      </c>
      <c r="C1062" s="598" t="s">
        <v>4020</v>
      </c>
      <c r="D1062" s="586"/>
      <c r="E1062" s="587" t="s">
        <v>976</v>
      </c>
      <c r="F1062" s="588" t="s">
        <v>977</v>
      </c>
      <c r="G1062" s="761"/>
      <c r="H1062" s="599">
        <v>44737</v>
      </c>
      <c r="I1062" s="595">
        <f t="shared" si="83"/>
        <v>4126183.7837837832</v>
      </c>
      <c r="J1062" s="595">
        <f t="shared" si="84"/>
        <v>453880.21621621615</v>
      </c>
      <c r="K1062" s="596">
        <v>4580064</v>
      </c>
      <c r="L1062" s="597"/>
    </row>
    <row r="1063" spans="1:12" x14ac:dyDescent="0.2">
      <c r="A1063" s="316">
        <v>166</v>
      </c>
      <c r="B1063" s="591" t="s">
        <v>3844</v>
      </c>
      <c r="C1063" s="598" t="s">
        <v>4021</v>
      </c>
      <c r="D1063" s="586"/>
      <c r="E1063" s="587" t="s">
        <v>992</v>
      </c>
      <c r="F1063" s="588" t="s">
        <v>1191</v>
      </c>
      <c r="G1063" s="761"/>
      <c r="H1063" s="599">
        <v>44737</v>
      </c>
      <c r="I1063" s="595">
        <f t="shared" si="83"/>
        <v>175621.6216216216</v>
      </c>
      <c r="J1063" s="595">
        <f t="shared" si="84"/>
        <v>19318.378378378377</v>
      </c>
      <c r="K1063" s="596">
        <v>194940</v>
      </c>
      <c r="L1063" s="597"/>
    </row>
    <row r="1064" spans="1:12" x14ac:dyDescent="0.2">
      <c r="A1064" s="316">
        <v>167</v>
      </c>
      <c r="B1064" s="591" t="s">
        <v>3845</v>
      </c>
      <c r="C1064" s="602" t="s">
        <v>4022</v>
      </c>
      <c r="D1064" s="603"/>
      <c r="E1064" s="604" t="s">
        <v>1756</v>
      </c>
      <c r="F1064" s="605" t="s">
        <v>673</v>
      </c>
      <c r="G1064" s="761"/>
      <c r="H1064" s="606">
        <v>44736</v>
      </c>
      <c r="I1064" s="595">
        <f t="shared" si="83"/>
        <v>587432.43243243243</v>
      </c>
      <c r="J1064" s="595">
        <f t="shared" si="84"/>
        <v>64617.567567567567</v>
      </c>
      <c r="K1064" s="596">
        <v>652050</v>
      </c>
      <c r="L1064" s="597"/>
    </row>
    <row r="1065" spans="1:12" x14ac:dyDescent="0.2">
      <c r="A1065" s="316">
        <v>168</v>
      </c>
      <c r="B1065" s="591" t="s">
        <v>3846</v>
      </c>
      <c r="C1065" s="598" t="s">
        <v>1249</v>
      </c>
      <c r="D1065" s="586"/>
      <c r="E1065" s="593" t="s">
        <v>995</v>
      </c>
      <c r="F1065" s="593" t="s">
        <v>996</v>
      </c>
      <c r="G1065" s="761"/>
      <c r="H1065" s="599">
        <v>44737</v>
      </c>
      <c r="I1065" s="595">
        <f t="shared" si="83"/>
        <v>2518783.7837837837</v>
      </c>
      <c r="J1065" s="595">
        <f t="shared" si="84"/>
        <v>277066.21621621621</v>
      </c>
      <c r="K1065" s="596">
        <v>2795850</v>
      </c>
      <c r="L1065" s="597"/>
    </row>
    <row r="1066" spans="1:12" x14ac:dyDescent="0.2">
      <c r="A1066" s="316">
        <v>169</v>
      </c>
      <c r="B1066" s="591" t="s">
        <v>3847</v>
      </c>
      <c r="C1066" s="598" t="s">
        <v>4049</v>
      </c>
      <c r="D1066" s="586"/>
      <c r="E1066" s="587" t="s">
        <v>992</v>
      </c>
      <c r="F1066" s="588" t="s">
        <v>673</v>
      </c>
      <c r="G1066" s="761"/>
      <c r="H1066" s="599">
        <v>44737</v>
      </c>
      <c r="I1066" s="595">
        <f t="shared" si="83"/>
        <v>10284032.432432432</v>
      </c>
      <c r="J1066" s="595">
        <f t="shared" si="84"/>
        <v>1131243.5675675676</v>
      </c>
      <c r="K1066" s="596">
        <f>1282500+2154600+7978176</f>
        <v>11415276</v>
      </c>
      <c r="L1066" s="597"/>
    </row>
    <row r="1067" spans="1:12" x14ac:dyDescent="0.2">
      <c r="A1067" s="316">
        <v>170</v>
      </c>
      <c r="B1067" s="591" t="s">
        <v>3848</v>
      </c>
      <c r="C1067" s="598" t="s">
        <v>4024</v>
      </c>
      <c r="D1067" s="586"/>
      <c r="E1067" s="587" t="s">
        <v>1079</v>
      </c>
      <c r="F1067" s="588" t="s">
        <v>1081</v>
      </c>
      <c r="G1067" s="761"/>
      <c r="H1067" s="599">
        <v>44737</v>
      </c>
      <c r="I1067" s="595">
        <f t="shared" si="83"/>
        <v>54594.594594594593</v>
      </c>
      <c r="J1067" s="595">
        <f t="shared" si="84"/>
        <v>6005.405405405405</v>
      </c>
      <c r="K1067" s="596">
        <v>60600</v>
      </c>
      <c r="L1067" s="597"/>
    </row>
    <row r="1068" spans="1:12" x14ac:dyDescent="0.2">
      <c r="A1068" s="316">
        <v>171</v>
      </c>
      <c r="B1068" s="591" t="s">
        <v>3849</v>
      </c>
      <c r="C1068" s="598" t="s">
        <v>4028</v>
      </c>
      <c r="D1068" s="586"/>
      <c r="E1068" s="587" t="s">
        <v>1043</v>
      </c>
      <c r="F1068" s="588" t="s">
        <v>620</v>
      </c>
      <c r="G1068" s="761"/>
      <c r="H1068" s="599">
        <v>44739</v>
      </c>
      <c r="I1068" s="595">
        <f t="shared" si="83"/>
        <v>90509.009009008994</v>
      </c>
      <c r="J1068" s="595">
        <f t="shared" si="84"/>
        <v>9955.9909909909893</v>
      </c>
      <c r="K1068" s="596">
        <v>100465</v>
      </c>
      <c r="L1068" s="597"/>
    </row>
    <row r="1069" spans="1:12" x14ac:dyDescent="0.2">
      <c r="A1069" s="316">
        <v>172</v>
      </c>
      <c r="B1069" s="591" t="s">
        <v>3850</v>
      </c>
      <c r="C1069" s="598" t="s">
        <v>4029</v>
      </c>
      <c r="D1069" s="586"/>
      <c r="E1069" s="587" t="s">
        <v>1189</v>
      </c>
      <c r="F1069" s="588" t="s">
        <v>1191</v>
      </c>
      <c r="G1069" s="761"/>
      <c r="H1069" s="599">
        <v>44739</v>
      </c>
      <c r="I1069" s="595">
        <f t="shared" si="83"/>
        <v>280070.27027027024</v>
      </c>
      <c r="J1069" s="595">
        <f t="shared" si="84"/>
        <v>30807.729729729726</v>
      </c>
      <c r="K1069" s="596">
        <v>310878</v>
      </c>
      <c r="L1069" s="597"/>
    </row>
    <row r="1070" spans="1:12" x14ac:dyDescent="0.2">
      <c r="A1070" s="316">
        <v>173</v>
      </c>
      <c r="B1070" s="591" t="s">
        <v>3851</v>
      </c>
      <c r="C1070" s="598" t="s">
        <v>4030</v>
      </c>
      <c r="D1070" s="586"/>
      <c r="E1070" s="587" t="s">
        <v>2541</v>
      </c>
      <c r="F1070" s="588" t="s">
        <v>1191</v>
      </c>
      <c r="G1070" s="761"/>
      <c r="H1070" s="599">
        <v>44739</v>
      </c>
      <c r="I1070" s="595">
        <f t="shared" si="83"/>
        <v>1280189.1891891891</v>
      </c>
      <c r="J1070" s="595">
        <f t="shared" si="84"/>
        <v>140820.8108108108</v>
      </c>
      <c r="K1070" s="596">
        <v>1421010</v>
      </c>
      <c r="L1070" s="597"/>
    </row>
    <row r="1071" spans="1:12" x14ac:dyDescent="0.2">
      <c r="A1071" s="316">
        <v>174</v>
      </c>
      <c r="B1071" s="591" t="s">
        <v>3852</v>
      </c>
      <c r="C1071" s="598" t="s">
        <v>4031</v>
      </c>
      <c r="D1071" s="586"/>
      <c r="E1071" s="587" t="s">
        <v>1060</v>
      </c>
      <c r="F1071" s="588" t="s">
        <v>1061</v>
      </c>
      <c r="G1071" s="761"/>
      <c r="H1071" s="599">
        <v>44739</v>
      </c>
      <c r="I1071" s="595">
        <f t="shared" si="83"/>
        <v>109189.18918918919</v>
      </c>
      <c r="J1071" s="595">
        <f t="shared" si="84"/>
        <v>12010.81081081081</v>
      </c>
      <c r="K1071" s="596">
        <v>121200</v>
      </c>
      <c r="L1071" s="597"/>
    </row>
    <row r="1072" spans="1:12" x14ac:dyDescent="0.2">
      <c r="A1072" s="316">
        <v>175</v>
      </c>
      <c r="B1072" s="591" t="s">
        <v>3853</v>
      </c>
      <c r="C1072" s="598" t="s">
        <v>737</v>
      </c>
      <c r="D1072" s="586"/>
      <c r="E1072" s="587" t="s">
        <v>3943</v>
      </c>
      <c r="F1072" s="588" t="s">
        <v>4033</v>
      </c>
      <c r="G1072" s="761"/>
      <c r="H1072" s="599">
        <v>44739</v>
      </c>
      <c r="I1072" s="595">
        <f t="shared" si="83"/>
        <v>3697297.297297297</v>
      </c>
      <c r="J1072" s="595">
        <f t="shared" si="84"/>
        <v>406702.70270270266</v>
      </c>
      <c r="K1072" s="596">
        <v>4104000</v>
      </c>
      <c r="L1072" s="597"/>
    </row>
    <row r="1073" spans="1:12" x14ac:dyDescent="0.2">
      <c r="A1073" s="316">
        <v>176</v>
      </c>
      <c r="B1073" s="591" t="s">
        <v>3854</v>
      </c>
      <c r="C1073" s="598" t="s">
        <v>4036</v>
      </c>
      <c r="D1073" s="586"/>
      <c r="E1073" s="587" t="s">
        <v>1857</v>
      </c>
      <c r="F1073" s="588" t="s">
        <v>1858</v>
      </c>
      <c r="G1073" s="761"/>
      <c r="H1073" s="599">
        <v>44739</v>
      </c>
      <c r="I1073" s="595">
        <f t="shared" si="83"/>
        <v>680764.86486486485</v>
      </c>
      <c r="J1073" s="595">
        <f t="shared" si="84"/>
        <v>74884.135135135133</v>
      </c>
      <c r="K1073" s="596">
        <v>755649</v>
      </c>
      <c r="L1073" s="597"/>
    </row>
    <row r="1074" spans="1:12" x14ac:dyDescent="0.2">
      <c r="A1074" s="316">
        <v>177</v>
      </c>
      <c r="B1074" s="591" t="s">
        <v>3855</v>
      </c>
      <c r="C1074" s="598" t="s">
        <v>4108</v>
      </c>
      <c r="D1074" s="586"/>
      <c r="E1074" s="587" t="s">
        <v>1014</v>
      </c>
      <c r="F1074" s="588" t="s">
        <v>1015</v>
      </c>
      <c r="G1074" s="761"/>
      <c r="H1074" s="599">
        <v>44739</v>
      </c>
      <c r="I1074" s="595">
        <f t="shared" si="83"/>
        <v>8461881.0810810812</v>
      </c>
      <c r="J1074" s="595">
        <f t="shared" si="84"/>
        <v>930806.91891891893</v>
      </c>
      <c r="K1074" s="596">
        <f>5441904+3112884+837900</f>
        <v>9392688</v>
      </c>
      <c r="L1074" s="597"/>
    </row>
    <row r="1075" spans="1:12" x14ac:dyDescent="0.2">
      <c r="A1075" s="316">
        <v>178</v>
      </c>
      <c r="B1075" s="591" t="s">
        <v>3856</v>
      </c>
      <c r="C1075" s="602" t="s">
        <v>4038</v>
      </c>
      <c r="D1075" s="603"/>
      <c r="E1075" s="604" t="s">
        <v>992</v>
      </c>
      <c r="F1075" s="605" t="s">
        <v>583</v>
      </c>
      <c r="G1075" s="761"/>
      <c r="H1075" s="606">
        <v>44739</v>
      </c>
      <c r="I1075" s="595">
        <f t="shared" ref="I1075:I1122" si="87">K1075/1.11</f>
        <v>2525254.054054054</v>
      </c>
      <c r="J1075" s="595">
        <f t="shared" ref="J1075:J1122" si="88">I1075*11%</f>
        <v>277777.94594594592</v>
      </c>
      <c r="K1075" s="596">
        <v>2803032</v>
      </c>
      <c r="L1075" s="597"/>
    </row>
    <row r="1076" spans="1:12" x14ac:dyDescent="0.2">
      <c r="A1076" s="316">
        <v>179</v>
      </c>
      <c r="B1076" s="591" t="s">
        <v>3857</v>
      </c>
      <c r="C1076" s="598" t="s">
        <v>4039</v>
      </c>
      <c r="D1076" s="586"/>
      <c r="E1076" s="593" t="s">
        <v>1090</v>
      </c>
      <c r="F1076" s="593" t="s">
        <v>606</v>
      </c>
      <c r="G1076" s="761"/>
      <c r="H1076" s="599">
        <v>44740</v>
      </c>
      <c r="I1076" s="595">
        <f t="shared" si="87"/>
        <v>4691870.2702702703</v>
      </c>
      <c r="J1076" s="595">
        <f t="shared" si="88"/>
        <v>516105.72972972976</v>
      </c>
      <c r="K1076" s="596">
        <v>5207976</v>
      </c>
      <c r="L1076" s="597"/>
    </row>
    <row r="1077" spans="1:12" x14ac:dyDescent="0.2">
      <c r="A1077" s="316">
        <v>180</v>
      </c>
      <c r="B1077" s="591" t="s">
        <v>3858</v>
      </c>
      <c r="C1077" s="598" t="s">
        <v>4041</v>
      </c>
      <c r="D1077" s="586"/>
      <c r="E1077" s="587" t="s">
        <v>1744</v>
      </c>
      <c r="F1077" s="588" t="s">
        <v>1745</v>
      </c>
      <c r="G1077" s="761"/>
      <c r="H1077" s="599">
        <v>44740</v>
      </c>
      <c r="I1077" s="595">
        <f t="shared" si="87"/>
        <v>3394118.9189189188</v>
      </c>
      <c r="J1077" s="595">
        <f t="shared" si="88"/>
        <v>373353.08108108107</v>
      </c>
      <c r="K1077" s="596">
        <f>2290032+1477440</f>
        <v>3767472</v>
      </c>
      <c r="L1077" s="597"/>
    </row>
    <row r="1078" spans="1:12" x14ac:dyDescent="0.2">
      <c r="A1078" s="316">
        <v>181</v>
      </c>
      <c r="B1078" s="591" t="s">
        <v>3859</v>
      </c>
      <c r="C1078" s="598" t="s">
        <v>4043</v>
      </c>
      <c r="D1078" s="586"/>
      <c r="E1078" s="587" t="s">
        <v>1052</v>
      </c>
      <c r="F1078" s="588" t="s">
        <v>1017</v>
      </c>
      <c r="G1078" s="761"/>
      <c r="H1078" s="599">
        <v>44740</v>
      </c>
      <c r="I1078" s="595">
        <f t="shared" si="87"/>
        <v>2569621.6216216213</v>
      </c>
      <c r="J1078" s="595">
        <f t="shared" si="88"/>
        <v>282658.37837837834</v>
      </c>
      <c r="K1078" s="596">
        <v>2852280</v>
      </c>
      <c r="L1078" s="597"/>
    </row>
    <row r="1079" spans="1:12" x14ac:dyDescent="0.2">
      <c r="A1079" s="316">
        <v>182</v>
      </c>
      <c r="B1079" s="591" t="s">
        <v>3860</v>
      </c>
      <c r="C1079" s="598" t="s">
        <v>4057</v>
      </c>
      <c r="D1079" s="586"/>
      <c r="E1079" s="587" t="s">
        <v>1054</v>
      </c>
      <c r="F1079" s="588" t="s">
        <v>1055</v>
      </c>
      <c r="G1079" s="761"/>
      <c r="H1079" s="599">
        <v>44740</v>
      </c>
      <c r="I1079" s="595">
        <f t="shared" si="87"/>
        <v>8410427.0270270258</v>
      </c>
      <c r="J1079" s="595">
        <f t="shared" si="88"/>
        <v>925146.9729729729</v>
      </c>
      <c r="K1079" s="596">
        <f>5992866+3342708</f>
        <v>9335574</v>
      </c>
      <c r="L1079" s="597"/>
    </row>
    <row r="1080" spans="1:12" x14ac:dyDescent="0.2">
      <c r="A1080" s="316">
        <v>183</v>
      </c>
      <c r="B1080" s="591" t="s">
        <v>3861</v>
      </c>
      <c r="C1080" s="598" t="s">
        <v>4048</v>
      </c>
      <c r="D1080" s="586"/>
      <c r="E1080" s="587" t="s">
        <v>1016</v>
      </c>
      <c r="F1080" s="588" t="s">
        <v>1017</v>
      </c>
      <c r="G1080" s="761"/>
      <c r="H1080" s="599">
        <v>44740</v>
      </c>
      <c r="I1080" s="595">
        <f t="shared" si="87"/>
        <v>769499.99999999988</v>
      </c>
      <c r="J1080" s="595">
        <f t="shared" si="88"/>
        <v>84644.999999999985</v>
      </c>
      <c r="K1080" s="596">
        <v>854145</v>
      </c>
      <c r="L1080" s="597"/>
    </row>
    <row r="1081" spans="1:12" x14ac:dyDescent="0.2">
      <c r="A1081" s="316">
        <v>184</v>
      </c>
      <c r="B1081" s="591" t="s">
        <v>3862</v>
      </c>
      <c r="C1081" s="598" t="s">
        <v>4054</v>
      </c>
      <c r="D1081" s="586"/>
      <c r="E1081" s="587" t="s">
        <v>1277</v>
      </c>
      <c r="F1081" s="588" t="s">
        <v>1019</v>
      </c>
      <c r="G1081" s="761"/>
      <c r="H1081" s="599">
        <v>44741</v>
      </c>
      <c r="I1081" s="595">
        <f t="shared" si="87"/>
        <v>288389.18918918917</v>
      </c>
      <c r="J1081" s="595">
        <f t="shared" si="88"/>
        <v>31722.81081081081</v>
      </c>
      <c r="K1081" s="596">
        <v>320112</v>
      </c>
      <c r="L1081" s="597"/>
    </row>
    <row r="1082" spans="1:12" x14ac:dyDescent="0.2">
      <c r="A1082" s="316">
        <v>185</v>
      </c>
      <c r="B1082" s="591" t="s">
        <v>3863</v>
      </c>
      <c r="C1082" s="598" t="s">
        <v>4090</v>
      </c>
      <c r="D1082" s="586"/>
      <c r="E1082" s="587" t="s">
        <v>992</v>
      </c>
      <c r="F1082" s="588" t="s">
        <v>673</v>
      </c>
      <c r="G1082" s="761"/>
      <c r="H1082" s="599">
        <v>44742</v>
      </c>
      <c r="I1082" s="595">
        <f t="shared" si="87"/>
        <v>11531870.270270269</v>
      </c>
      <c r="J1082" s="595">
        <f t="shared" si="88"/>
        <v>1268505.7297297297</v>
      </c>
      <c r="K1082" s="596">
        <f>4580064+3640248+4580064</f>
        <v>12800376</v>
      </c>
      <c r="L1082" s="597"/>
    </row>
    <row r="1083" spans="1:12" x14ac:dyDescent="0.2">
      <c r="A1083" s="316">
        <v>186</v>
      </c>
      <c r="B1083" s="591" t="s">
        <v>3864</v>
      </c>
      <c r="C1083" s="598" t="s">
        <v>4060</v>
      </c>
      <c r="D1083" s="586"/>
      <c r="E1083" s="587" t="s">
        <v>1739</v>
      </c>
      <c r="F1083" s="588" t="s">
        <v>1328</v>
      </c>
      <c r="G1083" s="761"/>
      <c r="H1083" s="599">
        <v>44742</v>
      </c>
      <c r="I1083" s="595">
        <f t="shared" si="87"/>
        <v>9427927.9279279262</v>
      </c>
      <c r="J1083" s="595">
        <f t="shared" si="88"/>
        <v>1037072.0720720718</v>
      </c>
      <c r="K1083" s="596">
        <v>10465000</v>
      </c>
      <c r="L1083" s="597"/>
    </row>
    <row r="1084" spans="1:12" x14ac:dyDescent="0.2">
      <c r="A1084" s="316">
        <v>187</v>
      </c>
      <c r="B1084" s="591" t="s">
        <v>3865</v>
      </c>
      <c r="C1084" s="598" t="s">
        <v>4061</v>
      </c>
      <c r="D1084" s="586"/>
      <c r="E1084" s="587" t="s">
        <v>1238</v>
      </c>
      <c r="F1084" s="588" t="s">
        <v>1042</v>
      </c>
      <c r="G1084" s="761"/>
      <c r="H1084" s="599">
        <v>44742</v>
      </c>
      <c r="I1084" s="595">
        <f t="shared" si="87"/>
        <v>3771243.2432432431</v>
      </c>
      <c r="J1084" s="595">
        <f t="shared" si="88"/>
        <v>414836.75675675675</v>
      </c>
      <c r="K1084" s="596">
        <v>4186080</v>
      </c>
      <c r="L1084" s="597"/>
    </row>
    <row r="1085" spans="1:12" x14ac:dyDescent="0.2">
      <c r="A1085" s="316">
        <v>188</v>
      </c>
      <c r="B1085" s="591" t="s">
        <v>3866</v>
      </c>
      <c r="C1085" s="598" t="s">
        <v>4063</v>
      </c>
      <c r="D1085" s="586"/>
      <c r="E1085" s="587" t="s">
        <v>1225</v>
      </c>
      <c r="F1085" s="588" t="s">
        <v>980</v>
      </c>
      <c r="G1085" s="761"/>
      <c r="H1085" s="599">
        <v>44741</v>
      </c>
      <c r="I1085" s="595">
        <f t="shared" si="87"/>
        <v>510227.02702702698</v>
      </c>
      <c r="J1085" s="595">
        <f t="shared" si="88"/>
        <v>56124.972972972966</v>
      </c>
      <c r="K1085" s="596">
        <v>566352</v>
      </c>
      <c r="L1085" s="597"/>
    </row>
    <row r="1086" spans="1:12" x14ac:dyDescent="0.2">
      <c r="A1086" s="316">
        <v>189</v>
      </c>
      <c r="B1086" s="591" t="s">
        <v>3867</v>
      </c>
      <c r="C1086" s="602" t="s">
        <v>4064</v>
      </c>
      <c r="D1086" s="603"/>
      <c r="E1086" s="604" t="s">
        <v>1197</v>
      </c>
      <c r="F1086" s="605" t="s">
        <v>620</v>
      </c>
      <c r="G1086" s="761"/>
      <c r="H1086" s="606">
        <v>44742</v>
      </c>
      <c r="I1086" s="595">
        <f t="shared" ref="I1086:I1095" si="89">K1086/1.11</f>
        <v>61005.4054054054</v>
      </c>
      <c r="J1086" s="595">
        <f t="shared" ref="J1086:J1095" si="90">I1086*11%</f>
        <v>6710.5945945945941</v>
      </c>
      <c r="K1086" s="596">
        <v>67716</v>
      </c>
      <c r="L1086" s="597"/>
    </row>
    <row r="1087" spans="1:12" x14ac:dyDescent="0.2">
      <c r="A1087" s="316">
        <v>190</v>
      </c>
      <c r="B1087" s="591" t="s">
        <v>3868</v>
      </c>
      <c r="C1087" s="602" t="s">
        <v>4065</v>
      </c>
      <c r="D1087" s="603"/>
      <c r="E1087" s="604" t="s">
        <v>1849</v>
      </c>
      <c r="F1087" s="605" t="s">
        <v>620</v>
      </c>
      <c r="G1087" s="761"/>
      <c r="H1087" s="599">
        <v>44742</v>
      </c>
      <c r="I1087" s="595">
        <f t="shared" si="89"/>
        <v>2310810.8108108104</v>
      </c>
      <c r="J1087" s="595">
        <f t="shared" si="90"/>
        <v>254189.18918918914</v>
      </c>
      <c r="K1087" s="596">
        <v>2565000</v>
      </c>
      <c r="L1087" s="597"/>
    </row>
    <row r="1088" spans="1:12" x14ac:dyDescent="0.2">
      <c r="A1088" s="316">
        <v>191</v>
      </c>
      <c r="B1088" s="591" t="s">
        <v>3869</v>
      </c>
      <c r="C1088" s="602" t="s">
        <v>4066</v>
      </c>
      <c r="D1088" s="603"/>
      <c r="E1088" s="604" t="s">
        <v>2787</v>
      </c>
      <c r="F1088" s="605" t="s">
        <v>1042</v>
      </c>
      <c r="G1088" s="761"/>
      <c r="H1088" s="599">
        <v>44742</v>
      </c>
      <c r="I1088" s="595">
        <f t="shared" si="89"/>
        <v>600810.81081081077</v>
      </c>
      <c r="J1088" s="595">
        <f t="shared" si="90"/>
        <v>66089.189189189186</v>
      </c>
      <c r="K1088" s="596">
        <v>666900</v>
      </c>
      <c r="L1088" s="597"/>
    </row>
    <row r="1089" spans="1:12" x14ac:dyDescent="0.2">
      <c r="A1089" s="316">
        <v>192</v>
      </c>
      <c r="B1089" s="591" t="s">
        <v>3870</v>
      </c>
      <c r="C1089" s="602" t="s">
        <v>4067</v>
      </c>
      <c r="D1089" s="603"/>
      <c r="E1089" s="604" t="s">
        <v>2377</v>
      </c>
      <c r="F1089" s="605" t="s">
        <v>1798</v>
      </c>
      <c r="G1089" s="761"/>
      <c r="H1089" s="599">
        <v>44742</v>
      </c>
      <c r="I1089" s="595">
        <f t="shared" si="89"/>
        <v>160585.58558558556</v>
      </c>
      <c r="J1089" s="595">
        <f t="shared" si="90"/>
        <v>17664.414414414412</v>
      </c>
      <c r="K1089" s="596">
        <v>178250</v>
      </c>
      <c r="L1089" s="597"/>
    </row>
    <row r="1090" spans="1:12" x14ac:dyDescent="0.2">
      <c r="A1090" s="316">
        <v>193</v>
      </c>
      <c r="B1090" s="591" t="s">
        <v>3871</v>
      </c>
      <c r="C1090" s="602" t="s">
        <v>4068</v>
      </c>
      <c r="D1090" s="603"/>
      <c r="E1090" s="604" t="s">
        <v>1193</v>
      </c>
      <c r="F1090" s="605" t="s">
        <v>620</v>
      </c>
      <c r="G1090" s="761"/>
      <c r="H1090" s="599">
        <v>44742</v>
      </c>
      <c r="I1090" s="595">
        <f t="shared" si="89"/>
        <v>138648.64864864864</v>
      </c>
      <c r="J1090" s="595">
        <f t="shared" si="90"/>
        <v>15251.35135135135</v>
      </c>
      <c r="K1090" s="596">
        <v>153900</v>
      </c>
      <c r="L1090" s="597"/>
    </row>
    <row r="1091" spans="1:12" x14ac:dyDescent="0.2">
      <c r="A1091" s="316">
        <v>194</v>
      </c>
      <c r="B1091" s="591" t="s">
        <v>3872</v>
      </c>
      <c r="C1091" s="602" t="s">
        <v>4069</v>
      </c>
      <c r="D1091" s="603"/>
      <c r="E1091" s="604" t="s">
        <v>970</v>
      </c>
      <c r="F1091" s="605" t="s">
        <v>971</v>
      </c>
      <c r="G1091" s="761"/>
      <c r="H1091" s="606">
        <v>44742</v>
      </c>
      <c r="I1091" s="595">
        <f t="shared" si="89"/>
        <v>3283199.9999999995</v>
      </c>
      <c r="J1091" s="595">
        <f t="shared" si="90"/>
        <v>361151.99999999994</v>
      </c>
      <c r="K1091" s="596">
        <v>3644352</v>
      </c>
      <c r="L1091" s="597"/>
    </row>
    <row r="1092" spans="1:12" x14ac:dyDescent="0.2">
      <c r="A1092" s="316">
        <v>195</v>
      </c>
      <c r="B1092" s="591" t="s">
        <v>3873</v>
      </c>
      <c r="C1092" s="602" t="s">
        <v>4071</v>
      </c>
      <c r="D1092" s="603"/>
      <c r="E1092" s="604" t="s">
        <v>992</v>
      </c>
      <c r="F1092" s="605" t="s">
        <v>993</v>
      </c>
      <c r="G1092" s="761"/>
      <c r="H1092" s="599">
        <v>44742</v>
      </c>
      <c r="I1092" s="595">
        <f t="shared" si="89"/>
        <v>7557626.1261261255</v>
      </c>
      <c r="J1092" s="595">
        <f t="shared" si="90"/>
        <v>831338.87387387385</v>
      </c>
      <c r="K1092" s="596">
        <v>8388965</v>
      </c>
      <c r="L1092" s="597"/>
    </row>
    <row r="1093" spans="1:12" x14ac:dyDescent="0.2">
      <c r="A1093" s="316">
        <v>196</v>
      </c>
      <c r="B1093" s="591" t="s">
        <v>3874</v>
      </c>
      <c r="C1093" s="602" t="s">
        <v>4072</v>
      </c>
      <c r="D1093" s="603"/>
      <c r="E1093" s="604" t="s">
        <v>985</v>
      </c>
      <c r="F1093" s="605" t="s">
        <v>426</v>
      </c>
      <c r="G1093" s="761"/>
      <c r="H1093" s="599">
        <v>44742</v>
      </c>
      <c r="I1093" s="595">
        <f t="shared" si="89"/>
        <v>35701102.702702701</v>
      </c>
      <c r="J1093" s="595">
        <f t="shared" si="90"/>
        <v>3927121.297297297</v>
      </c>
      <c r="K1093" s="596">
        <v>39628224</v>
      </c>
      <c r="L1093" s="597"/>
    </row>
    <row r="1094" spans="1:12" x14ac:dyDescent="0.2">
      <c r="A1094" s="316">
        <v>197</v>
      </c>
      <c r="B1094" s="591" t="s">
        <v>3875</v>
      </c>
      <c r="C1094" s="602" t="s">
        <v>4111</v>
      </c>
      <c r="D1094" s="603"/>
      <c r="E1094" s="604" t="s">
        <v>992</v>
      </c>
      <c r="F1094" s="605" t="s">
        <v>1075</v>
      </c>
      <c r="G1094" s="761"/>
      <c r="H1094" s="599">
        <v>44742</v>
      </c>
      <c r="I1094" s="595">
        <f t="shared" si="89"/>
        <v>8957164.8648648635</v>
      </c>
      <c r="J1094" s="595">
        <f t="shared" si="90"/>
        <v>985288.13513513503</v>
      </c>
      <c r="K1094" s="596">
        <f>9160128+782325</f>
        <v>9942453</v>
      </c>
      <c r="L1094" s="597"/>
    </row>
    <row r="1095" spans="1:12" x14ac:dyDescent="0.2">
      <c r="A1095" s="316">
        <v>198</v>
      </c>
      <c r="B1095" s="591" t="s">
        <v>3876</v>
      </c>
      <c r="C1095" s="602" t="s">
        <v>4075</v>
      </c>
      <c r="D1095" s="603"/>
      <c r="E1095" s="604" t="s">
        <v>1087</v>
      </c>
      <c r="F1095" s="605" t="s">
        <v>1047</v>
      </c>
      <c r="G1095" s="761"/>
      <c r="H1095" s="599">
        <v>44742</v>
      </c>
      <c r="I1095" s="595">
        <f t="shared" si="89"/>
        <v>4126183.7837837832</v>
      </c>
      <c r="J1095" s="595">
        <f t="shared" si="90"/>
        <v>453880.21621621615</v>
      </c>
      <c r="K1095" s="596">
        <v>4580064</v>
      </c>
      <c r="L1095" s="597"/>
    </row>
    <row r="1096" spans="1:12" x14ac:dyDescent="0.2">
      <c r="A1096" s="316">
        <v>199</v>
      </c>
      <c r="B1096" s="591" t="s">
        <v>3877</v>
      </c>
      <c r="C1096" s="602" t="s">
        <v>4076</v>
      </c>
      <c r="D1096" s="603"/>
      <c r="E1096" s="604" t="s">
        <v>1103</v>
      </c>
      <c r="F1096" s="605" t="s">
        <v>1104</v>
      </c>
      <c r="G1096" s="761"/>
      <c r="H1096" s="606">
        <v>44742</v>
      </c>
      <c r="I1096" s="595">
        <f t="shared" si="87"/>
        <v>8085989.1891891882</v>
      </c>
      <c r="J1096" s="595">
        <f t="shared" si="88"/>
        <v>889458.81081081065</v>
      </c>
      <c r="K1096" s="596">
        <v>8975448</v>
      </c>
      <c r="L1096" s="597"/>
    </row>
    <row r="1097" spans="1:12" x14ac:dyDescent="0.2">
      <c r="A1097" s="316">
        <v>200</v>
      </c>
      <c r="B1097" s="591" t="s">
        <v>3878</v>
      </c>
      <c r="C1097" s="602" t="s">
        <v>4088</v>
      </c>
      <c r="D1097" s="603"/>
      <c r="E1097" s="604" t="s">
        <v>1068</v>
      </c>
      <c r="F1097" s="605" t="s">
        <v>1058</v>
      </c>
      <c r="G1097" s="761"/>
      <c r="H1097" s="599">
        <v>44742</v>
      </c>
      <c r="I1097" s="595">
        <f t="shared" ref="I1097:I1106" si="91">K1097/1.11</f>
        <v>4126183.7837837832</v>
      </c>
      <c r="J1097" s="595">
        <f t="shared" ref="J1097:J1106" si="92">I1097*11%</f>
        <v>453880.21621621615</v>
      </c>
      <c r="K1097" s="596">
        <v>4580064</v>
      </c>
      <c r="L1097" s="597"/>
    </row>
    <row r="1098" spans="1:12" x14ac:dyDescent="0.2">
      <c r="A1098" s="316">
        <v>201</v>
      </c>
      <c r="B1098" s="591" t="s">
        <v>3879</v>
      </c>
      <c r="C1098" s="602" t="s">
        <v>4089</v>
      </c>
      <c r="D1098" s="603"/>
      <c r="E1098" s="604" t="s">
        <v>2712</v>
      </c>
      <c r="F1098" s="605" t="s">
        <v>1042</v>
      </c>
      <c r="G1098" s="761"/>
      <c r="H1098" s="599">
        <v>44742</v>
      </c>
      <c r="I1098" s="595">
        <f t="shared" si="91"/>
        <v>2461600</v>
      </c>
      <c r="J1098" s="595">
        <f t="shared" si="92"/>
        <v>270776</v>
      </c>
      <c r="K1098" s="596">
        <v>2732376</v>
      </c>
      <c r="L1098" s="597"/>
    </row>
    <row r="1099" spans="1:12" x14ac:dyDescent="0.2">
      <c r="A1099" s="316">
        <v>202</v>
      </c>
      <c r="B1099" s="591" t="s">
        <v>3880</v>
      </c>
      <c r="C1099" s="602" t="s">
        <v>4107</v>
      </c>
      <c r="D1099" s="603"/>
      <c r="E1099" s="604" t="s">
        <v>1063</v>
      </c>
      <c r="F1099" s="605" t="s">
        <v>993</v>
      </c>
      <c r="G1099" s="761"/>
      <c r="H1099" s="599">
        <v>44742</v>
      </c>
      <c r="I1099" s="595">
        <f t="shared" si="91"/>
        <v>5501084.6846846845</v>
      </c>
      <c r="J1099" s="595">
        <f t="shared" si="92"/>
        <v>605119.31531531527</v>
      </c>
      <c r="K1099" s="596">
        <v>6106204</v>
      </c>
      <c r="L1099" s="597"/>
    </row>
    <row r="1100" spans="1:12" x14ac:dyDescent="0.2">
      <c r="A1100" s="316">
        <v>203</v>
      </c>
      <c r="B1100" s="591" t="s">
        <v>3881</v>
      </c>
      <c r="C1100" s="602" t="s">
        <v>4110</v>
      </c>
      <c r="D1100" s="603"/>
      <c r="E1100" s="604" t="s">
        <v>1750</v>
      </c>
      <c r="F1100" s="605" t="s">
        <v>1328</v>
      </c>
      <c r="G1100" s="761"/>
      <c r="H1100" s="599">
        <v>44742</v>
      </c>
      <c r="I1100" s="595">
        <f t="shared" si="91"/>
        <v>2102837.8378378376</v>
      </c>
      <c r="J1100" s="595">
        <f t="shared" si="92"/>
        <v>231312.16216216213</v>
      </c>
      <c r="K1100" s="596">
        <v>2334150</v>
      </c>
      <c r="L1100" s="597"/>
    </row>
    <row r="1101" spans="1:12" x14ac:dyDescent="0.2">
      <c r="A1101" s="316">
        <v>204</v>
      </c>
      <c r="B1101" s="591" t="s">
        <v>3882</v>
      </c>
      <c r="C1101" s="602" t="s">
        <v>4113</v>
      </c>
      <c r="D1101" s="603"/>
      <c r="E1101" s="604" t="s">
        <v>1205</v>
      </c>
      <c r="F1101" s="605" t="s">
        <v>1206</v>
      </c>
      <c r="G1101" s="761"/>
      <c r="H1101" s="606">
        <v>44742</v>
      </c>
      <c r="I1101" s="595">
        <f t="shared" si="91"/>
        <v>1842640.5405405404</v>
      </c>
      <c r="J1101" s="595">
        <f t="shared" si="92"/>
        <v>202690.45945945944</v>
      </c>
      <c r="K1101" s="596">
        <v>2045331</v>
      </c>
      <c r="L1101" s="597"/>
    </row>
    <row r="1102" spans="1:12" x14ac:dyDescent="0.2">
      <c r="A1102" s="316">
        <v>205</v>
      </c>
      <c r="B1102" s="591" t="s">
        <v>3883</v>
      </c>
      <c r="C1102" s="602" t="s">
        <v>4115</v>
      </c>
      <c r="D1102" s="603"/>
      <c r="E1102" s="604" t="s">
        <v>1003</v>
      </c>
      <c r="F1102" s="605" t="s">
        <v>984</v>
      </c>
      <c r="G1102" s="761"/>
      <c r="H1102" s="599">
        <v>44742</v>
      </c>
      <c r="I1102" s="595">
        <f t="shared" si="91"/>
        <v>3543859.4594594589</v>
      </c>
      <c r="J1102" s="595">
        <f t="shared" si="92"/>
        <v>389824.54054054047</v>
      </c>
      <c r="K1102" s="596">
        <v>3933684</v>
      </c>
      <c r="L1102" s="597"/>
    </row>
    <row r="1103" spans="1:12" x14ac:dyDescent="0.2">
      <c r="A1103" s="316">
        <v>206</v>
      </c>
      <c r="B1103" s="591" t="s">
        <v>3884</v>
      </c>
      <c r="C1103" s="602" t="s">
        <v>4116</v>
      </c>
      <c r="D1103" s="603"/>
      <c r="E1103" s="604" t="s">
        <v>1135</v>
      </c>
      <c r="F1103" s="605" t="s">
        <v>620</v>
      </c>
      <c r="G1103" s="761"/>
      <c r="H1103" s="599">
        <v>44742</v>
      </c>
      <c r="I1103" s="595">
        <f t="shared" si="91"/>
        <v>441459.45945945941</v>
      </c>
      <c r="J1103" s="595">
        <f t="shared" si="92"/>
        <v>48560.540540540533</v>
      </c>
      <c r="K1103" s="596">
        <v>490020</v>
      </c>
      <c r="L1103" s="597"/>
    </row>
    <row r="1104" spans="1:12" x14ac:dyDescent="0.2">
      <c r="A1104" s="316">
        <v>207</v>
      </c>
      <c r="B1104" s="591" t="s">
        <v>3885</v>
      </c>
      <c r="C1104" s="602" t="s">
        <v>4117</v>
      </c>
      <c r="D1104" s="603"/>
      <c r="E1104" s="604" t="s">
        <v>4118</v>
      </c>
      <c r="F1104" s="605" t="s">
        <v>1019</v>
      </c>
      <c r="G1104" s="761"/>
      <c r="H1104" s="599">
        <v>44735</v>
      </c>
      <c r="I1104" s="595">
        <f t="shared" si="91"/>
        <v>471097.29729729728</v>
      </c>
      <c r="J1104" s="595">
        <f t="shared" si="92"/>
        <v>51820.7027027027</v>
      </c>
      <c r="K1104" s="596">
        <v>522918</v>
      </c>
      <c r="L1104" s="597"/>
    </row>
    <row r="1105" spans="1:12" x14ac:dyDescent="0.2">
      <c r="A1105" s="316">
        <v>208</v>
      </c>
      <c r="B1105" s="591" t="s">
        <v>3886</v>
      </c>
      <c r="C1105" s="602" t="s">
        <v>4148</v>
      </c>
      <c r="D1105" s="603"/>
      <c r="E1105" s="604" t="s">
        <v>2999</v>
      </c>
      <c r="F1105" s="605" t="s">
        <v>1015</v>
      </c>
      <c r="G1105" s="761"/>
      <c r="H1105" s="599">
        <v>44734</v>
      </c>
      <c r="I1105" s="595">
        <f t="shared" si="91"/>
        <v>668375.67567567562</v>
      </c>
      <c r="J1105" s="595">
        <f t="shared" si="92"/>
        <v>73521.32432432432</v>
      </c>
      <c r="K1105" s="596">
        <v>741897</v>
      </c>
      <c r="L1105" s="597"/>
    </row>
    <row r="1106" spans="1:12" x14ac:dyDescent="0.2">
      <c r="A1106" s="316">
        <v>209</v>
      </c>
      <c r="B1106" s="591" t="s">
        <v>3887</v>
      </c>
      <c r="C1106" s="602" t="s">
        <v>4151</v>
      </c>
      <c r="D1106" s="603"/>
      <c r="E1106" s="604" t="s">
        <v>1062</v>
      </c>
      <c r="F1106" s="605" t="s">
        <v>966</v>
      </c>
      <c r="G1106" s="760"/>
      <c r="H1106" s="599">
        <v>44735</v>
      </c>
      <c r="I1106" s="595">
        <f t="shared" si="91"/>
        <v>3061362.1621621619</v>
      </c>
      <c r="J1106" s="595">
        <f t="shared" si="92"/>
        <v>336749.83783783781</v>
      </c>
      <c r="K1106" s="596">
        <v>3398112</v>
      </c>
      <c r="L1106" s="597"/>
    </row>
    <row r="1107" spans="1:12" x14ac:dyDescent="0.2">
      <c r="A1107" s="316">
        <v>210</v>
      </c>
      <c r="B1107" s="591" t="s">
        <v>4078</v>
      </c>
      <c r="C1107" s="602" t="s">
        <v>4163</v>
      </c>
      <c r="D1107" s="603"/>
      <c r="E1107" s="604" t="s">
        <v>969</v>
      </c>
      <c r="F1107" s="605" t="s">
        <v>966</v>
      </c>
      <c r="G1107" s="761"/>
      <c r="H1107" s="599">
        <v>44736</v>
      </c>
      <c r="I1107" s="595">
        <f t="shared" si="87"/>
        <v>39074886.48648648</v>
      </c>
      <c r="J1107" s="595">
        <f t="shared" si="88"/>
        <v>4298237.5135135129</v>
      </c>
      <c r="K1107" s="596">
        <f>6418656+22549428+14405040</f>
        <v>43373124</v>
      </c>
      <c r="L1107" s="597"/>
    </row>
    <row r="1108" spans="1:12" x14ac:dyDescent="0.2">
      <c r="A1108" s="316">
        <v>211</v>
      </c>
      <c r="B1108" s="591" t="s">
        <v>4079</v>
      </c>
      <c r="C1108" s="602" t="s">
        <v>4164</v>
      </c>
      <c r="D1108" s="603"/>
      <c r="E1108" s="604" t="s">
        <v>1029</v>
      </c>
      <c r="F1108" s="605" t="s">
        <v>966</v>
      </c>
      <c r="G1108" s="761"/>
      <c r="H1108" s="599">
        <v>44740</v>
      </c>
      <c r="I1108" s="595">
        <f t="shared" si="87"/>
        <v>16238529.729729729</v>
      </c>
      <c r="J1108" s="595">
        <f t="shared" si="88"/>
        <v>1786238.2702702701</v>
      </c>
      <c r="K1108" s="596">
        <f>8864640+9160128</f>
        <v>18024768</v>
      </c>
      <c r="L1108" s="597"/>
    </row>
    <row r="1109" spans="1:12" x14ac:dyDescent="0.2">
      <c r="A1109" s="316">
        <v>212</v>
      </c>
      <c r="B1109" s="591" t="s">
        <v>4080</v>
      </c>
      <c r="C1109" s="602" t="s">
        <v>4154</v>
      </c>
      <c r="D1109" s="603"/>
      <c r="E1109" s="604" t="s">
        <v>1315</v>
      </c>
      <c r="F1109" s="605" t="s">
        <v>966</v>
      </c>
      <c r="G1109" s="761"/>
      <c r="H1109" s="599">
        <v>44742</v>
      </c>
      <c r="I1109" s="595">
        <f t="shared" si="87"/>
        <v>5250162.1621621614</v>
      </c>
      <c r="J1109" s="595">
        <f t="shared" si="88"/>
        <v>577517.83783783775</v>
      </c>
      <c r="K1109" s="596">
        <v>5827680</v>
      </c>
      <c r="L1109" s="597"/>
    </row>
    <row r="1110" spans="1:12" x14ac:dyDescent="0.2">
      <c r="A1110" s="316">
        <v>213</v>
      </c>
      <c r="B1110" s="591" t="s">
        <v>4081</v>
      </c>
      <c r="C1110" s="602" t="s">
        <v>4161</v>
      </c>
      <c r="D1110" s="603"/>
      <c r="E1110" s="604" t="s">
        <v>965</v>
      </c>
      <c r="F1110" s="605" t="s">
        <v>966</v>
      </c>
      <c r="G1110" s="761"/>
      <c r="H1110" s="599">
        <v>44742</v>
      </c>
      <c r="I1110" s="595">
        <f t="shared" ref="I1110:I1116" si="93">K1110/1.11</f>
        <v>9878562.1621621605</v>
      </c>
      <c r="J1110" s="595">
        <f t="shared" ref="J1110:J1116" si="94">I1110*11%</f>
        <v>1086641.8378378376</v>
      </c>
      <c r="K1110" s="596">
        <v>10965204</v>
      </c>
      <c r="L1110" s="597"/>
    </row>
    <row r="1111" spans="1:12" x14ac:dyDescent="0.2">
      <c r="A1111" s="316">
        <v>214</v>
      </c>
      <c r="B1111" s="591" t="s">
        <v>4082</v>
      </c>
      <c r="C1111" s="602" t="s">
        <v>4165</v>
      </c>
      <c r="D1111" s="603"/>
      <c r="E1111" s="604" t="s">
        <v>3556</v>
      </c>
      <c r="F1111" s="605" t="s">
        <v>2368</v>
      </c>
      <c r="G1111" s="761"/>
      <c r="H1111" s="606">
        <v>44728</v>
      </c>
      <c r="I1111" s="595">
        <f t="shared" si="93"/>
        <v>919189.18918918911</v>
      </c>
      <c r="J1111" s="595">
        <f t="shared" si="94"/>
        <v>101110.8108108108</v>
      </c>
      <c r="K1111" s="596">
        <f>577500+442800</f>
        <v>1020300</v>
      </c>
      <c r="L1111" s="597"/>
    </row>
    <row r="1112" spans="1:12" x14ac:dyDescent="0.2">
      <c r="A1112" s="316">
        <v>215</v>
      </c>
      <c r="B1112" s="591" t="s">
        <v>4083</v>
      </c>
      <c r="C1112" s="602" t="s">
        <v>4166</v>
      </c>
      <c r="D1112" s="603"/>
      <c r="E1112" s="604" t="s">
        <v>2565</v>
      </c>
      <c r="F1112" s="605" t="s">
        <v>2368</v>
      </c>
      <c r="G1112" s="761"/>
      <c r="H1112" s="599">
        <v>44742</v>
      </c>
      <c r="I1112" s="595">
        <f t="shared" si="93"/>
        <v>598981.98198198189</v>
      </c>
      <c r="J1112" s="595">
        <f t="shared" si="94"/>
        <v>65888.018018018003</v>
      </c>
      <c r="K1112" s="596">
        <f>6600+25000+13110+13110+522120+34200+27360+23370</f>
        <v>664870</v>
      </c>
      <c r="L1112" s="597"/>
    </row>
    <row r="1113" spans="1:12" x14ac:dyDescent="0.2">
      <c r="A1113" s="316">
        <v>216</v>
      </c>
      <c r="B1113" s="591" t="s">
        <v>4084</v>
      </c>
      <c r="C1113" s="602" t="s">
        <v>4167</v>
      </c>
      <c r="D1113" s="603"/>
      <c r="E1113" s="604" t="s">
        <v>2576</v>
      </c>
      <c r="F1113" s="605" t="s">
        <v>2368</v>
      </c>
      <c r="G1113" s="761"/>
      <c r="H1113" s="599">
        <v>44733</v>
      </c>
      <c r="I1113" s="595">
        <f t="shared" si="93"/>
        <v>37722003.603603601</v>
      </c>
      <c r="J1113" s="595">
        <f t="shared" si="94"/>
        <v>4149420.3963963962</v>
      </c>
      <c r="K1113" s="596">
        <f>14658528+928800+363952+14462448+1473696+9984000</f>
        <v>41871424</v>
      </c>
      <c r="L1113" s="597"/>
    </row>
    <row r="1114" spans="1:12" x14ac:dyDescent="0.2">
      <c r="A1114" s="316">
        <v>217</v>
      </c>
      <c r="B1114" s="591" t="s">
        <v>4085</v>
      </c>
      <c r="C1114" s="602" t="s">
        <v>4168</v>
      </c>
      <c r="D1114" s="603"/>
      <c r="E1114" s="604" t="s">
        <v>2576</v>
      </c>
      <c r="F1114" s="605" t="s">
        <v>2368</v>
      </c>
      <c r="G1114" s="761"/>
      <c r="H1114" s="599">
        <v>44742</v>
      </c>
      <c r="I1114" s="595">
        <f t="shared" si="93"/>
        <v>11703906.306306304</v>
      </c>
      <c r="J1114" s="595">
        <f t="shared" si="94"/>
        <v>1287429.6936936935</v>
      </c>
      <c r="K1114" s="596">
        <f>1046448+2034420+4354008+3513960+2042500</f>
        <v>12991336</v>
      </c>
      <c r="L1114" s="597"/>
    </row>
    <row r="1115" spans="1:12" x14ac:dyDescent="0.2">
      <c r="A1115" s="316">
        <v>218</v>
      </c>
      <c r="B1115" s="591" t="s">
        <v>4086</v>
      </c>
      <c r="C1115" s="602" t="s">
        <v>4169</v>
      </c>
      <c r="D1115" s="603"/>
      <c r="E1115" s="604" t="s">
        <v>1869</v>
      </c>
      <c r="F1115" s="605" t="s">
        <v>1022</v>
      </c>
      <c r="G1115" s="761"/>
      <c r="H1115" s="599">
        <v>44726</v>
      </c>
      <c r="I1115" s="595">
        <f t="shared" si="93"/>
        <v>34154130.630630627</v>
      </c>
      <c r="J1115" s="595">
        <f t="shared" si="94"/>
        <v>3756954.369369369</v>
      </c>
      <c r="K1115" s="596">
        <f>2216160+35694925</f>
        <v>37911085</v>
      </c>
      <c r="L1115" s="597"/>
    </row>
    <row r="1116" spans="1:12" x14ac:dyDescent="0.2">
      <c r="A1116" s="316">
        <v>219</v>
      </c>
      <c r="B1116" s="591" t="s">
        <v>4087</v>
      </c>
      <c r="C1116" s="602" t="s">
        <v>4170</v>
      </c>
      <c r="D1116" s="603"/>
      <c r="E1116" s="604" t="s">
        <v>1869</v>
      </c>
      <c r="F1116" s="605" t="s">
        <v>1022</v>
      </c>
      <c r="G1116" s="760"/>
      <c r="H1116" s="599">
        <v>44740</v>
      </c>
      <c r="I1116" s="595">
        <f t="shared" si="93"/>
        <v>77624181.081081077</v>
      </c>
      <c r="J1116" s="595">
        <f t="shared" si="94"/>
        <v>8538659.9189189188</v>
      </c>
      <c r="K1116" s="596">
        <f>28124928+58037913</f>
        <v>86162841</v>
      </c>
      <c r="L1116" s="597"/>
    </row>
    <row r="1117" spans="1:12" x14ac:dyDescent="0.2">
      <c r="A1117" s="316">
        <v>220</v>
      </c>
      <c r="B1117" s="591" t="s">
        <v>4155</v>
      </c>
      <c r="C1117" s="602" t="s">
        <v>4171</v>
      </c>
      <c r="D1117" s="603"/>
      <c r="E1117" s="604" t="s">
        <v>1869</v>
      </c>
      <c r="F1117" s="605" t="s">
        <v>1022</v>
      </c>
      <c r="G1117" s="761"/>
      <c r="H1117" s="599">
        <v>44741</v>
      </c>
      <c r="I1117" s="595">
        <f t="shared" si="87"/>
        <v>7915423.4234234225</v>
      </c>
      <c r="J1117" s="595">
        <f t="shared" si="88"/>
        <v>870696.57657657645</v>
      </c>
      <c r="K1117" s="596">
        <f>430920+5182450+3172750</f>
        <v>8786120</v>
      </c>
      <c r="L1117" s="597"/>
    </row>
    <row r="1118" spans="1:12" x14ac:dyDescent="0.2">
      <c r="A1118" s="316">
        <v>221</v>
      </c>
      <c r="B1118" s="591" t="s">
        <v>4156</v>
      </c>
      <c r="C1118" s="602" t="s">
        <v>4172</v>
      </c>
      <c r="D1118" s="603"/>
      <c r="E1118" s="604" t="s">
        <v>1869</v>
      </c>
      <c r="F1118" s="605" t="s">
        <v>1022</v>
      </c>
      <c r="G1118" s="761"/>
      <c r="H1118" s="606">
        <v>44742</v>
      </c>
      <c r="I1118" s="595">
        <f t="shared" si="87"/>
        <v>39962945.945945941</v>
      </c>
      <c r="J1118" s="595">
        <f t="shared" si="88"/>
        <v>4395924.0540540535</v>
      </c>
      <c r="K1118" s="596">
        <f>5047920+39310950</f>
        <v>44358870</v>
      </c>
      <c r="L1118" s="597"/>
    </row>
    <row r="1119" spans="1:12" x14ac:dyDescent="0.2">
      <c r="A1119" s="316">
        <v>222</v>
      </c>
      <c r="B1119" s="591" t="s">
        <v>4157</v>
      </c>
      <c r="C1119" s="602" t="s">
        <v>4173</v>
      </c>
      <c r="D1119" s="603"/>
      <c r="E1119" s="604" t="s">
        <v>2565</v>
      </c>
      <c r="F1119" s="605" t="s">
        <v>2368</v>
      </c>
      <c r="G1119" s="761"/>
      <c r="H1119" s="599">
        <v>44723</v>
      </c>
      <c r="I1119" s="595">
        <f t="shared" si="87"/>
        <v>49656013.513513505</v>
      </c>
      <c r="J1119" s="595">
        <f t="shared" si="88"/>
        <v>5462161.4864864852</v>
      </c>
      <c r="K1119" s="596">
        <f>1224000+1596000+3700125+3572000+(14500+177000)+(51750+3933000)+720000+835200+1080000+7819200+12396600+8610000+823200+1305600+7260000</f>
        <v>55118175</v>
      </c>
      <c r="L1119" s="597"/>
    </row>
    <row r="1120" spans="1:12" x14ac:dyDescent="0.2">
      <c r="A1120" s="316">
        <v>223</v>
      </c>
      <c r="B1120" s="591" t="s">
        <v>4158</v>
      </c>
      <c r="C1120" s="602" t="s">
        <v>4173</v>
      </c>
      <c r="D1120" s="603"/>
      <c r="E1120" s="604" t="s">
        <v>2565</v>
      </c>
      <c r="F1120" s="605" t="s">
        <v>2368</v>
      </c>
      <c r="G1120" s="761"/>
      <c r="H1120" s="599">
        <v>44733</v>
      </c>
      <c r="I1120" s="595">
        <f t="shared" si="87"/>
        <v>34762162.162162162</v>
      </c>
      <c r="J1120" s="595">
        <f t="shared" si="88"/>
        <v>3823837.8378378381</v>
      </c>
      <c r="K1120" s="596">
        <f>4284000+1140000+12354000+5832000+4896000+4872000+1656000+3552000</f>
        <v>38586000</v>
      </c>
      <c r="L1120" s="597"/>
    </row>
    <row r="1121" spans="1:12" x14ac:dyDescent="0.2">
      <c r="A1121" s="316">
        <v>224</v>
      </c>
      <c r="B1121" s="591" t="s">
        <v>4159</v>
      </c>
      <c r="C1121" s="602" t="s">
        <v>4173</v>
      </c>
      <c r="D1121" s="603"/>
      <c r="E1121" s="604" t="s">
        <v>2565</v>
      </c>
      <c r="F1121" s="605" t="s">
        <v>2368</v>
      </c>
      <c r="G1121" s="761"/>
      <c r="H1121" s="599">
        <v>44742</v>
      </c>
      <c r="I1121" s="595">
        <f t="shared" si="87"/>
        <v>33327027.027027026</v>
      </c>
      <c r="J1121" s="595">
        <f t="shared" si="88"/>
        <v>3665972.9729729728</v>
      </c>
      <c r="K1121" s="596">
        <f>20160000+4968000+10101000+1764000</f>
        <v>36993000</v>
      </c>
      <c r="L1121" s="597"/>
    </row>
    <row r="1122" spans="1:12" x14ac:dyDescent="0.2">
      <c r="B1122" s="616"/>
      <c r="C1122" s="617"/>
      <c r="D1122" s="618"/>
      <c r="E1122" s="619"/>
      <c r="F1122" s="620"/>
      <c r="G1122" s="655"/>
      <c r="H1122" s="621"/>
      <c r="I1122" s="595">
        <f t="shared" si="87"/>
        <v>0</v>
      </c>
      <c r="J1122" s="595">
        <f t="shared" si="88"/>
        <v>0</v>
      </c>
      <c r="K1122" s="623"/>
      <c r="L1122" s="624"/>
    </row>
    <row r="1123" spans="1:12" ht="18" x14ac:dyDescent="0.25">
      <c r="B1123" s="630" t="s">
        <v>292</v>
      </c>
      <c r="C1123" s="631"/>
      <c r="D1123" s="632"/>
      <c r="E1123" s="633"/>
      <c r="F1123" s="634"/>
      <c r="G1123" s="656"/>
      <c r="H1123" s="635"/>
      <c r="I1123" s="636">
        <f>SUM(I898:I1122)</f>
        <v>1721967200.8108106</v>
      </c>
      <c r="J1123" s="636">
        <f>SUM(J898:J1122)</f>
        <v>189416392.08918911</v>
      </c>
      <c r="K1123" s="637">
        <f>SUM(K898:K1122)</f>
        <v>1911383592.9000001</v>
      </c>
      <c r="L1123" s="638"/>
    </row>
    <row r="1124" spans="1:12" s="429" customFormat="1" ht="20.25" x14ac:dyDescent="0.3">
      <c r="A1124" s="316"/>
      <c r="B1124" s="639" t="s">
        <v>104</v>
      </c>
      <c r="C1124" s="626"/>
      <c r="D1124" s="627"/>
      <c r="E1124" s="627"/>
      <c r="F1124" s="627"/>
      <c r="G1124" s="627"/>
      <c r="H1124" s="640"/>
      <c r="I1124" s="641"/>
      <c r="J1124" s="641"/>
      <c r="K1124" s="642"/>
      <c r="L1124" s="643"/>
    </row>
    <row r="1125" spans="1:12" s="775" customFormat="1" x14ac:dyDescent="0.2">
      <c r="A1125" s="316">
        <v>1</v>
      </c>
      <c r="B1125" s="591" t="s">
        <v>3343</v>
      </c>
      <c r="C1125" s="598" t="s">
        <v>3368</v>
      </c>
      <c r="D1125" s="737" t="s">
        <v>607</v>
      </c>
      <c r="E1125" s="738" t="s">
        <v>605</v>
      </c>
      <c r="F1125" s="739" t="s">
        <v>606</v>
      </c>
      <c r="G1125" s="653" t="s">
        <v>1644</v>
      </c>
      <c r="H1125" s="594">
        <v>44746</v>
      </c>
      <c r="I1125" s="595">
        <f t="shared" ref="I1125" si="95">K1125/1.11</f>
        <v>1506418.9189189188</v>
      </c>
      <c r="J1125" s="595">
        <f t="shared" ref="J1125" si="96">I1125*11%</f>
        <v>165706.08108108107</v>
      </c>
      <c r="K1125" s="596">
        <v>1672125</v>
      </c>
      <c r="L1125" s="597" t="s">
        <v>3891</v>
      </c>
    </row>
    <row r="1126" spans="1:12" s="429" customFormat="1" x14ac:dyDescent="0.2">
      <c r="A1126" s="316">
        <v>2</v>
      </c>
      <c r="B1126" s="591" t="s">
        <v>4174</v>
      </c>
      <c r="C1126" s="598" t="s">
        <v>4324</v>
      </c>
      <c r="D1126" s="737" t="s">
        <v>580</v>
      </c>
      <c r="E1126" s="738" t="s">
        <v>595</v>
      </c>
      <c r="F1126" s="754" t="s">
        <v>579</v>
      </c>
      <c r="G1126" s="653" t="s">
        <v>1645</v>
      </c>
      <c r="H1126" s="594">
        <v>44746</v>
      </c>
      <c r="I1126" s="595">
        <f t="shared" ref="I1126:I1189" si="97">K1126/1.11</f>
        <v>2962508.1081081079</v>
      </c>
      <c r="J1126" s="595">
        <f t="shared" ref="J1126:J1189" si="98">I1126*11%</f>
        <v>325875.89189189189</v>
      </c>
      <c r="K1126" s="596">
        <v>3288384</v>
      </c>
      <c r="L1126" s="759" t="s">
        <v>3889</v>
      </c>
    </row>
    <row r="1127" spans="1:12" s="429" customFormat="1" x14ac:dyDescent="0.2">
      <c r="A1127" s="316">
        <v>3</v>
      </c>
      <c r="B1127" s="591" t="s">
        <v>4181</v>
      </c>
      <c r="C1127" s="592" t="s">
        <v>4325</v>
      </c>
      <c r="D1127" s="737" t="s">
        <v>607</v>
      </c>
      <c r="E1127" s="738" t="s">
        <v>605</v>
      </c>
      <c r="F1127" s="739" t="s">
        <v>606</v>
      </c>
      <c r="G1127" s="653" t="s">
        <v>1646</v>
      </c>
      <c r="H1127" s="594">
        <v>44746</v>
      </c>
      <c r="I1127" s="595">
        <f t="shared" si="97"/>
        <v>3064864.8648648644</v>
      </c>
      <c r="J1127" s="595">
        <f t="shared" si="98"/>
        <v>337135.13513513509</v>
      </c>
      <c r="K1127" s="596">
        <v>3402000</v>
      </c>
      <c r="L1127" s="597" t="s">
        <v>3889</v>
      </c>
    </row>
    <row r="1128" spans="1:12" s="429" customFormat="1" x14ac:dyDescent="0.2">
      <c r="A1128" s="316">
        <v>4</v>
      </c>
      <c r="B1128" s="591" t="s">
        <v>4182</v>
      </c>
      <c r="C1128" s="598" t="s">
        <v>4326</v>
      </c>
      <c r="D1128" s="586" t="s">
        <v>1427</v>
      </c>
      <c r="E1128" s="587" t="s">
        <v>425</v>
      </c>
      <c r="F1128" s="588" t="s">
        <v>426</v>
      </c>
      <c r="G1128" s="653" t="s">
        <v>1647</v>
      </c>
      <c r="H1128" s="594">
        <v>44746</v>
      </c>
      <c r="I1128" s="595">
        <f t="shared" si="97"/>
        <v>4222702.702702702</v>
      </c>
      <c r="J1128" s="595">
        <f t="shared" si="98"/>
        <v>464497.29729729722</v>
      </c>
      <c r="K1128" s="596">
        <v>4687200</v>
      </c>
      <c r="L1128" s="597" t="s">
        <v>3889</v>
      </c>
    </row>
    <row r="1129" spans="1:12" s="429" customFormat="1" x14ac:dyDescent="0.2">
      <c r="A1129" s="316">
        <v>5</v>
      </c>
      <c r="B1129" s="591" t="s">
        <v>4175</v>
      </c>
      <c r="C1129" s="598" t="s">
        <v>4327</v>
      </c>
      <c r="D1129" s="586" t="s">
        <v>671</v>
      </c>
      <c r="E1129" s="587" t="s">
        <v>672</v>
      </c>
      <c r="F1129" s="588" t="s">
        <v>673</v>
      </c>
      <c r="G1129" s="653" t="s">
        <v>1648</v>
      </c>
      <c r="H1129" s="594">
        <v>44753</v>
      </c>
      <c r="I1129" s="595">
        <f t="shared" si="97"/>
        <v>1069297.2972972973</v>
      </c>
      <c r="J1129" s="595">
        <f t="shared" si="98"/>
        <v>117622.70270270271</v>
      </c>
      <c r="K1129" s="596">
        <v>1186920</v>
      </c>
      <c r="L1129" s="597" t="s">
        <v>3889</v>
      </c>
    </row>
    <row r="1130" spans="1:12" s="429" customFormat="1" x14ac:dyDescent="0.2">
      <c r="A1130" s="316">
        <v>6</v>
      </c>
      <c r="B1130" s="591" t="s">
        <v>4176</v>
      </c>
      <c r="C1130" s="598" t="s">
        <v>4329</v>
      </c>
      <c r="D1130" s="737" t="s">
        <v>580</v>
      </c>
      <c r="E1130" s="738" t="s">
        <v>595</v>
      </c>
      <c r="F1130" s="754" t="s">
        <v>579</v>
      </c>
      <c r="G1130" s="653" t="s">
        <v>1649</v>
      </c>
      <c r="H1130" s="594">
        <v>44749</v>
      </c>
      <c r="I1130" s="595">
        <f t="shared" si="97"/>
        <v>28478605.405405402</v>
      </c>
      <c r="J1130" s="595">
        <f t="shared" si="98"/>
        <v>3132646.5945945941</v>
      </c>
      <c r="K1130" s="596">
        <v>31611252</v>
      </c>
      <c r="L1130" s="597" t="s">
        <v>3891</v>
      </c>
    </row>
    <row r="1131" spans="1:12" s="429" customFormat="1" x14ac:dyDescent="0.2">
      <c r="A1131" s="316">
        <v>7</v>
      </c>
      <c r="B1131" s="591" t="s">
        <v>4177</v>
      </c>
      <c r="C1131" s="598" t="s">
        <v>4330</v>
      </c>
      <c r="D1131" s="737" t="s">
        <v>581</v>
      </c>
      <c r="E1131" s="746" t="s">
        <v>596</v>
      </c>
      <c r="F1131" s="746" t="s">
        <v>579</v>
      </c>
      <c r="G1131" s="653" t="s">
        <v>1650</v>
      </c>
      <c r="H1131" s="599">
        <v>44749</v>
      </c>
      <c r="I1131" s="595">
        <f t="shared" si="97"/>
        <v>9380481.0810810812</v>
      </c>
      <c r="J1131" s="595">
        <f t="shared" si="98"/>
        <v>1031852.9189189189</v>
      </c>
      <c r="K1131" s="596">
        <v>10412334</v>
      </c>
      <c r="L1131" s="597" t="s">
        <v>3891</v>
      </c>
    </row>
    <row r="1132" spans="1:12" s="429" customFormat="1" x14ac:dyDescent="0.2">
      <c r="A1132" s="316">
        <v>8</v>
      </c>
      <c r="B1132" s="591" t="s">
        <v>4178</v>
      </c>
      <c r="C1132" s="598" t="s">
        <v>4331</v>
      </c>
      <c r="D1132" s="769" t="s">
        <v>591</v>
      </c>
      <c r="E1132" s="752" t="s">
        <v>777</v>
      </c>
      <c r="F1132" s="753" t="s">
        <v>590</v>
      </c>
      <c r="G1132" s="653" t="s">
        <v>1651</v>
      </c>
      <c r="H1132" s="599">
        <v>44749</v>
      </c>
      <c r="I1132" s="595">
        <f t="shared" si="97"/>
        <v>1696162.1621621619</v>
      </c>
      <c r="J1132" s="595">
        <f t="shared" si="98"/>
        <v>186577.83783783781</v>
      </c>
      <c r="K1132" s="596">
        <v>1882740</v>
      </c>
      <c r="L1132" s="597" t="s">
        <v>3889</v>
      </c>
    </row>
    <row r="1133" spans="1:12" s="429" customFormat="1" x14ac:dyDescent="0.2">
      <c r="A1133" s="316">
        <v>9</v>
      </c>
      <c r="B1133" s="591" t="s">
        <v>4179</v>
      </c>
      <c r="C1133" s="598" t="s">
        <v>4328</v>
      </c>
      <c r="D1133" s="737" t="s">
        <v>617</v>
      </c>
      <c r="E1133" s="738" t="s">
        <v>616</v>
      </c>
      <c r="F1133" s="739" t="s">
        <v>579</v>
      </c>
      <c r="G1133" s="653" t="s">
        <v>1652</v>
      </c>
      <c r="H1133" s="599">
        <v>44750</v>
      </c>
      <c r="I1133" s="595">
        <f t="shared" si="97"/>
        <v>705405.40540540533</v>
      </c>
      <c r="J1133" s="595">
        <f t="shared" si="98"/>
        <v>77594.594594594586</v>
      </c>
      <c r="K1133" s="596">
        <v>783000</v>
      </c>
      <c r="L1133" s="597" t="s">
        <v>3889</v>
      </c>
    </row>
    <row r="1134" spans="1:12" s="429" customFormat="1" x14ac:dyDescent="0.2">
      <c r="A1134" s="316">
        <v>10</v>
      </c>
      <c r="B1134" s="591" t="s">
        <v>4180</v>
      </c>
      <c r="C1134" s="598" t="s">
        <v>4332</v>
      </c>
      <c r="D1134" s="751" t="s">
        <v>603</v>
      </c>
      <c r="E1134" s="752" t="s">
        <v>608</v>
      </c>
      <c r="F1134" s="753" t="s">
        <v>602</v>
      </c>
      <c r="G1134" s="653" t="s">
        <v>1653</v>
      </c>
      <c r="H1134" s="599">
        <v>44753</v>
      </c>
      <c r="I1134" s="595">
        <f t="shared" si="97"/>
        <v>35027027.027027026</v>
      </c>
      <c r="J1134" s="595">
        <f t="shared" si="98"/>
        <v>3852972.9729729728</v>
      </c>
      <c r="K1134" s="596">
        <v>38880000</v>
      </c>
      <c r="L1134" s="597" t="s">
        <v>3891</v>
      </c>
    </row>
    <row r="1135" spans="1:12" s="429" customFormat="1" x14ac:dyDescent="0.2">
      <c r="A1135" s="316">
        <v>11</v>
      </c>
      <c r="B1135" s="591" t="s">
        <v>4183</v>
      </c>
      <c r="C1135" s="598" t="s">
        <v>4333</v>
      </c>
      <c r="D1135" s="737" t="s">
        <v>581</v>
      </c>
      <c r="E1135" s="746" t="s">
        <v>596</v>
      </c>
      <c r="F1135" s="746" t="s">
        <v>579</v>
      </c>
      <c r="G1135" s="653" t="s">
        <v>1654</v>
      </c>
      <c r="H1135" s="599">
        <v>44753</v>
      </c>
      <c r="I1135" s="595">
        <f t="shared" si="97"/>
        <v>921729.7297297297</v>
      </c>
      <c r="J1135" s="595">
        <f t="shared" si="98"/>
        <v>101390.27027027027</v>
      </c>
      <c r="K1135" s="596">
        <v>1023120</v>
      </c>
      <c r="L1135" s="597" t="s">
        <v>3891</v>
      </c>
    </row>
    <row r="1136" spans="1:12" s="429" customFormat="1" x14ac:dyDescent="0.2">
      <c r="A1136" s="316">
        <v>12</v>
      </c>
      <c r="B1136" s="591" t="s">
        <v>4184</v>
      </c>
      <c r="C1136" s="598" t="s">
        <v>4334</v>
      </c>
      <c r="D1136" s="586" t="s">
        <v>1427</v>
      </c>
      <c r="E1136" s="587" t="s">
        <v>425</v>
      </c>
      <c r="F1136" s="588" t="s">
        <v>426</v>
      </c>
      <c r="G1136" s="653" t="s">
        <v>1655</v>
      </c>
      <c r="H1136" s="599">
        <v>44749</v>
      </c>
      <c r="I1136" s="595">
        <f t="shared" si="97"/>
        <v>24332567.567567565</v>
      </c>
      <c r="J1136" s="595">
        <f t="shared" si="98"/>
        <v>2676582.4324324322</v>
      </c>
      <c r="K1136" s="596">
        <v>27009150</v>
      </c>
      <c r="L1136" s="597" t="s">
        <v>3891</v>
      </c>
    </row>
    <row r="1137" spans="1:12" s="429" customFormat="1" x14ac:dyDescent="0.2">
      <c r="A1137" s="316">
        <v>13</v>
      </c>
      <c r="B1137" s="591" t="s">
        <v>4185</v>
      </c>
      <c r="C1137" s="598" t="s">
        <v>4335</v>
      </c>
      <c r="D1137" s="586" t="s">
        <v>584</v>
      </c>
      <c r="E1137" s="587" t="s">
        <v>582</v>
      </c>
      <c r="F1137" s="588" t="s">
        <v>583</v>
      </c>
      <c r="G1137" s="653" t="s">
        <v>1656</v>
      </c>
      <c r="H1137" s="599">
        <v>44754</v>
      </c>
      <c r="I1137" s="595">
        <f t="shared" si="97"/>
        <v>767675.67567567562</v>
      </c>
      <c r="J1137" s="595">
        <f t="shared" si="98"/>
        <v>84444.32432432432</v>
      </c>
      <c r="K1137" s="596">
        <v>852120</v>
      </c>
      <c r="L1137" s="597" t="s">
        <v>3891</v>
      </c>
    </row>
    <row r="1138" spans="1:12" s="429" customFormat="1" x14ac:dyDescent="0.2">
      <c r="A1138" s="316">
        <v>14</v>
      </c>
      <c r="B1138" s="591" t="s">
        <v>4186</v>
      </c>
      <c r="C1138" s="598" t="s">
        <v>4336</v>
      </c>
      <c r="D1138" s="737" t="s">
        <v>581</v>
      </c>
      <c r="E1138" s="746" t="s">
        <v>596</v>
      </c>
      <c r="F1138" s="746" t="s">
        <v>579</v>
      </c>
      <c r="G1138" s="653" t="s">
        <v>1657</v>
      </c>
      <c r="H1138" s="599">
        <v>44756</v>
      </c>
      <c r="I1138" s="595">
        <f t="shared" si="97"/>
        <v>7861978.3783783773</v>
      </c>
      <c r="J1138" s="595">
        <f t="shared" si="98"/>
        <v>864817.62162162154</v>
      </c>
      <c r="K1138" s="596">
        <v>8726796</v>
      </c>
      <c r="L1138" s="597" t="s">
        <v>3890</v>
      </c>
    </row>
    <row r="1139" spans="1:12" s="429" customFormat="1" x14ac:dyDescent="0.2">
      <c r="A1139" s="316">
        <v>15</v>
      </c>
      <c r="B1139" s="591" t="s">
        <v>4187</v>
      </c>
      <c r="C1139" s="598" t="s">
        <v>4337</v>
      </c>
      <c r="D1139" s="769" t="s">
        <v>591</v>
      </c>
      <c r="E1139" s="752" t="s">
        <v>777</v>
      </c>
      <c r="F1139" s="753" t="s">
        <v>590</v>
      </c>
      <c r="G1139" s="653" t="s">
        <v>1658</v>
      </c>
      <c r="H1139" s="599">
        <v>44757</v>
      </c>
      <c r="I1139" s="595">
        <f t="shared" si="97"/>
        <v>279243.2432432432</v>
      </c>
      <c r="J1139" s="595">
        <f t="shared" si="98"/>
        <v>30716.756756756753</v>
      </c>
      <c r="K1139" s="596">
        <v>309960</v>
      </c>
      <c r="L1139" s="597" t="s">
        <v>3889</v>
      </c>
    </row>
    <row r="1140" spans="1:12" s="429" customFormat="1" x14ac:dyDescent="0.2">
      <c r="A1140" s="316">
        <v>16</v>
      </c>
      <c r="B1140" s="591" t="s">
        <v>4188</v>
      </c>
      <c r="C1140" s="598" t="s">
        <v>4338</v>
      </c>
      <c r="D1140" s="737" t="s">
        <v>580</v>
      </c>
      <c r="E1140" s="738" t="s">
        <v>595</v>
      </c>
      <c r="F1140" s="754" t="s">
        <v>579</v>
      </c>
      <c r="G1140" s="761" t="s">
        <v>3377</v>
      </c>
      <c r="H1140" s="599">
        <v>44757</v>
      </c>
      <c r="I1140" s="595">
        <f t="shared" si="97"/>
        <v>14503945.945945945</v>
      </c>
      <c r="J1140" s="595">
        <f t="shared" si="98"/>
        <v>1595434.054054054</v>
      </c>
      <c r="K1140" s="596">
        <v>16099380</v>
      </c>
      <c r="L1140" s="597" t="s">
        <v>3889</v>
      </c>
    </row>
    <row r="1141" spans="1:12" s="429" customFormat="1" x14ac:dyDescent="0.2">
      <c r="A1141" s="316">
        <v>17</v>
      </c>
      <c r="B1141" s="591" t="s">
        <v>4189</v>
      </c>
      <c r="C1141" s="598" t="s">
        <v>4339</v>
      </c>
      <c r="D1141" s="737" t="s">
        <v>580</v>
      </c>
      <c r="E1141" s="738" t="s">
        <v>595</v>
      </c>
      <c r="F1141" s="739" t="s">
        <v>579</v>
      </c>
      <c r="G1141" s="776" t="s">
        <v>3378</v>
      </c>
      <c r="H1141" s="599">
        <v>44758</v>
      </c>
      <c r="I1141" s="595">
        <f t="shared" si="97"/>
        <v>2962508.1081081079</v>
      </c>
      <c r="J1141" s="595">
        <f t="shared" si="98"/>
        <v>325875.89189189189</v>
      </c>
      <c r="K1141" s="596">
        <v>3288384</v>
      </c>
      <c r="L1141" s="597" t="s">
        <v>3890</v>
      </c>
    </row>
    <row r="1142" spans="1:12" s="429" customFormat="1" x14ac:dyDescent="0.2">
      <c r="A1142" s="316">
        <v>18</v>
      </c>
      <c r="B1142" s="591" t="s">
        <v>4190</v>
      </c>
      <c r="C1142" s="598" t="s">
        <v>4340</v>
      </c>
      <c r="D1142" s="586" t="s">
        <v>584</v>
      </c>
      <c r="E1142" s="587" t="s">
        <v>582</v>
      </c>
      <c r="F1142" s="588" t="s">
        <v>583</v>
      </c>
      <c r="G1142" s="776" t="s">
        <v>3379</v>
      </c>
      <c r="H1142" s="599">
        <v>44758</v>
      </c>
      <c r="I1142" s="595">
        <f t="shared" si="97"/>
        <v>3396891.8918918916</v>
      </c>
      <c r="J1142" s="595">
        <f t="shared" si="98"/>
        <v>373658.10810810811</v>
      </c>
      <c r="K1142" s="596">
        <v>3770550</v>
      </c>
      <c r="L1142" s="597" t="s">
        <v>3890</v>
      </c>
    </row>
    <row r="1143" spans="1:12" s="429" customFormat="1" x14ac:dyDescent="0.2">
      <c r="A1143" s="316">
        <v>19</v>
      </c>
      <c r="B1143" s="591" t="s">
        <v>4191</v>
      </c>
      <c r="C1143" s="598" t="s">
        <v>4341</v>
      </c>
      <c r="D1143" s="586" t="s">
        <v>584</v>
      </c>
      <c r="E1143" s="587" t="s">
        <v>582</v>
      </c>
      <c r="F1143" s="588" t="s">
        <v>583</v>
      </c>
      <c r="G1143" s="761" t="s">
        <v>3380</v>
      </c>
      <c r="H1143" s="599">
        <v>44760</v>
      </c>
      <c r="I1143" s="595">
        <f t="shared" si="97"/>
        <v>1996540.5405405404</v>
      </c>
      <c r="J1143" s="595">
        <f t="shared" si="98"/>
        <v>219619.45945945944</v>
      </c>
      <c r="K1143" s="596">
        <v>2216160</v>
      </c>
      <c r="L1143" s="597" t="s">
        <v>3888</v>
      </c>
    </row>
    <row r="1144" spans="1:12" s="429" customFormat="1" x14ac:dyDescent="0.2">
      <c r="A1144" s="316">
        <v>20</v>
      </c>
      <c r="B1144" s="591" t="s">
        <v>4192</v>
      </c>
      <c r="C1144" s="598" t="s">
        <v>4342</v>
      </c>
      <c r="D1144" s="586" t="s">
        <v>1427</v>
      </c>
      <c r="E1144" s="587" t="s">
        <v>425</v>
      </c>
      <c r="F1144" s="588" t="s">
        <v>426</v>
      </c>
      <c r="G1144" s="776" t="s">
        <v>3381</v>
      </c>
      <c r="H1144" s="599">
        <v>44760</v>
      </c>
      <c r="I1144" s="595">
        <f t="shared" si="97"/>
        <v>46778603.603603601</v>
      </c>
      <c r="J1144" s="595">
        <f t="shared" si="98"/>
        <v>5145646.3963963958</v>
      </c>
      <c r="K1144" s="596">
        <v>51924250</v>
      </c>
      <c r="L1144" s="597" t="s">
        <v>3888</v>
      </c>
    </row>
    <row r="1145" spans="1:12" s="429" customFormat="1" x14ac:dyDescent="0.2">
      <c r="A1145" s="316">
        <v>21</v>
      </c>
      <c r="B1145" s="591" t="s">
        <v>4193</v>
      </c>
      <c r="C1145" s="598" t="s">
        <v>4343</v>
      </c>
      <c r="D1145" s="586" t="s">
        <v>584</v>
      </c>
      <c r="E1145" s="587" t="s">
        <v>582</v>
      </c>
      <c r="F1145" s="588" t="s">
        <v>583</v>
      </c>
      <c r="G1145" s="776" t="s">
        <v>3382</v>
      </c>
      <c r="H1145" s="594">
        <v>44760</v>
      </c>
      <c r="I1145" s="595">
        <f t="shared" si="97"/>
        <v>2492594.5945945946</v>
      </c>
      <c r="J1145" s="595">
        <f t="shared" si="98"/>
        <v>274185.40540540538</v>
      </c>
      <c r="K1145" s="596">
        <v>2766780</v>
      </c>
      <c r="L1145" s="597" t="s">
        <v>3888</v>
      </c>
    </row>
    <row r="1146" spans="1:12" s="429" customFormat="1" x14ac:dyDescent="0.2">
      <c r="A1146" s="316">
        <v>22</v>
      </c>
      <c r="B1146" s="591" t="s">
        <v>4194</v>
      </c>
      <c r="C1146" s="598" t="s">
        <v>4344</v>
      </c>
      <c r="D1146" s="586" t="s">
        <v>671</v>
      </c>
      <c r="E1146" s="587" t="s">
        <v>672</v>
      </c>
      <c r="F1146" s="588" t="s">
        <v>673</v>
      </c>
      <c r="G1146" s="761" t="s">
        <v>3383</v>
      </c>
      <c r="H1146" s="599">
        <v>44760</v>
      </c>
      <c r="I1146" s="595">
        <f t="shared" si="97"/>
        <v>932432.43243243231</v>
      </c>
      <c r="J1146" s="595">
        <f t="shared" si="98"/>
        <v>102567.56756756756</v>
      </c>
      <c r="K1146" s="596">
        <v>1035000</v>
      </c>
      <c r="L1146" s="597" t="s">
        <v>3888</v>
      </c>
    </row>
    <row r="1147" spans="1:12" s="429" customFormat="1" x14ac:dyDescent="0.2">
      <c r="A1147" s="316">
        <v>23</v>
      </c>
      <c r="B1147" s="591" t="s">
        <v>4195</v>
      </c>
      <c r="C1147" s="598" t="s">
        <v>4345</v>
      </c>
      <c r="D1147" s="737" t="s">
        <v>581</v>
      </c>
      <c r="E1147" s="746" t="s">
        <v>596</v>
      </c>
      <c r="F1147" s="746" t="s">
        <v>579</v>
      </c>
      <c r="G1147" s="776" t="s">
        <v>3384</v>
      </c>
      <c r="H1147" s="599">
        <v>44760</v>
      </c>
      <c r="I1147" s="595">
        <f t="shared" si="97"/>
        <v>10197654.054054054</v>
      </c>
      <c r="J1147" s="595">
        <f t="shared" si="98"/>
        <v>1121741.9459459458</v>
      </c>
      <c r="K1147" s="596">
        <v>11319396</v>
      </c>
      <c r="L1147" s="597" t="s">
        <v>3888</v>
      </c>
    </row>
    <row r="1148" spans="1:12" s="429" customFormat="1" x14ac:dyDescent="0.2">
      <c r="A1148" s="316">
        <v>24</v>
      </c>
      <c r="B1148" s="591" t="s">
        <v>4196</v>
      </c>
      <c r="C1148" s="598" t="s">
        <v>4346</v>
      </c>
      <c r="D1148" s="737" t="s">
        <v>580</v>
      </c>
      <c r="E1148" s="738" t="s">
        <v>595</v>
      </c>
      <c r="F1148" s="739" t="s">
        <v>579</v>
      </c>
      <c r="G1148" s="776" t="s">
        <v>3385</v>
      </c>
      <c r="H1148" s="599">
        <v>44761</v>
      </c>
      <c r="I1148" s="595">
        <f t="shared" si="97"/>
        <v>5423783.7837837832</v>
      </c>
      <c r="J1148" s="595">
        <f t="shared" si="98"/>
        <v>596616.21621621621</v>
      </c>
      <c r="K1148" s="596">
        <v>6020400</v>
      </c>
      <c r="L1148" s="597" t="s">
        <v>3890</v>
      </c>
    </row>
    <row r="1149" spans="1:12" s="429" customFormat="1" x14ac:dyDescent="0.2">
      <c r="A1149" s="316">
        <v>25</v>
      </c>
      <c r="B1149" s="591" t="s">
        <v>4197</v>
      </c>
      <c r="C1149" s="598" t="s">
        <v>4347</v>
      </c>
      <c r="D1149" s="737" t="s">
        <v>581</v>
      </c>
      <c r="E1149" s="746" t="s">
        <v>596</v>
      </c>
      <c r="F1149" s="746" t="s">
        <v>579</v>
      </c>
      <c r="G1149" s="761" t="s">
        <v>3386</v>
      </c>
      <c r="H1149" s="599">
        <v>44762</v>
      </c>
      <c r="I1149" s="595">
        <f t="shared" si="97"/>
        <v>4981102.702702702</v>
      </c>
      <c r="J1149" s="595">
        <f t="shared" si="98"/>
        <v>547921.29729729728</v>
      </c>
      <c r="K1149" s="596">
        <v>5529024</v>
      </c>
      <c r="L1149" s="597" t="s">
        <v>3890</v>
      </c>
    </row>
    <row r="1150" spans="1:12" s="429" customFormat="1" x14ac:dyDescent="0.2">
      <c r="A1150" s="316">
        <v>26</v>
      </c>
      <c r="B1150" s="591" t="s">
        <v>4198</v>
      </c>
      <c r="C1150" s="598" t="s">
        <v>4348</v>
      </c>
      <c r="D1150" s="737" t="s">
        <v>580</v>
      </c>
      <c r="E1150" s="738" t="s">
        <v>595</v>
      </c>
      <c r="F1150" s="739" t="s">
        <v>579</v>
      </c>
      <c r="G1150" s="776" t="s">
        <v>3387</v>
      </c>
      <c r="H1150" s="599">
        <v>44762</v>
      </c>
      <c r="I1150" s="595">
        <f t="shared" si="97"/>
        <v>3441297.297297297</v>
      </c>
      <c r="J1150" s="595">
        <f t="shared" si="98"/>
        <v>378542.70270270266</v>
      </c>
      <c r="K1150" s="596">
        <v>3819840</v>
      </c>
      <c r="L1150" s="597" t="s">
        <v>3890</v>
      </c>
    </row>
    <row r="1151" spans="1:12" x14ac:dyDescent="0.2">
      <c r="A1151" s="316">
        <v>27</v>
      </c>
      <c r="B1151" s="591" t="s">
        <v>4199</v>
      </c>
      <c r="C1151" s="598" t="s">
        <v>4349</v>
      </c>
      <c r="D1151" s="737" t="s">
        <v>580</v>
      </c>
      <c r="E1151" s="738" t="s">
        <v>595</v>
      </c>
      <c r="F1151" s="739" t="s">
        <v>579</v>
      </c>
      <c r="G1151" s="776" t="s">
        <v>3388</v>
      </c>
      <c r="H1151" s="599">
        <v>44763</v>
      </c>
      <c r="I1151" s="595">
        <f t="shared" si="97"/>
        <v>5386378.3783783782</v>
      </c>
      <c r="J1151" s="595">
        <f t="shared" si="98"/>
        <v>592501.62162162166</v>
      </c>
      <c r="K1151" s="596">
        <v>5978880</v>
      </c>
      <c r="L1151" s="597" t="s">
        <v>3890</v>
      </c>
    </row>
    <row r="1152" spans="1:12" x14ac:dyDescent="0.2">
      <c r="A1152" s="316">
        <v>28</v>
      </c>
      <c r="B1152" s="591" t="s">
        <v>4200</v>
      </c>
      <c r="C1152" s="598" t="s">
        <v>4350</v>
      </c>
      <c r="D1152" s="586" t="s">
        <v>741</v>
      </c>
      <c r="E1152" s="587" t="s">
        <v>740</v>
      </c>
      <c r="F1152" s="588" t="s">
        <v>579</v>
      </c>
      <c r="G1152" s="761" t="s">
        <v>3389</v>
      </c>
      <c r="H1152" s="599">
        <v>44763</v>
      </c>
      <c r="I1152" s="595">
        <f t="shared" si="97"/>
        <v>2633513.5135135134</v>
      </c>
      <c r="J1152" s="595">
        <f t="shared" si="98"/>
        <v>289686.48648648645</v>
      </c>
      <c r="K1152" s="596">
        <v>2923200</v>
      </c>
      <c r="L1152" s="597" t="s">
        <v>3890</v>
      </c>
    </row>
    <row r="1153" spans="1:12" x14ac:dyDescent="0.2">
      <c r="A1153" s="316">
        <v>29</v>
      </c>
      <c r="B1153" s="591" t="s">
        <v>4201</v>
      </c>
      <c r="C1153" s="598" t="s">
        <v>4351</v>
      </c>
      <c r="D1153" s="737" t="s">
        <v>581</v>
      </c>
      <c r="E1153" s="746" t="s">
        <v>596</v>
      </c>
      <c r="F1153" s="746" t="s">
        <v>579</v>
      </c>
      <c r="G1153" s="776" t="s">
        <v>3390</v>
      </c>
      <c r="H1153" s="599">
        <v>44763</v>
      </c>
      <c r="I1153" s="595">
        <f t="shared" si="97"/>
        <v>4981102.702702702</v>
      </c>
      <c r="J1153" s="595">
        <f t="shared" si="98"/>
        <v>547921.29729729728</v>
      </c>
      <c r="K1153" s="596">
        <v>5529024</v>
      </c>
      <c r="L1153" s="597" t="s">
        <v>3890</v>
      </c>
    </row>
    <row r="1154" spans="1:12" x14ac:dyDescent="0.2">
      <c r="A1154" s="316">
        <v>30</v>
      </c>
      <c r="B1154" s="591" t="s">
        <v>4202</v>
      </c>
      <c r="C1154" s="598" t="s">
        <v>4352</v>
      </c>
      <c r="D1154" s="737" t="s">
        <v>607</v>
      </c>
      <c r="E1154" s="738" t="s">
        <v>605</v>
      </c>
      <c r="F1154" s="739" t="s">
        <v>606</v>
      </c>
      <c r="G1154" s="776" t="s">
        <v>3391</v>
      </c>
      <c r="H1154" s="599">
        <v>44763</v>
      </c>
      <c r="I1154" s="595">
        <f t="shared" si="97"/>
        <v>3992837.8378378376</v>
      </c>
      <c r="J1154" s="595">
        <f t="shared" si="98"/>
        <v>439212.16216216213</v>
      </c>
      <c r="K1154" s="596">
        <v>4432050</v>
      </c>
      <c r="L1154" s="597" t="s">
        <v>3890</v>
      </c>
    </row>
    <row r="1155" spans="1:12" x14ac:dyDescent="0.2">
      <c r="A1155" s="316">
        <v>31</v>
      </c>
      <c r="B1155" s="591" t="s">
        <v>4203</v>
      </c>
      <c r="C1155" s="598" t="s">
        <v>4353</v>
      </c>
      <c r="D1155" s="586" t="s">
        <v>584</v>
      </c>
      <c r="E1155" s="587" t="s">
        <v>582</v>
      </c>
      <c r="F1155" s="588" t="s">
        <v>583</v>
      </c>
      <c r="G1155" s="761" t="s">
        <v>3392</v>
      </c>
      <c r="H1155" s="599">
        <v>44764</v>
      </c>
      <c r="I1155" s="595">
        <f t="shared" si="97"/>
        <v>1580594.5945945946</v>
      </c>
      <c r="J1155" s="595">
        <f t="shared" si="98"/>
        <v>173865.40540540541</v>
      </c>
      <c r="K1155" s="596">
        <v>1754460</v>
      </c>
      <c r="L1155" s="597" t="s">
        <v>3890</v>
      </c>
    </row>
    <row r="1156" spans="1:12" x14ac:dyDescent="0.2">
      <c r="A1156" s="316">
        <v>32</v>
      </c>
      <c r="B1156" s="591" t="s">
        <v>4204</v>
      </c>
      <c r="C1156" s="598" t="s">
        <v>4392</v>
      </c>
      <c r="D1156" s="737" t="s">
        <v>580</v>
      </c>
      <c r="E1156" s="738" t="s">
        <v>595</v>
      </c>
      <c r="F1156" s="739" t="s">
        <v>579</v>
      </c>
      <c r="G1156" s="776" t="s">
        <v>3393</v>
      </c>
      <c r="H1156" s="599">
        <v>44767</v>
      </c>
      <c r="I1156" s="595">
        <f t="shared" si="97"/>
        <v>1168918.9189189188</v>
      </c>
      <c r="J1156" s="595">
        <f t="shared" si="98"/>
        <v>128581.08108108107</v>
      </c>
      <c r="K1156" s="596">
        <v>1297500</v>
      </c>
      <c r="L1156" s="597" t="s">
        <v>4561</v>
      </c>
    </row>
    <row r="1157" spans="1:12" x14ac:dyDescent="0.2">
      <c r="A1157" s="316">
        <v>33</v>
      </c>
      <c r="B1157" s="591" t="s">
        <v>4205</v>
      </c>
      <c r="C1157" s="598" t="s">
        <v>4393</v>
      </c>
      <c r="D1157" s="737" t="s">
        <v>581</v>
      </c>
      <c r="E1157" s="746" t="s">
        <v>596</v>
      </c>
      <c r="F1157" s="746" t="s">
        <v>579</v>
      </c>
      <c r="G1157" s="776" t="s">
        <v>3394</v>
      </c>
      <c r="H1157" s="599">
        <v>44767</v>
      </c>
      <c r="I1157" s="595">
        <f t="shared" ref="I1157:I1159" si="99">K1157/1.11</f>
        <v>2802810.8108108104</v>
      </c>
      <c r="J1157" s="595">
        <f t="shared" ref="J1157:J1159" si="100">I1157*11%</f>
        <v>308309.18918918917</v>
      </c>
      <c r="K1157" s="596">
        <v>3111120</v>
      </c>
      <c r="L1157" s="597" t="s">
        <v>3890</v>
      </c>
    </row>
    <row r="1158" spans="1:12" x14ac:dyDescent="0.2">
      <c r="A1158" s="316">
        <v>34</v>
      </c>
      <c r="B1158" s="591" t="s">
        <v>4206</v>
      </c>
      <c r="C1158" s="598" t="s">
        <v>4398</v>
      </c>
      <c r="D1158" s="737" t="s">
        <v>580</v>
      </c>
      <c r="E1158" s="738" t="s">
        <v>595</v>
      </c>
      <c r="F1158" s="739" t="s">
        <v>579</v>
      </c>
      <c r="G1158" s="761" t="s">
        <v>3395</v>
      </c>
      <c r="H1158" s="594">
        <v>44769</v>
      </c>
      <c r="I1158" s="595">
        <f t="shared" si="99"/>
        <v>6093340.5405405397</v>
      </c>
      <c r="J1158" s="595">
        <f t="shared" si="100"/>
        <v>670267.45945945941</v>
      </c>
      <c r="K1158" s="596">
        <v>6763608</v>
      </c>
      <c r="L1158" s="600" t="s">
        <v>3890</v>
      </c>
    </row>
    <row r="1159" spans="1:12" x14ac:dyDescent="0.2">
      <c r="A1159" s="316">
        <v>35</v>
      </c>
      <c r="B1159" s="591" t="s">
        <v>4207</v>
      </c>
      <c r="C1159" s="598" t="s">
        <v>4399</v>
      </c>
      <c r="D1159" s="586" t="s">
        <v>1427</v>
      </c>
      <c r="E1159" s="587" t="s">
        <v>425</v>
      </c>
      <c r="F1159" s="588" t="s">
        <v>426</v>
      </c>
      <c r="G1159" s="776" t="s">
        <v>3396</v>
      </c>
      <c r="H1159" s="599">
        <v>44769</v>
      </c>
      <c r="I1159" s="595">
        <f t="shared" si="99"/>
        <v>35586486.48648648</v>
      </c>
      <c r="J1159" s="595">
        <f t="shared" si="100"/>
        <v>3914513.5135135129</v>
      </c>
      <c r="K1159" s="773">
        <v>39501000</v>
      </c>
      <c r="L1159" s="774" t="s">
        <v>3891</v>
      </c>
    </row>
    <row r="1160" spans="1:12" x14ac:dyDescent="0.2">
      <c r="A1160" s="316">
        <v>36</v>
      </c>
      <c r="B1160" s="591" t="s">
        <v>4208</v>
      </c>
      <c r="C1160" s="598" t="s">
        <v>4544</v>
      </c>
      <c r="D1160" s="586" t="s">
        <v>1427</v>
      </c>
      <c r="E1160" s="587" t="s">
        <v>425</v>
      </c>
      <c r="F1160" s="588" t="s">
        <v>426</v>
      </c>
      <c r="G1160" s="776" t="s">
        <v>3397</v>
      </c>
      <c r="H1160" s="599">
        <v>44771</v>
      </c>
      <c r="I1160" s="595">
        <f t="shared" si="97"/>
        <v>5408918.9189189188</v>
      </c>
      <c r="J1160" s="595">
        <f t="shared" si="98"/>
        <v>594981.08108108107</v>
      </c>
      <c r="K1160" s="596">
        <v>6003900</v>
      </c>
      <c r="L1160" s="597" t="s">
        <v>3890</v>
      </c>
    </row>
    <row r="1161" spans="1:12" x14ac:dyDescent="0.2">
      <c r="A1161" s="316">
        <v>37</v>
      </c>
      <c r="B1161" s="591" t="s">
        <v>4209</v>
      </c>
      <c r="C1161" s="598" t="s">
        <v>4549</v>
      </c>
      <c r="D1161" s="586" t="s">
        <v>584</v>
      </c>
      <c r="E1161" s="587" t="s">
        <v>582</v>
      </c>
      <c r="F1161" s="588" t="s">
        <v>583</v>
      </c>
      <c r="G1161" s="761" t="s">
        <v>3398</v>
      </c>
      <c r="H1161" s="599">
        <v>44771</v>
      </c>
      <c r="I1161" s="595">
        <f t="shared" si="97"/>
        <v>1319935.1351351349</v>
      </c>
      <c r="J1161" s="595">
        <f t="shared" si="98"/>
        <v>145192.86486486485</v>
      </c>
      <c r="K1161" s="596">
        <v>1465128</v>
      </c>
      <c r="L1161" s="597" t="s">
        <v>3890</v>
      </c>
    </row>
    <row r="1162" spans="1:12" x14ac:dyDescent="0.2">
      <c r="A1162" s="316">
        <v>38</v>
      </c>
      <c r="B1162" s="591" t="s">
        <v>4210</v>
      </c>
      <c r="C1162" s="598" t="s">
        <v>4550</v>
      </c>
      <c r="D1162" s="586" t="s">
        <v>1427</v>
      </c>
      <c r="E1162" s="587" t="s">
        <v>425</v>
      </c>
      <c r="F1162" s="588" t="s">
        <v>426</v>
      </c>
      <c r="G1162" s="776" t="s">
        <v>3397</v>
      </c>
      <c r="H1162" s="599">
        <v>44771</v>
      </c>
      <c r="I1162" s="595">
        <f t="shared" si="97"/>
        <v>2355405.405405405</v>
      </c>
      <c r="J1162" s="595">
        <f t="shared" si="98"/>
        <v>259094.59459459456</v>
      </c>
      <c r="K1162" s="596">
        <v>2614500</v>
      </c>
      <c r="L1162" s="597" t="s">
        <v>3890</v>
      </c>
    </row>
    <row r="1163" spans="1:12" x14ac:dyDescent="0.2">
      <c r="A1163" s="316">
        <v>39</v>
      </c>
      <c r="B1163" s="591" t="s">
        <v>4211</v>
      </c>
      <c r="C1163" s="598" t="s">
        <v>4551</v>
      </c>
      <c r="D1163" s="737" t="s">
        <v>580</v>
      </c>
      <c r="E1163" s="738" t="s">
        <v>595</v>
      </c>
      <c r="F1163" s="739" t="s">
        <v>579</v>
      </c>
      <c r="G1163" s="776" t="s">
        <v>3399</v>
      </c>
      <c r="H1163" s="599">
        <v>44771</v>
      </c>
      <c r="I1163" s="595">
        <f t="shared" si="97"/>
        <v>3770464.8648648644</v>
      </c>
      <c r="J1163" s="595">
        <f t="shared" si="98"/>
        <v>414751.13513513509</v>
      </c>
      <c r="K1163" s="596">
        <v>4185216</v>
      </c>
      <c r="L1163" s="597" t="s">
        <v>3890</v>
      </c>
    </row>
    <row r="1164" spans="1:12" x14ac:dyDescent="0.2">
      <c r="A1164" s="316">
        <v>40</v>
      </c>
      <c r="B1164" s="591" t="s">
        <v>4212</v>
      </c>
      <c r="C1164" s="598" t="s">
        <v>4562</v>
      </c>
      <c r="D1164" s="586"/>
      <c r="E1164" s="587" t="s">
        <v>969</v>
      </c>
      <c r="F1164" s="588" t="s">
        <v>966</v>
      </c>
      <c r="G1164" s="761"/>
      <c r="H1164" s="599">
        <v>44746</v>
      </c>
      <c r="I1164" s="595">
        <f t="shared" si="97"/>
        <v>22505270.270270269</v>
      </c>
      <c r="J1164" s="595">
        <f t="shared" si="98"/>
        <v>2475579.7297297297</v>
      </c>
      <c r="K1164" s="596">
        <f>6448050+4536000+13996800</f>
        <v>24980850</v>
      </c>
      <c r="L1164" s="597"/>
    </row>
    <row r="1165" spans="1:12" x14ac:dyDescent="0.2">
      <c r="A1165" s="316">
        <v>41</v>
      </c>
      <c r="B1165" s="591" t="s">
        <v>4213</v>
      </c>
      <c r="C1165" s="598" t="s">
        <v>4593</v>
      </c>
      <c r="D1165" s="586"/>
      <c r="E1165" s="587" t="s">
        <v>1755</v>
      </c>
      <c r="F1165" s="588" t="s">
        <v>1104</v>
      </c>
      <c r="G1165" s="776"/>
      <c r="H1165" s="599">
        <v>44746</v>
      </c>
      <c r="I1165" s="595">
        <f t="shared" si="97"/>
        <v>13402162.162162161</v>
      </c>
      <c r="J1165" s="595">
        <f t="shared" si="98"/>
        <v>1474237.8378378376</v>
      </c>
      <c r="K1165" s="596">
        <f>9525600+5350800</f>
        <v>14876400</v>
      </c>
      <c r="L1165" s="597"/>
    </row>
    <row r="1166" spans="1:12" x14ac:dyDescent="0.2">
      <c r="A1166" s="316">
        <v>42</v>
      </c>
      <c r="B1166" s="591" t="s">
        <v>4214</v>
      </c>
      <c r="C1166" s="598" t="s">
        <v>4705</v>
      </c>
      <c r="D1166" s="586"/>
      <c r="E1166" s="593" t="s">
        <v>976</v>
      </c>
      <c r="F1166" s="593" t="s">
        <v>977</v>
      </c>
      <c r="G1166" s="776"/>
      <c r="H1166" s="599">
        <v>44746</v>
      </c>
      <c r="I1166" s="595">
        <f t="shared" si="97"/>
        <v>11717189.189189188</v>
      </c>
      <c r="J1166" s="595">
        <f t="shared" si="98"/>
        <v>1288890.8108108107</v>
      </c>
      <c r="K1166" s="596">
        <f>3421440+3421440+6163200</f>
        <v>13006080</v>
      </c>
      <c r="L1166" s="597"/>
    </row>
    <row r="1167" spans="1:12" x14ac:dyDescent="0.2">
      <c r="A1167" s="316">
        <v>43</v>
      </c>
      <c r="B1167" s="591" t="s">
        <v>4215</v>
      </c>
      <c r="C1167" s="598" t="s">
        <v>4571</v>
      </c>
      <c r="D1167" s="586"/>
      <c r="E1167" s="593" t="s">
        <v>978</v>
      </c>
      <c r="F1167" s="593" t="s">
        <v>590</v>
      </c>
      <c r="G1167" s="761"/>
      <c r="H1167" s="594">
        <v>44746</v>
      </c>
      <c r="I1167" s="595">
        <f t="shared" si="97"/>
        <v>17009254.054054052</v>
      </c>
      <c r="J1167" s="595">
        <f t="shared" si="98"/>
        <v>1871017.9459459458</v>
      </c>
      <c r="K1167" s="596">
        <f>13016448+959760+4904064</f>
        <v>18880272</v>
      </c>
      <c r="L1167" s="597"/>
    </row>
    <row r="1168" spans="1:12" x14ac:dyDescent="0.2">
      <c r="A1168" s="316">
        <v>44</v>
      </c>
      <c r="B1168" s="591" t="s">
        <v>4216</v>
      </c>
      <c r="C1168" s="598" t="s">
        <v>4576</v>
      </c>
      <c r="D1168" s="586"/>
      <c r="E1168" s="587" t="s">
        <v>992</v>
      </c>
      <c r="F1168" s="588" t="s">
        <v>673</v>
      </c>
      <c r="G1168" s="776"/>
      <c r="H1168" s="599">
        <v>44746</v>
      </c>
      <c r="I1168" s="595">
        <f t="shared" si="97"/>
        <v>33450090.090090089</v>
      </c>
      <c r="J1168" s="595">
        <f t="shared" si="98"/>
        <v>3679509.9099099096</v>
      </c>
      <c r="K1168" s="596">
        <f>9865800+6625000+20638800</f>
        <v>37129600</v>
      </c>
      <c r="L1168" s="597"/>
    </row>
    <row r="1169" spans="1:12" x14ac:dyDescent="0.2">
      <c r="A1169" s="316">
        <v>45</v>
      </c>
      <c r="B1169" s="591" t="s">
        <v>4217</v>
      </c>
      <c r="C1169" s="598" t="s">
        <v>4600</v>
      </c>
      <c r="D1169" s="586"/>
      <c r="E1169" s="587" t="s">
        <v>992</v>
      </c>
      <c r="F1169" s="588" t="s">
        <v>993</v>
      </c>
      <c r="G1169" s="776"/>
      <c r="H1169" s="599">
        <v>44746</v>
      </c>
      <c r="I1169" s="595">
        <f t="shared" si="97"/>
        <v>8872063.0630630627</v>
      </c>
      <c r="J1169" s="595">
        <f t="shared" si="98"/>
        <v>975926.93693693692</v>
      </c>
      <c r="K1169" s="596">
        <f>6625000+705840+2517150</f>
        <v>9847990</v>
      </c>
      <c r="L1169" s="597"/>
    </row>
    <row r="1170" spans="1:12" x14ac:dyDescent="0.2">
      <c r="A1170" s="316">
        <v>46</v>
      </c>
      <c r="B1170" s="591" t="s">
        <v>4218</v>
      </c>
      <c r="C1170" s="598" t="s">
        <v>4563</v>
      </c>
      <c r="D1170" s="586"/>
      <c r="E1170" s="587" t="s">
        <v>1797</v>
      </c>
      <c r="F1170" s="588" t="s">
        <v>1798</v>
      </c>
      <c r="G1170" s="761"/>
      <c r="H1170" s="599">
        <v>44746</v>
      </c>
      <c r="I1170" s="595">
        <f t="shared" si="97"/>
        <v>2522522.5225225221</v>
      </c>
      <c r="J1170" s="595">
        <f t="shared" si="98"/>
        <v>277477.47747747746</v>
      </c>
      <c r="K1170" s="596">
        <v>2800000</v>
      </c>
      <c r="L1170" s="597"/>
    </row>
    <row r="1171" spans="1:12" x14ac:dyDescent="0.2">
      <c r="A1171" s="316">
        <v>47</v>
      </c>
      <c r="B1171" s="591" t="s">
        <v>4219</v>
      </c>
      <c r="C1171" s="598" t="s">
        <v>4609</v>
      </c>
      <c r="D1171" s="586"/>
      <c r="E1171" s="587" t="s">
        <v>985</v>
      </c>
      <c r="F1171" s="588" t="s">
        <v>426</v>
      </c>
      <c r="G1171" s="776"/>
      <c r="H1171" s="599">
        <v>44746</v>
      </c>
      <c r="I1171" s="595">
        <f t="shared" si="97"/>
        <v>17776216.216216214</v>
      </c>
      <c r="J1171" s="595">
        <f t="shared" si="98"/>
        <v>1955383.7837837834</v>
      </c>
      <c r="K1171" s="596">
        <f>4687200+10735200+4309200</f>
        <v>19731600</v>
      </c>
      <c r="L1171" s="597"/>
    </row>
    <row r="1172" spans="1:12" x14ac:dyDescent="0.2">
      <c r="A1172" s="316">
        <v>48</v>
      </c>
      <c r="B1172" s="591" t="s">
        <v>4220</v>
      </c>
      <c r="C1172" s="598" t="s">
        <v>4628</v>
      </c>
      <c r="D1172" s="586"/>
      <c r="E1172" s="587" t="s">
        <v>1006</v>
      </c>
      <c r="F1172" s="588" t="s">
        <v>984</v>
      </c>
      <c r="G1172" s="776"/>
      <c r="H1172" s="599">
        <v>44746</v>
      </c>
      <c r="I1172" s="595">
        <f t="shared" si="97"/>
        <v>6683644.1441441439</v>
      </c>
      <c r="J1172" s="595">
        <f t="shared" si="98"/>
        <v>735200.85585585586</v>
      </c>
      <c r="K1172" s="596">
        <f>4057200+2728600+633045</f>
        <v>7418845</v>
      </c>
      <c r="L1172" s="597"/>
    </row>
    <row r="1173" spans="1:12" x14ac:dyDescent="0.2">
      <c r="A1173" s="316">
        <v>49</v>
      </c>
      <c r="B1173" s="591" t="s">
        <v>4221</v>
      </c>
      <c r="C1173" s="598" t="s">
        <v>4729</v>
      </c>
      <c r="D1173" s="586"/>
      <c r="E1173" s="587" t="s">
        <v>1040</v>
      </c>
      <c r="F1173" s="588" t="s">
        <v>1019</v>
      </c>
      <c r="G1173" s="761"/>
      <c r="H1173" s="599">
        <v>44746</v>
      </c>
      <c r="I1173" s="595">
        <f t="shared" si="97"/>
        <v>8146486.4864864862</v>
      </c>
      <c r="J1173" s="595">
        <f t="shared" si="98"/>
        <v>896113.51351351349</v>
      </c>
      <c r="K1173" s="596">
        <f>2772000+3213000+3057600</f>
        <v>9042600</v>
      </c>
      <c r="L1173" s="597"/>
    </row>
    <row r="1174" spans="1:12" x14ac:dyDescent="0.2">
      <c r="A1174" s="316">
        <v>50</v>
      </c>
      <c r="B1174" s="591" t="s">
        <v>4222</v>
      </c>
      <c r="C1174" s="598" t="s">
        <v>4564</v>
      </c>
      <c r="D1174" s="586"/>
      <c r="E1174" s="587" t="s">
        <v>1712</v>
      </c>
      <c r="F1174" s="588" t="s">
        <v>1094</v>
      </c>
      <c r="G1174" s="776"/>
      <c r="H1174" s="599">
        <v>44746</v>
      </c>
      <c r="I1174" s="595">
        <f t="shared" si="97"/>
        <v>4864864.8648648644</v>
      </c>
      <c r="J1174" s="595">
        <f t="shared" si="98"/>
        <v>535135.13513513503</v>
      </c>
      <c r="K1174" s="596">
        <v>5400000</v>
      </c>
      <c r="L1174" s="597"/>
    </row>
    <row r="1175" spans="1:12" x14ac:dyDescent="0.2">
      <c r="A1175" s="316">
        <v>51</v>
      </c>
      <c r="B1175" s="591" t="s">
        <v>4223</v>
      </c>
      <c r="C1175" s="598" t="s">
        <v>4565</v>
      </c>
      <c r="D1175" s="586"/>
      <c r="E1175" s="587" t="s">
        <v>1752</v>
      </c>
      <c r="F1175" s="588" t="s">
        <v>673</v>
      </c>
      <c r="G1175" s="776"/>
      <c r="H1175" s="599">
        <v>44746</v>
      </c>
      <c r="I1175" s="595">
        <f t="shared" si="97"/>
        <v>2522522.5225225221</v>
      </c>
      <c r="J1175" s="595">
        <f t="shared" si="98"/>
        <v>277477.47747747746</v>
      </c>
      <c r="K1175" s="596">
        <v>2800000</v>
      </c>
      <c r="L1175" s="597"/>
    </row>
    <row r="1176" spans="1:12" x14ac:dyDescent="0.2">
      <c r="A1176" s="316">
        <v>52</v>
      </c>
      <c r="B1176" s="591" t="s">
        <v>4224</v>
      </c>
      <c r="C1176" s="598" t="s">
        <v>4812</v>
      </c>
      <c r="D1176" s="586"/>
      <c r="E1176" s="587" t="s">
        <v>1225</v>
      </c>
      <c r="F1176" s="588" t="s">
        <v>1206</v>
      </c>
      <c r="G1176" s="761"/>
      <c r="H1176" s="599">
        <v>44746</v>
      </c>
      <c r="I1176" s="595">
        <f t="shared" si="97"/>
        <v>2783540.5405405401</v>
      </c>
      <c r="J1176" s="595">
        <f t="shared" si="98"/>
        <v>306189.45945945941</v>
      </c>
      <c r="K1176" s="596">
        <f>2955210+134520</f>
        <v>3089730</v>
      </c>
      <c r="L1176" s="597"/>
    </row>
    <row r="1177" spans="1:12" x14ac:dyDescent="0.2">
      <c r="A1177" s="316">
        <v>53</v>
      </c>
      <c r="B1177" s="591" t="s">
        <v>4225</v>
      </c>
      <c r="C1177" s="598" t="s">
        <v>4573</v>
      </c>
      <c r="D1177" s="586"/>
      <c r="E1177" s="587" t="s">
        <v>1023</v>
      </c>
      <c r="F1177" s="588" t="s">
        <v>1025</v>
      </c>
      <c r="G1177" s="776"/>
      <c r="H1177" s="599">
        <v>44746</v>
      </c>
      <c r="I1177" s="595">
        <f t="shared" si="97"/>
        <v>10916756.756756756</v>
      </c>
      <c r="J1177" s="595">
        <f t="shared" si="98"/>
        <v>1200843.2432432433</v>
      </c>
      <c r="K1177" s="596">
        <f>4104000+8013600</f>
        <v>12117600</v>
      </c>
      <c r="L1177" s="597"/>
    </row>
    <row r="1178" spans="1:12" x14ac:dyDescent="0.2">
      <c r="A1178" s="316">
        <v>54</v>
      </c>
      <c r="B1178" s="591" t="s">
        <v>4226</v>
      </c>
      <c r="C1178" s="598" t="s">
        <v>4601</v>
      </c>
      <c r="D1178" s="586"/>
      <c r="E1178" s="593" t="s">
        <v>1296</v>
      </c>
      <c r="F1178" s="593" t="s">
        <v>1033</v>
      </c>
      <c r="G1178" s="776"/>
      <c r="H1178" s="594">
        <v>44747</v>
      </c>
      <c r="I1178" s="595">
        <f t="shared" si="97"/>
        <v>401621.6216216216</v>
      </c>
      <c r="J1178" s="595">
        <f t="shared" si="98"/>
        <v>44178.378378378373</v>
      </c>
      <c r="K1178" s="596">
        <f>220800+225000</f>
        <v>445800</v>
      </c>
      <c r="L1178" s="597"/>
    </row>
    <row r="1179" spans="1:12" x14ac:dyDescent="0.2">
      <c r="A1179" s="316">
        <v>55</v>
      </c>
      <c r="B1179" s="591" t="s">
        <v>4227</v>
      </c>
      <c r="C1179" s="598" t="s">
        <v>4711</v>
      </c>
      <c r="D1179" s="586"/>
      <c r="E1179" s="587" t="s">
        <v>1021</v>
      </c>
      <c r="F1179" s="588" t="s">
        <v>1022</v>
      </c>
      <c r="G1179" s="761"/>
      <c r="H1179" s="599">
        <v>44749</v>
      </c>
      <c r="I1179" s="595">
        <f t="shared" si="97"/>
        <v>7418513.5135135129</v>
      </c>
      <c r="J1179" s="595">
        <f t="shared" si="98"/>
        <v>816036.48648648639</v>
      </c>
      <c r="K1179" s="596">
        <f>2360160+3437910+2436480</f>
        <v>8234550</v>
      </c>
      <c r="L1179" s="597"/>
    </row>
    <row r="1180" spans="1:12" x14ac:dyDescent="0.2">
      <c r="A1180" s="316">
        <v>56</v>
      </c>
      <c r="B1180" s="591" t="s">
        <v>4228</v>
      </c>
      <c r="C1180" s="598" t="s">
        <v>4566</v>
      </c>
      <c r="D1180" s="586"/>
      <c r="E1180" s="587" t="s">
        <v>2712</v>
      </c>
      <c r="F1180" s="588" t="s">
        <v>602</v>
      </c>
      <c r="G1180" s="776"/>
      <c r="H1180" s="599">
        <v>44747</v>
      </c>
      <c r="I1180" s="595">
        <f t="shared" si="97"/>
        <v>49459.459459459453</v>
      </c>
      <c r="J1180" s="595">
        <f t="shared" si="98"/>
        <v>5440.54054054054</v>
      </c>
      <c r="K1180" s="596">
        <v>54900</v>
      </c>
      <c r="L1180" s="597"/>
    </row>
    <row r="1181" spans="1:12" x14ac:dyDescent="0.2">
      <c r="A1181" s="316">
        <v>57</v>
      </c>
      <c r="B1181" s="591" t="s">
        <v>4229</v>
      </c>
      <c r="C1181" s="598" t="s">
        <v>4570</v>
      </c>
      <c r="D1181" s="586"/>
      <c r="E1181" s="601" t="s">
        <v>1054</v>
      </c>
      <c r="F1181" s="588" t="s">
        <v>1055</v>
      </c>
      <c r="G1181" s="776"/>
      <c r="H1181" s="599">
        <v>44748</v>
      </c>
      <c r="I1181" s="595">
        <f t="shared" si="97"/>
        <v>11937891.891891891</v>
      </c>
      <c r="J1181" s="595">
        <f t="shared" si="98"/>
        <v>1313168.1081081079</v>
      </c>
      <c r="K1181" s="596">
        <f>4687200+5275260+3288600</f>
        <v>13251060</v>
      </c>
      <c r="L1181" s="597"/>
    </row>
    <row r="1182" spans="1:12" x14ac:dyDescent="0.2">
      <c r="A1182" s="316">
        <v>58</v>
      </c>
      <c r="B1182" s="591" t="s">
        <v>4230</v>
      </c>
      <c r="C1182" s="598" t="s">
        <v>4567</v>
      </c>
      <c r="D1182" s="586"/>
      <c r="E1182" s="587" t="s">
        <v>1691</v>
      </c>
      <c r="F1182" s="588" t="s">
        <v>984</v>
      </c>
      <c r="G1182" s="761"/>
      <c r="H1182" s="599">
        <v>44748</v>
      </c>
      <c r="I1182" s="595">
        <f t="shared" si="97"/>
        <v>1562594.5945945946</v>
      </c>
      <c r="J1182" s="595">
        <f t="shared" si="98"/>
        <v>171885.40540540541</v>
      </c>
      <c r="K1182" s="596">
        <v>1734480</v>
      </c>
      <c r="L1182" s="597"/>
    </row>
    <row r="1183" spans="1:12" x14ac:dyDescent="0.2">
      <c r="A1183" s="316">
        <v>59</v>
      </c>
      <c r="B1183" s="591" t="s">
        <v>4231</v>
      </c>
      <c r="C1183" s="598" t="s">
        <v>4588</v>
      </c>
      <c r="D1183" s="586"/>
      <c r="E1183" s="587" t="s">
        <v>1009</v>
      </c>
      <c r="F1183" s="588" t="s">
        <v>1008</v>
      </c>
      <c r="G1183" s="776"/>
      <c r="H1183" s="599">
        <v>44748</v>
      </c>
      <c r="I1183" s="595">
        <f t="shared" si="97"/>
        <v>22269041.441441439</v>
      </c>
      <c r="J1183" s="595">
        <f t="shared" si="98"/>
        <v>2449594.5585585581</v>
      </c>
      <c r="K1183" s="596">
        <f>822160+7049076+16847400</f>
        <v>24718636</v>
      </c>
      <c r="L1183" s="597"/>
    </row>
    <row r="1184" spans="1:12" x14ac:dyDescent="0.2">
      <c r="A1184" s="316">
        <v>60</v>
      </c>
      <c r="B1184" s="591" t="s">
        <v>4232</v>
      </c>
      <c r="C1184" s="598" t="s">
        <v>4568</v>
      </c>
      <c r="D1184" s="586"/>
      <c r="E1184" s="587" t="s">
        <v>4569</v>
      </c>
      <c r="F1184" s="588" t="s">
        <v>620</v>
      </c>
      <c r="G1184" s="776"/>
      <c r="H1184" s="599">
        <v>44747</v>
      </c>
      <c r="I1184" s="595">
        <f t="shared" si="97"/>
        <v>2576486.4864864862</v>
      </c>
      <c r="J1184" s="595">
        <f t="shared" si="98"/>
        <v>283413.51351351349</v>
      </c>
      <c r="K1184" s="596">
        <v>2859900</v>
      </c>
      <c r="L1184" s="597"/>
    </row>
    <row r="1185" spans="1:12" s="742" customFormat="1" x14ac:dyDescent="0.2">
      <c r="A1185" s="735">
        <v>61</v>
      </c>
      <c r="B1185" s="736" t="s">
        <v>4233</v>
      </c>
      <c r="C1185" s="598" t="s">
        <v>4701</v>
      </c>
      <c r="D1185" s="737"/>
      <c r="E1185" s="738" t="s">
        <v>1220</v>
      </c>
      <c r="F1185" s="739" t="s">
        <v>1221</v>
      </c>
      <c r="G1185" s="777"/>
      <c r="H1185" s="741">
        <v>44750</v>
      </c>
      <c r="I1185" s="595">
        <f t="shared" si="97"/>
        <v>9787783.7837837823</v>
      </c>
      <c r="J1185" s="595">
        <f t="shared" si="98"/>
        <v>1076656.2162162161</v>
      </c>
      <c r="K1185" s="596">
        <f>2700000+4665240+3499200</f>
        <v>10864440</v>
      </c>
      <c r="L1185" s="597"/>
    </row>
    <row r="1186" spans="1:12" x14ac:dyDescent="0.2">
      <c r="A1186" s="316">
        <v>62</v>
      </c>
      <c r="B1186" s="591" t="s">
        <v>4234</v>
      </c>
      <c r="C1186" s="598" t="s">
        <v>4832</v>
      </c>
      <c r="D1186" s="586"/>
      <c r="E1186" s="587" t="s">
        <v>978</v>
      </c>
      <c r="F1186" s="588" t="s">
        <v>996</v>
      </c>
      <c r="G1186" s="776"/>
      <c r="H1186" s="599">
        <v>44748</v>
      </c>
      <c r="I1186" s="595">
        <f t="shared" si="97"/>
        <v>8562162.1621621605</v>
      </c>
      <c r="J1186" s="595">
        <f t="shared" si="98"/>
        <v>941837.83783783764</v>
      </c>
      <c r="K1186" s="596">
        <f>4320000+5184000</f>
        <v>9504000</v>
      </c>
      <c r="L1186" s="597"/>
    </row>
    <row r="1187" spans="1:12" x14ac:dyDescent="0.2">
      <c r="A1187" s="316">
        <v>63</v>
      </c>
      <c r="B1187" s="591" t="s">
        <v>4235</v>
      </c>
      <c r="C1187" s="598" t="s">
        <v>4739</v>
      </c>
      <c r="D1187" s="586"/>
      <c r="E1187" s="587" t="s">
        <v>1744</v>
      </c>
      <c r="F1187" s="588" t="s">
        <v>1745</v>
      </c>
      <c r="G1187" s="776"/>
      <c r="H1187" s="599">
        <v>44749</v>
      </c>
      <c r="I1187" s="595">
        <f t="shared" si="97"/>
        <v>10933486.486486485</v>
      </c>
      <c r="J1187" s="595">
        <f t="shared" si="98"/>
        <v>1202683.5135135134</v>
      </c>
      <c r="K1187" s="596">
        <f>3382560+4302660+4450950</f>
        <v>12136170</v>
      </c>
      <c r="L1187" s="597"/>
    </row>
    <row r="1188" spans="1:12" x14ac:dyDescent="0.2">
      <c r="A1188" s="316">
        <v>64</v>
      </c>
      <c r="B1188" s="591" t="s">
        <v>4236</v>
      </c>
      <c r="C1188" s="598" t="s">
        <v>4801</v>
      </c>
      <c r="D1188" s="586"/>
      <c r="E1188" s="587" t="s">
        <v>1014</v>
      </c>
      <c r="F1188" s="588" t="s">
        <v>1015</v>
      </c>
      <c r="G1188" s="761"/>
      <c r="H1188" s="599">
        <v>44749</v>
      </c>
      <c r="I1188" s="595">
        <f t="shared" si="97"/>
        <v>5884540.5405405397</v>
      </c>
      <c r="J1188" s="595">
        <f t="shared" si="98"/>
        <v>647299.45945945941</v>
      </c>
      <c r="K1188" s="596">
        <f>3032640+3499200</f>
        <v>6531840</v>
      </c>
      <c r="L1188" s="597"/>
    </row>
    <row r="1189" spans="1:12" x14ac:dyDescent="0.2">
      <c r="A1189" s="316">
        <v>65</v>
      </c>
      <c r="B1189" s="591" t="s">
        <v>4237</v>
      </c>
      <c r="C1189" s="598" t="s">
        <v>4634</v>
      </c>
      <c r="D1189" s="586"/>
      <c r="E1189" s="587" t="s">
        <v>1082</v>
      </c>
      <c r="F1189" s="588" t="s">
        <v>1058</v>
      </c>
      <c r="G1189" s="776"/>
      <c r="H1189" s="599">
        <v>44749</v>
      </c>
      <c r="I1189" s="595">
        <f t="shared" si="97"/>
        <v>7058648.6486486476</v>
      </c>
      <c r="J1189" s="595">
        <f t="shared" si="98"/>
        <v>776451.35135135124</v>
      </c>
      <c r="K1189" s="596">
        <f>3288600+1291500+3255000</f>
        <v>7835100</v>
      </c>
      <c r="L1189" s="597"/>
    </row>
    <row r="1190" spans="1:12" x14ac:dyDescent="0.2">
      <c r="A1190" s="316">
        <v>66</v>
      </c>
      <c r="B1190" s="591" t="s">
        <v>4238</v>
      </c>
      <c r="C1190" s="598" t="s">
        <v>4712</v>
      </c>
      <c r="D1190" s="586"/>
      <c r="E1190" s="587" t="s">
        <v>1068</v>
      </c>
      <c r="F1190" s="588" t="s">
        <v>1058</v>
      </c>
      <c r="G1190" s="776"/>
      <c r="H1190" s="599">
        <v>44749</v>
      </c>
      <c r="I1190" s="595">
        <f t="shared" ref="I1190:I1303" si="101">K1190/1.11</f>
        <v>11339999.999999998</v>
      </c>
      <c r="J1190" s="595">
        <f t="shared" ref="J1190:J1303" si="102">I1190*11%</f>
        <v>1247399.9999999998</v>
      </c>
      <c r="K1190" s="596">
        <f>3288600+6577200+2721600</f>
        <v>12587400</v>
      </c>
      <c r="L1190" s="597"/>
    </row>
    <row r="1191" spans="1:12" x14ac:dyDescent="0.2">
      <c r="A1191" s="316">
        <v>67</v>
      </c>
      <c r="B1191" s="591" t="s">
        <v>4239</v>
      </c>
      <c r="C1191" s="598" t="s">
        <v>4618</v>
      </c>
      <c r="D1191" s="586"/>
      <c r="E1191" s="587" t="s">
        <v>981</v>
      </c>
      <c r="F1191" s="588" t="s">
        <v>980</v>
      </c>
      <c r="G1191" s="761"/>
      <c r="H1191" s="599">
        <v>44749</v>
      </c>
      <c r="I1191" s="595">
        <f t="shared" si="101"/>
        <v>16701664.864864863</v>
      </c>
      <c r="J1191" s="595">
        <f t="shared" si="102"/>
        <v>1837183.1351351349</v>
      </c>
      <c r="K1191" s="596">
        <f>4606848+10699776+3232224</f>
        <v>18538848</v>
      </c>
      <c r="L1191" s="597"/>
    </row>
    <row r="1192" spans="1:12" x14ac:dyDescent="0.2">
      <c r="A1192" s="316">
        <v>68</v>
      </c>
      <c r="B1192" s="591" t="s">
        <v>4240</v>
      </c>
      <c r="C1192" s="598" t="s">
        <v>4752</v>
      </c>
      <c r="D1192" s="586"/>
      <c r="E1192" s="587" t="s">
        <v>1120</v>
      </c>
      <c r="F1192" s="588" t="s">
        <v>1099</v>
      </c>
      <c r="G1192" s="776"/>
      <c r="H1192" s="599">
        <v>44750</v>
      </c>
      <c r="I1192" s="595">
        <f t="shared" si="101"/>
        <v>3907432.4324324322</v>
      </c>
      <c r="J1192" s="595">
        <f t="shared" si="102"/>
        <v>429817.56756756752</v>
      </c>
      <c r="K1192" s="596">
        <f>793800+3543450</f>
        <v>4337250</v>
      </c>
      <c r="L1192" s="597"/>
    </row>
    <row r="1193" spans="1:12" x14ac:dyDescent="0.2">
      <c r="A1193" s="316">
        <v>69</v>
      </c>
      <c r="B1193" s="591" t="s">
        <v>4241</v>
      </c>
      <c r="C1193" s="598" t="s">
        <v>4623</v>
      </c>
      <c r="D1193" s="586"/>
      <c r="E1193" s="587" t="s">
        <v>969</v>
      </c>
      <c r="F1193" s="588" t="s">
        <v>966</v>
      </c>
      <c r="G1193" s="776"/>
      <c r="H1193" s="599">
        <v>44749</v>
      </c>
      <c r="I1193" s="595">
        <f t="shared" si="101"/>
        <v>13122162.162162161</v>
      </c>
      <c r="J1193" s="595">
        <f t="shared" si="102"/>
        <v>1443437.8378378376</v>
      </c>
      <c r="K1193" s="596">
        <f>5544000+5094600+3927000</f>
        <v>14565600</v>
      </c>
      <c r="L1193" s="597"/>
    </row>
    <row r="1194" spans="1:12" x14ac:dyDescent="0.2">
      <c r="A1194" s="316">
        <v>70</v>
      </c>
      <c r="B1194" s="591" t="s">
        <v>4242</v>
      </c>
      <c r="C1194" s="598" t="s">
        <v>4633</v>
      </c>
      <c r="D1194" s="586"/>
      <c r="E1194" s="587" t="s">
        <v>972</v>
      </c>
      <c r="F1194" s="588" t="s">
        <v>966</v>
      </c>
      <c r="G1194" s="761"/>
      <c r="H1194" s="599">
        <v>44749</v>
      </c>
      <c r="I1194" s="595">
        <f t="shared" si="101"/>
        <v>8004909.9099099096</v>
      </c>
      <c r="J1194" s="595">
        <f t="shared" si="102"/>
        <v>880540.09009009006</v>
      </c>
      <c r="K1194" s="596">
        <f>1310400+3853500+3721550</f>
        <v>8885450</v>
      </c>
      <c r="L1194" s="597"/>
    </row>
    <row r="1195" spans="1:12" x14ac:dyDescent="0.2">
      <c r="A1195" s="316">
        <v>71</v>
      </c>
      <c r="B1195" s="591" t="s">
        <v>4243</v>
      </c>
      <c r="C1195" s="598" t="s">
        <v>4572</v>
      </c>
      <c r="D1195" s="586"/>
      <c r="E1195" s="587" t="s">
        <v>3022</v>
      </c>
      <c r="F1195" s="588" t="s">
        <v>1019</v>
      </c>
      <c r="G1195" s="776"/>
      <c r="H1195" s="599">
        <v>44750</v>
      </c>
      <c r="I1195" s="595">
        <f t="shared" si="101"/>
        <v>2594594.5945945946</v>
      </c>
      <c r="J1195" s="595">
        <f t="shared" si="102"/>
        <v>285405.40540540538</v>
      </c>
      <c r="K1195" s="596">
        <v>2880000</v>
      </c>
      <c r="L1195" s="597"/>
    </row>
    <row r="1196" spans="1:12" x14ac:dyDescent="0.2">
      <c r="A1196" s="316">
        <v>72</v>
      </c>
      <c r="B1196" s="591" t="s">
        <v>4244</v>
      </c>
      <c r="C1196" s="598" t="s">
        <v>4574</v>
      </c>
      <c r="D1196" s="586"/>
      <c r="E1196" s="587" t="s">
        <v>1193</v>
      </c>
      <c r="F1196" s="588" t="s">
        <v>620</v>
      </c>
      <c r="G1196" s="776"/>
      <c r="H1196" s="599">
        <v>44749</v>
      </c>
      <c r="I1196" s="595">
        <f t="shared" si="101"/>
        <v>2294864.8648648649</v>
      </c>
      <c r="J1196" s="595">
        <f t="shared" si="102"/>
        <v>252435.13513513515</v>
      </c>
      <c r="K1196" s="596">
        <v>2547300</v>
      </c>
      <c r="L1196" s="597"/>
    </row>
    <row r="1197" spans="1:12" x14ac:dyDescent="0.2">
      <c r="A1197" s="316">
        <v>73</v>
      </c>
      <c r="B1197" s="591" t="s">
        <v>4245</v>
      </c>
      <c r="C1197" s="598" t="s">
        <v>4575</v>
      </c>
      <c r="D1197" s="586"/>
      <c r="E1197" s="587" t="s">
        <v>2395</v>
      </c>
      <c r="F1197" s="588" t="s">
        <v>1042</v>
      </c>
      <c r="G1197" s="761"/>
      <c r="H1197" s="599">
        <v>44750</v>
      </c>
      <c r="I1197" s="595">
        <f t="shared" si="101"/>
        <v>723891.89189189184</v>
      </c>
      <c r="J1197" s="595">
        <f t="shared" si="102"/>
        <v>79628.108108108107</v>
      </c>
      <c r="K1197" s="596">
        <v>803520</v>
      </c>
      <c r="L1197" s="597"/>
    </row>
    <row r="1198" spans="1:12" x14ac:dyDescent="0.2">
      <c r="A1198" s="316">
        <v>74</v>
      </c>
      <c r="B1198" s="591" t="s">
        <v>4246</v>
      </c>
      <c r="C1198" s="598" t="s">
        <v>4699</v>
      </c>
      <c r="D1198" s="586"/>
      <c r="E1198" s="593" t="s">
        <v>992</v>
      </c>
      <c r="F1198" s="593" t="s">
        <v>583</v>
      </c>
      <c r="G1198" s="776"/>
      <c r="H1198" s="594">
        <v>44750</v>
      </c>
      <c r="I1198" s="595">
        <f t="shared" si="101"/>
        <v>7967432.4324324317</v>
      </c>
      <c r="J1198" s="595">
        <f t="shared" si="102"/>
        <v>876417.56756756746</v>
      </c>
      <c r="K1198" s="596">
        <f>3214080+4684770+945000</f>
        <v>8843850</v>
      </c>
      <c r="L1198" s="597"/>
    </row>
    <row r="1199" spans="1:12" x14ac:dyDescent="0.2">
      <c r="A1199" s="316">
        <v>75</v>
      </c>
      <c r="B1199" s="591" t="s">
        <v>4247</v>
      </c>
      <c r="C1199" s="598" t="s">
        <v>4731</v>
      </c>
      <c r="D1199" s="586"/>
      <c r="E1199" s="587" t="s">
        <v>1007</v>
      </c>
      <c r="F1199" s="588" t="s">
        <v>1008</v>
      </c>
      <c r="G1199" s="776"/>
      <c r="H1199" s="599">
        <v>44750</v>
      </c>
      <c r="I1199" s="595">
        <f t="shared" si="101"/>
        <v>3444891.8918918916</v>
      </c>
      <c r="J1199" s="595">
        <f t="shared" si="102"/>
        <v>378938.10810810811</v>
      </c>
      <c r="K1199" s="596">
        <f>1521270+1107000+1195560</f>
        <v>3823830</v>
      </c>
      <c r="L1199" s="597"/>
    </row>
    <row r="1200" spans="1:12" x14ac:dyDescent="0.2">
      <c r="A1200" s="316">
        <v>76</v>
      </c>
      <c r="B1200" s="591" t="s">
        <v>4248</v>
      </c>
      <c r="C1200" s="598" t="s">
        <v>4577</v>
      </c>
      <c r="D1200" s="586"/>
      <c r="E1200" s="587" t="s">
        <v>1026</v>
      </c>
      <c r="F1200" s="588" t="s">
        <v>579</v>
      </c>
      <c r="G1200" s="761"/>
      <c r="H1200" s="599">
        <v>44750</v>
      </c>
      <c r="I1200" s="595">
        <f t="shared" si="101"/>
        <v>2335135.1351351351</v>
      </c>
      <c r="J1200" s="595">
        <f t="shared" si="102"/>
        <v>256864.86486486488</v>
      </c>
      <c r="K1200" s="596">
        <v>2592000</v>
      </c>
      <c r="L1200" s="597"/>
    </row>
    <row r="1201" spans="1:12" x14ac:dyDescent="0.2">
      <c r="A1201" s="316">
        <v>77</v>
      </c>
      <c r="B1201" s="591" t="s">
        <v>4249</v>
      </c>
      <c r="C1201" s="598" t="s">
        <v>4698</v>
      </c>
      <c r="D1201" s="586"/>
      <c r="E1201" s="587" t="s">
        <v>1046</v>
      </c>
      <c r="F1201" s="588" t="s">
        <v>1047</v>
      </c>
      <c r="G1201" s="776"/>
      <c r="H1201" s="599">
        <v>44750</v>
      </c>
      <c r="I1201" s="595">
        <f t="shared" si="101"/>
        <v>7015135.1351351347</v>
      </c>
      <c r="J1201" s="595">
        <f t="shared" si="102"/>
        <v>771664.86486486485</v>
      </c>
      <c r="K1201" s="596">
        <f>3288600+3288600+1209600</f>
        <v>7786800</v>
      </c>
      <c r="L1201" s="597"/>
    </row>
    <row r="1202" spans="1:12" x14ac:dyDescent="0.2">
      <c r="A1202" s="316">
        <v>78</v>
      </c>
      <c r="B1202" s="591" t="s">
        <v>4250</v>
      </c>
      <c r="C1202" s="598" t="s">
        <v>4689</v>
      </c>
      <c r="D1202" s="586"/>
      <c r="E1202" s="587" t="s">
        <v>1753</v>
      </c>
      <c r="F1202" s="588" t="s">
        <v>1019</v>
      </c>
      <c r="G1202" s="776"/>
      <c r="H1202" s="599">
        <v>44750</v>
      </c>
      <c r="I1202" s="595">
        <f t="shared" si="101"/>
        <v>4699459.4594594594</v>
      </c>
      <c r="J1202" s="595">
        <f t="shared" si="102"/>
        <v>516940.54054054053</v>
      </c>
      <c r="K1202" s="596">
        <f>3421440+1287360+507600</f>
        <v>5216400</v>
      </c>
      <c r="L1202" s="597"/>
    </row>
    <row r="1203" spans="1:12" x14ac:dyDescent="0.2">
      <c r="A1203" s="316">
        <v>79</v>
      </c>
      <c r="B1203" s="591" t="s">
        <v>4251</v>
      </c>
      <c r="C1203" s="598" t="s">
        <v>4762</v>
      </c>
      <c r="D1203" s="586"/>
      <c r="E1203" s="587" t="s">
        <v>970</v>
      </c>
      <c r="F1203" s="588" t="s">
        <v>971</v>
      </c>
      <c r="G1203" s="761"/>
      <c r="H1203" s="599">
        <v>44753</v>
      </c>
      <c r="I1203" s="595">
        <f t="shared" si="101"/>
        <v>9067049.549549548</v>
      </c>
      <c r="J1203" s="595">
        <f t="shared" si="102"/>
        <v>997375.4504504503</v>
      </c>
      <c r="K1203" s="596">
        <f>1522500+8541925</f>
        <v>10064425</v>
      </c>
      <c r="L1203" s="597"/>
    </row>
    <row r="1204" spans="1:12" x14ac:dyDescent="0.2">
      <c r="A1204" s="316">
        <v>80</v>
      </c>
      <c r="B1204" s="591" t="s">
        <v>4252</v>
      </c>
      <c r="C1204" s="598" t="s">
        <v>4744</v>
      </c>
      <c r="D1204" s="586"/>
      <c r="E1204" s="587" t="s">
        <v>992</v>
      </c>
      <c r="F1204" s="588" t="s">
        <v>1075</v>
      </c>
      <c r="G1204" s="776"/>
      <c r="H1204" s="599">
        <v>44750</v>
      </c>
      <c r="I1204" s="595">
        <f t="shared" si="101"/>
        <v>11805016.216216216</v>
      </c>
      <c r="J1204" s="595">
        <f t="shared" si="102"/>
        <v>1298551.7837837837</v>
      </c>
      <c r="K1204" s="596">
        <f>608880+5267328+7227360</f>
        <v>13103568</v>
      </c>
      <c r="L1204" s="597"/>
    </row>
    <row r="1205" spans="1:12" x14ac:dyDescent="0.2">
      <c r="A1205" s="316">
        <v>81</v>
      </c>
      <c r="B1205" s="591" t="s">
        <v>4253</v>
      </c>
      <c r="C1205" s="598" t="s">
        <v>4585</v>
      </c>
      <c r="D1205" s="586"/>
      <c r="E1205" s="587" t="s">
        <v>1103</v>
      </c>
      <c r="F1205" s="588" t="s">
        <v>1104</v>
      </c>
      <c r="G1205" s="776"/>
      <c r="H1205" s="599">
        <v>44750</v>
      </c>
      <c r="I1205" s="595">
        <f t="shared" si="101"/>
        <v>1986486.4864864864</v>
      </c>
      <c r="J1205" s="595">
        <f t="shared" si="102"/>
        <v>218513.51351351349</v>
      </c>
      <c r="K1205" s="596">
        <v>2205000</v>
      </c>
      <c r="L1205" s="597"/>
    </row>
    <row r="1206" spans="1:12" x14ac:dyDescent="0.2">
      <c r="A1206" s="316">
        <v>82</v>
      </c>
      <c r="B1206" s="591" t="s">
        <v>4254</v>
      </c>
      <c r="C1206" s="598" t="s">
        <v>4630</v>
      </c>
      <c r="D1206" s="586"/>
      <c r="E1206" s="587" t="s">
        <v>1054</v>
      </c>
      <c r="F1206" s="588" t="s">
        <v>1055</v>
      </c>
      <c r="G1206" s="761"/>
      <c r="H1206" s="599">
        <v>44750</v>
      </c>
      <c r="I1206" s="595">
        <f t="shared" si="101"/>
        <v>13286972.972972972</v>
      </c>
      <c r="J1206" s="595">
        <f t="shared" si="102"/>
        <v>1461567.027027027</v>
      </c>
      <c r="K1206" s="596">
        <f>2841300+6314940+5592300</f>
        <v>14748540</v>
      </c>
      <c r="L1206" s="597"/>
    </row>
    <row r="1207" spans="1:12" x14ac:dyDescent="0.2">
      <c r="A1207" s="316">
        <v>83</v>
      </c>
      <c r="B1207" s="591" t="s">
        <v>4255</v>
      </c>
      <c r="C1207" s="598" t="s">
        <v>4586</v>
      </c>
      <c r="D1207" s="586"/>
      <c r="E1207" s="587" t="s">
        <v>1768</v>
      </c>
      <c r="F1207" s="588" t="s">
        <v>1008</v>
      </c>
      <c r="G1207" s="776"/>
      <c r="H1207" s="599">
        <v>44750</v>
      </c>
      <c r="I1207" s="595">
        <f t="shared" si="101"/>
        <v>3269189.1891891891</v>
      </c>
      <c r="J1207" s="595">
        <f t="shared" si="102"/>
        <v>359610.81081081083</v>
      </c>
      <c r="K1207" s="596">
        <v>3628800</v>
      </c>
      <c r="L1207" s="597"/>
    </row>
    <row r="1208" spans="1:12" x14ac:dyDescent="0.2">
      <c r="A1208" s="316">
        <v>84</v>
      </c>
      <c r="B1208" s="591" t="s">
        <v>4256</v>
      </c>
      <c r="C1208" s="598" t="s">
        <v>4587</v>
      </c>
      <c r="D1208" s="586"/>
      <c r="E1208" s="587" t="s">
        <v>2556</v>
      </c>
      <c r="F1208" s="588" t="s">
        <v>590</v>
      </c>
      <c r="G1208" s="776"/>
      <c r="H1208" s="599">
        <v>44753</v>
      </c>
      <c r="I1208" s="595">
        <f t="shared" si="101"/>
        <v>760810.81081081077</v>
      </c>
      <c r="J1208" s="595">
        <f t="shared" si="102"/>
        <v>83689.189189189186</v>
      </c>
      <c r="K1208" s="596">
        <v>844500</v>
      </c>
      <c r="L1208" s="597"/>
    </row>
    <row r="1209" spans="1:12" x14ac:dyDescent="0.2">
      <c r="A1209" s="316">
        <v>85</v>
      </c>
      <c r="B1209" s="591" t="s">
        <v>4257</v>
      </c>
      <c r="C1209" s="598" t="s">
        <v>4608</v>
      </c>
      <c r="D1209" s="586"/>
      <c r="E1209" s="593" t="s">
        <v>1018</v>
      </c>
      <c r="F1209" s="593" t="s">
        <v>1019</v>
      </c>
      <c r="G1209" s="761"/>
      <c r="H1209" s="594">
        <v>44753</v>
      </c>
      <c r="I1209" s="595">
        <f t="shared" si="101"/>
        <v>5149297.297297297</v>
      </c>
      <c r="J1209" s="595">
        <f t="shared" si="102"/>
        <v>566422.70270270272</v>
      </c>
      <c r="K1209" s="596">
        <f>132840+2611440+2971440</f>
        <v>5715720</v>
      </c>
      <c r="L1209" s="597"/>
    </row>
    <row r="1210" spans="1:12" x14ac:dyDescent="0.2">
      <c r="A1210" s="316">
        <v>86</v>
      </c>
      <c r="B1210" s="591" t="s">
        <v>4258</v>
      </c>
      <c r="C1210" s="598" t="s">
        <v>4602</v>
      </c>
      <c r="D1210" s="586"/>
      <c r="E1210" s="593" t="s">
        <v>992</v>
      </c>
      <c r="F1210" s="593" t="s">
        <v>673</v>
      </c>
      <c r="G1210" s="776"/>
      <c r="H1210" s="594">
        <v>44753</v>
      </c>
      <c r="I1210" s="595">
        <f t="shared" si="101"/>
        <v>8811486.4864864852</v>
      </c>
      <c r="J1210" s="595">
        <f t="shared" si="102"/>
        <v>969263.51351351338</v>
      </c>
      <c r="K1210" s="596">
        <f>4687200+3912300+1181250</f>
        <v>9780750</v>
      </c>
      <c r="L1210" s="597"/>
    </row>
    <row r="1211" spans="1:12" x14ac:dyDescent="0.2">
      <c r="A1211" s="316">
        <v>87</v>
      </c>
      <c r="B1211" s="591" t="s">
        <v>4259</v>
      </c>
      <c r="C1211" s="598" t="s">
        <v>4589</v>
      </c>
      <c r="D1211" s="586"/>
      <c r="E1211" s="587" t="s">
        <v>1727</v>
      </c>
      <c r="F1211" s="588" t="s">
        <v>987</v>
      </c>
      <c r="G1211" s="776"/>
      <c r="H1211" s="599">
        <v>44753</v>
      </c>
      <c r="I1211" s="595">
        <f t="shared" si="101"/>
        <v>1371621.6216216215</v>
      </c>
      <c r="J1211" s="595">
        <f t="shared" si="102"/>
        <v>150878.37837837837</v>
      </c>
      <c r="K1211" s="596">
        <v>1522500</v>
      </c>
      <c r="L1211" s="597"/>
    </row>
    <row r="1212" spans="1:12" x14ac:dyDescent="0.2">
      <c r="A1212" s="316">
        <v>88</v>
      </c>
      <c r="B1212" s="591" t="s">
        <v>4260</v>
      </c>
      <c r="C1212" s="598" t="s">
        <v>4590</v>
      </c>
      <c r="D1212" s="586"/>
      <c r="E1212" s="587" t="s">
        <v>1201</v>
      </c>
      <c r="F1212" s="588" t="s">
        <v>1099</v>
      </c>
      <c r="G1212" s="761"/>
      <c r="H1212" s="599">
        <v>44757</v>
      </c>
      <c r="I1212" s="595">
        <f t="shared" si="101"/>
        <v>3670270.2702702698</v>
      </c>
      <c r="J1212" s="595">
        <f t="shared" si="102"/>
        <v>403729.7297297297</v>
      </c>
      <c r="K1212" s="596">
        <v>4074000</v>
      </c>
      <c r="L1212" s="597"/>
    </row>
    <row r="1213" spans="1:12" x14ac:dyDescent="0.2">
      <c r="A1213" s="316">
        <v>89</v>
      </c>
      <c r="B1213" s="591" t="s">
        <v>4261</v>
      </c>
      <c r="C1213" s="598" t="s">
        <v>4627</v>
      </c>
      <c r="D1213" s="586"/>
      <c r="E1213" s="587" t="s">
        <v>978</v>
      </c>
      <c r="F1213" s="588" t="s">
        <v>590</v>
      </c>
      <c r="G1213" s="776"/>
      <c r="H1213" s="599">
        <v>44753</v>
      </c>
      <c r="I1213" s="595">
        <f t="shared" si="101"/>
        <v>11913405.405405404</v>
      </c>
      <c r="J1213" s="595">
        <f t="shared" si="102"/>
        <v>1310474.5945945946</v>
      </c>
      <c r="K1213" s="596">
        <f>7945800+3276000+2002080</f>
        <v>13223880</v>
      </c>
      <c r="L1213" s="597"/>
    </row>
    <row r="1214" spans="1:12" x14ac:dyDescent="0.2">
      <c r="A1214" s="316">
        <v>90</v>
      </c>
      <c r="B1214" s="591" t="s">
        <v>4262</v>
      </c>
      <c r="C1214" s="598" t="s">
        <v>4622</v>
      </c>
      <c r="D1214" s="586"/>
      <c r="E1214" s="587" t="s">
        <v>965</v>
      </c>
      <c r="F1214" s="588" t="s">
        <v>966</v>
      </c>
      <c r="G1214" s="776"/>
      <c r="H1214" s="599">
        <v>44753</v>
      </c>
      <c r="I1214" s="595">
        <f t="shared" si="101"/>
        <v>16145405.405405404</v>
      </c>
      <c r="J1214" s="595">
        <f t="shared" si="102"/>
        <v>1775994.5945945946</v>
      </c>
      <c r="K1214" s="596">
        <f>7150500+3273900+7497000</f>
        <v>17921400</v>
      </c>
      <c r="L1214" s="597"/>
    </row>
    <row r="1215" spans="1:12" x14ac:dyDescent="0.2">
      <c r="A1215" s="316">
        <v>91</v>
      </c>
      <c r="B1215" s="591" t="s">
        <v>4263</v>
      </c>
      <c r="C1215" s="598" t="s">
        <v>4717</v>
      </c>
      <c r="D1215" s="586"/>
      <c r="E1215" s="587" t="s">
        <v>1029</v>
      </c>
      <c r="F1215" s="588" t="s">
        <v>966</v>
      </c>
      <c r="G1215" s="761"/>
      <c r="H1215" s="599">
        <v>44753</v>
      </c>
      <c r="I1215" s="595">
        <f t="shared" si="101"/>
        <v>21366013.513513513</v>
      </c>
      <c r="J1215" s="595">
        <f t="shared" si="102"/>
        <v>2350261.4864864866</v>
      </c>
      <c r="K1215" s="596">
        <f>4498200+6942000+12276075</f>
        <v>23716275</v>
      </c>
      <c r="L1215" s="597"/>
    </row>
    <row r="1216" spans="1:12" x14ac:dyDescent="0.2">
      <c r="A1216" s="316">
        <v>92</v>
      </c>
      <c r="B1216" s="591" t="s">
        <v>4264</v>
      </c>
      <c r="C1216" s="598" t="s">
        <v>4631</v>
      </c>
      <c r="D1216" s="586"/>
      <c r="E1216" s="587" t="s">
        <v>1036</v>
      </c>
      <c r="F1216" s="588" t="s">
        <v>1008</v>
      </c>
      <c r="G1216" s="776"/>
      <c r="H1216" s="599">
        <v>44753</v>
      </c>
      <c r="I1216" s="595">
        <f t="shared" si="101"/>
        <v>12011868.468468467</v>
      </c>
      <c r="J1216" s="595">
        <f t="shared" si="102"/>
        <v>1321305.5315315314</v>
      </c>
      <c r="K1216" s="596">
        <f>5826156+5464690+2042328</f>
        <v>13333174</v>
      </c>
      <c r="L1216" s="597"/>
    </row>
    <row r="1217" spans="1:12" x14ac:dyDescent="0.2">
      <c r="A1217" s="316">
        <v>93</v>
      </c>
      <c r="B1217" s="591" t="s">
        <v>4265</v>
      </c>
      <c r="C1217" s="598" t="s">
        <v>4591</v>
      </c>
      <c r="D1217" s="586"/>
      <c r="E1217" s="587" t="s">
        <v>2393</v>
      </c>
      <c r="F1217" s="588" t="s">
        <v>984</v>
      </c>
      <c r="G1217" s="776"/>
      <c r="H1217" s="599">
        <v>44753</v>
      </c>
      <c r="I1217" s="595">
        <f t="shared" si="101"/>
        <v>697333.33333333326</v>
      </c>
      <c r="J1217" s="595">
        <f t="shared" si="102"/>
        <v>76706.666666666657</v>
      </c>
      <c r="K1217" s="596">
        <v>774040</v>
      </c>
      <c r="L1217" s="597"/>
    </row>
    <row r="1218" spans="1:12" x14ac:dyDescent="0.2">
      <c r="A1218" s="316">
        <v>94</v>
      </c>
      <c r="B1218" s="591" t="s">
        <v>4266</v>
      </c>
      <c r="C1218" s="598" t="s">
        <v>4592</v>
      </c>
      <c r="D1218" s="586"/>
      <c r="E1218" s="587" t="s">
        <v>1243</v>
      </c>
      <c r="F1218" s="588" t="s">
        <v>1244</v>
      </c>
      <c r="G1218" s="761"/>
      <c r="H1218" s="599">
        <v>44753</v>
      </c>
      <c r="I1218" s="595">
        <f t="shared" si="101"/>
        <v>3237837.8378378376</v>
      </c>
      <c r="J1218" s="595">
        <f t="shared" si="102"/>
        <v>356162.16216216213</v>
      </c>
      <c r="K1218" s="596">
        <v>3594000</v>
      </c>
      <c r="L1218" s="597"/>
    </row>
    <row r="1219" spans="1:12" x14ac:dyDescent="0.2">
      <c r="A1219" s="316">
        <v>95</v>
      </c>
      <c r="B1219" s="591" t="s">
        <v>4267</v>
      </c>
      <c r="C1219" s="598" t="s">
        <v>4831</v>
      </c>
      <c r="D1219" s="586"/>
      <c r="E1219" s="587" t="s">
        <v>1760</v>
      </c>
      <c r="F1219" s="588" t="s">
        <v>606</v>
      </c>
      <c r="G1219" s="776"/>
      <c r="H1219" s="599">
        <v>44754</v>
      </c>
      <c r="I1219" s="595">
        <f t="shared" si="101"/>
        <v>17798108.108108107</v>
      </c>
      <c r="J1219" s="595">
        <f t="shared" si="102"/>
        <v>1957791.8918918918</v>
      </c>
      <c r="K1219" s="596">
        <f>8127000+3420900+8208000</f>
        <v>19755900</v>
      </c>
      <c r="L1219" s="597"/>
    </row>
    <row r="1220" spans="1:12" x14ac:dyDescent="0.2">
      <c r="A1220" s="316">
        <v>96</v>
      </c>
      <c r="B1220" s="591" t="s">
        <v>4268</v>
      </c>
      <c r="C1220" s="598" t="s">
        <v>4727</v>
      </c>
      <c r="D1220" s="586"/>
      <c r="E1220" s="587" t="s">
        <v>1325</v>
      </c>
      <c r="F1220" s="588" t="s">
        <v>673</v>
      </c>
      <c r="G1220" s="776"/>
      <c r="H1220" s="599">
        <v>44754</v>
      </c>
      <c r="I1220" s="595">
        <f t="shared" si="101"/>
        <v>3197297.297297297</v>
      </c>
      <c r="J1220" s="595">
        <f t="shared" si="102"/>
        <v>351702.70270270266</v>
      </c>
      <c r="K1220" s="596">
        <f>1500000+904000+1145000</f>
        <v>3549000</v>
      </c>
      <c r="L1220" s="597"/>
    </row>
    <row r="1221" spans="1:12" x14ac:dyDescent="0.2">
      <c r="A1221" s="316">
        <v>97</v>
      </c>
      <c r="B1221" s="591" t="s">
        <v>4269</v>
      </c>
      <c r="C1221" s="602" t="s">
        <v>4594</v>
      </c>
      <c r="D1221" s="603"/>
      <c r="E1221" s="604" t="s">
        <v>1020</v>
      </c>
      <c r="F1221" s="605" t="s">
        <v>984</v>
      </c>
      <c r="G1221" s="761"/>
      <c r="H1221" s="606">
        <v>44754</v>
      </c>
      <c r="I1221" s="595">
        <f t="shared" si="101"/>
        <v>1846621.6216216215</v>
      </c>
      <c r="J1221" s="595">
        <f t="shared" si="102"/>
        <v>203128.37837837837</v>
      </c>
      <c r="K1221" s="596">
        <v>2049750</v>
      </c>
      <c r="L1221" s="597"/>
    </row>
    <row r="1222" spans="1:12" x14ac:dyDescent="0.2">
      <c r="A1222" s="316">
        <v>98</v>
      </c>
      <c r="B1222" s="591" t="s">
        <v>4270</v>
      </c>
      <c r="C1222" s="598" t="s">
        <v>4597</v>
      </c>
      <c r="D1222" s="586"/>
      <c r="E1222" s="593" t="s">
        <v>1277</v>
      </c>
      <c r="F1222" s="593" t="s">
        <v>1019</v>
      </c>
      <c r="G1222" s="776"/>
      <c r="H1222" s="599">
        <v>44754</v>
      </c>
      <c r="I1222" s="595">
        <f t="shared" si="101"/>
        <v>4500972.9729729723</v>
      </c>
      <c r="J1222" s="595">
        <f t="shared" si="102"/>
        <v>495107.02702702698</v>
      </c>
      <c r="K1222" s="596">
        <v>4996080</v>
      </c>
      <c r="L1222" s="597"/>
    </row>
    <row r="1223" spans="1:12" x14ac:dyDescent="0.2">
      <c r="A1223" s="316">
        <v>99</v>
      </c>
      <c r="B1223" s="591" t="s">
        <v>4271</v>
      </c>
      <c r="C1223" s="598" t="s">
        <v>4615</v>
      </c>
      <c r="D1223" s="586"/>
      <c r="E1223" s="587" t="s">
        <v>1090</v>
      </c>
      <c r="F1223" s="588" t="s">
        <v>606</v>
      </c>
      <c r="G1223" s="776"/>
      <c r="H1223" s="599">
        <v>44754</v>
      </c>
      <c r="I1223" s="595">
        <f t="shared" si="101"/>
        <v>27874770.270270269</v>
      </c>
      <c r="J1223" s="595">
        <f t="shared" si="102"/>
        <v>3066224.7297297297</v>
      </c>
      <c r="K1223" s="596">
        <f>1516320+22169175+7255500</f>
        <v>30940995</v>
      </c>
      <c r="L1223" s="597"/>
    </row>
    <row r="1224" spans="1:12" x14ac:dyDescent="0.2">
      <c r="A1224" s="316">
        <v>100</v>
      </c>
      <c r="B1224" s="591" t="s">
        <v>4272</v>
      </c>
      <c r="C1224" s="598" t="s">
        <v>4700</v>
      </c>
      <c r="D1224" s="586"/>
      <c r="E1224" s="587" t="s">
        <v>1246</v>
      </c>
      <c r="F1224" s="588" t="s">
        <v>579</v>
      </c>
      <c r="G1224" s="761"/>
      <c r="H1224" s="599">
        <v>44754</v>
      </c>
      <c r="I1224" s="595">
        <f t="shared" si="101"/>
        <v>8725459.4594594594</v>
      </c>
      <c r="J1224" s="595">
        <f t="shared" si="102"/>
        <v>959800.54054054059</v>
      </c>
      <c r="K1224" s="596">
        <f>9215460+469800</f>
        <v>9685260</v>
      </c>
      <c r="L1224" s="597"/>
    </row>
    <row r="1225" spans="1:12" x14ac:dyDescent="0.2">
      <c r="A1225" s="316">
        <v>101</v>
      </c>
      <c r="B1225" s="591" t="s">
        <v>4273</v>
      </c>
      <c r="C1225" s="598" t="s">
        <v>4599</v>
      </c>
      <c r="D1225" s="586"/>
      <c r="E1225" s="587" t="s">
        <v>4598</v>
      </c>
      <c r="F1225" s="588" t="s">
        <v>2740</v>
      </c>
      <c r="G1225" s="776"/>
      <c r="H1225" s="599">
        <v>44754</v>
      </c>
      <c r="I1225" s="595">
        <f t="shared" si="101"/>
        <v>2362702.7027027025</v>
      </c>
      <c r="J1225" s="595">
        <f t="shared" si="102"/>
        <v>259897.29729729728</v>
      </c>
      <c r="K1225" s="596">
        <v>2622600</v>
      </c>
      <c r="L1225" s="597"/>
    </row>
    <row r="1226" spans="1:12" x14ac:dyDescent="0.2">
      <c r="A1226" s="316">
        <v>102</v>
      </c>
      <c r="B1226" s="591" t="s">
        <v>4274</v>
      </c>
      <c r="C1226" s="598" t="s">
        <v>4611</v>
      </c>
      <c r="D1226" s="586"/>
      <c r="E1226" s="587" t="s">
        <v>1108</v>
      </c>
      <c r="F1226" s="588" t="s">
        <v>1109</v>
      </c>
      <c r="G1226" s="776"/>
      <c r="H1226" s="599">
        <v>44755</v>
      </c>
      <c r="I1226" s="595">
        <f t="shared" ref="I1226:I1275" si="103">K1226/1.11</f>
        <v>11529081.081081079</v>
      </c>
      <c r="J1226" s="595">
        <f t="shared" ref="J1226:J1275" si="104">I1226*11%</f>
        <v>1268198.9189189188</v>
      </c>
      <c r="K1226" s="596">
        <f>7136640+2628000+3032640</f>
        <v>12797280</v>
      </c>
      <c r="L1226" s="597"/>
    </row>
    <row r="1227" spans="1:12" x14ac:dyDescent="0.2">
      <c r="A1227" s="316">
        <v>103</v>
      </c>
      <c r="B1227" s="591" t="s">
        <v>4275</v>
      </c>
      <c r="C1227" s="598" t="s">
        <v>4726</v>
      </c>
      <c r="D1227" s="586"/>
      <c r="E1227" s="587" t="s">
        <v>1226</v>
      </c>
      <c r="F1227" s="588" t="s">
        <v>1127</v>
      </c>
      <c r="G1227" s="761"/>
      <c r="H1227" s="599">
        <v>44755</v>
      </c>
      <c r="I1227" s="595">
        <f t="shared" si="103"/>
        <v>5248265.7657657657</v>
      </c>
      <c r="J1227" s="595">
        <f t="shared" si="104"/>
        <v>577309.2342342342</v>
      </c>
      <c r="K1227" s="596">
        <f>157500+5668075</f>
        <v>5825575</v>
      </c>
      <c r="L1227" s="597"/>
    </row>
    <row r="1228" spans="1:12" x14ac:dyDescent="0.2">
      <c r="A1228" s="316">
        <v>104</v>
      </c>
      <c r="B1228" s="591" t="s">
        <v>4276</v>
      </c>
      <c r="C1228" s="598" t="s">
        <v>4603</v>
      </c>
      <c r="D1228" s="586"/>
      <c r="E1228" s="587" t="s">
        <v>2393</v>
      </c>
      <c r="F1228" s="588" t="s">
        <v>3045</v>
      </c>
      <c r="G1228" s="776"/>
      <c r="H1228" s="599">
        <v>44755</v>
      </c>
      <c r="I1228" s="595">
        <f t="shared" si="103"/>
        <v>243243.24324324323</v>
      </c>
      <c r="J1228" s="595">
        <f t="shared" si="104"/>
        <v>26756.756756756757</v>
      </c>
      <c r="K1228" s="596">
        <v>270000</v>
      </c>
      <c r="L1228" s="597"/>
    </row>
    <row r="1229" spans="1:12" x14ac:dyDescent="0.2">
      <c r="A1229" s="316">
        <v>105</v>
      </c>
      <c r="B1229" s="591" t="s">
        <v>4277</v>
      </c>
      <c r="C1229" s="598" t="s">
        <v>4604</v>
      </c>
      <c r="D1229" s="586"/>
      <c r="E1229" s="587" t="s">
        <v>1062</v>
      </c>
      <c r="F1229" s="588" t="s">
        <v>966</v>
      </c>
      <c r="G1229" s="776"/>
      <c r="H1229" s="599">
        <v>44756</v>
      </c>
      <c r="I1229" s="595">
        <f t="shared" si="103"/>
        <v>35580810.810810804</v>
      </c>
      <c r="J1229" s="595">
        <f t="shared" si="104"/>
        <v>3913889.1891891886</v>
      </c>
      <c r="K1229" s="596">
        <f>12354300+20905500+6234900</f>
        <v>39494700</v>
      </c>
      <c r="L1229" s="597"/>
    </row>
    <row r="1230" spans="1:12" x14ac:dyDescent="0.2">
      <c r="A1230" s="316">
        <v>106</v>
      </c>
      <c r="B1230" s="591" t="s">
        <v>4278</v>
      </c>
      <c r="C1230" s="598" t="s">
        <v>4616</v>
      </c>
      <c r="D1230" s="586"/>
      <c r="E1230" s="587" t="s">
        <v>1217</v>
      </c>
      <c r="F1230" s="588" t="s">
        <v>1218</v>
      </c>
      <c r="G1230" s="761"/>
      <c r="H1230" s="599">
        <v>44756</v>
      </c>
      <c r="I1230" s="595">
        <f t="shared" si="103"/>
        <v>5466216.2162162159</v>
      </c>
      <c r="J1230" s="595">
        <f t="shared" si="104"/>
        <v>601283.78378378379</v>
      </c>
      <c r="K1230" s="596">
        <f>4104000+1963500</f>
        <v>6067500</v>
      </c>
      <c r="L1230" s="597"/>
    </row>
    <row r="1231" spans="1:12" x14ac:dyDescent="0.2">
      <c r="A1231" s="316">
        <v>107</v>
      </c>
      <c r="B1231" s="591" t="s">
        <v>4279</v>
      </c>
      <c r="C1231" s="598" t="s">
        <v>4605</v>
      </c>
      <c r="D1231" s="586"/>
      <c r="E1231" s="587" t="s">
        <v>1053</v>
      </c>
      <c r="F1231" s="588" t="s">
        <v>1064</v>
      </c>
      <c r="G1231" s="776"/>
      <c r="H1231" s="599">
        <v>44756</v>
      </c>
      <c r="I1231" s="595">
        <f t="shared" si="103"/>
        <v>162162.16216216216</v>
      </c>
      <c r="J1231" s="595">
        <f t="shared" si="104"/>
        <v>17837.837837837837</v>
      </c>
      <c r="K1231" s="596">
        <v>180000</v>
      </c>
      <c r="L1231" s="597"/>
    </row>
    <row r="1232" spans="1:12" x14ac:dyDescent="0.2">
      <c r="A1232" s="316">
        <v>108</v>
      </c>
      <c r="B1232" s="591" t="s">
        <v>4280</v>
      </c>
      <c r="C1232" s="602" t="s">
        <v>4606</v>
      </c>
      <c r="D1232" s="603"/>
      <c r="E1232" s="604" t="s">
        <v>1306</v>
      </c>
      <c r="F1232" s="605" t="s">
        <v>984</v>
      </c>
      <c r="G1232" s="776"/>
      <c r="H1232" s="606">
        <v>44756</v>
      </c>
      <c r="I1232" s="595">
        <f t="shared" si="103"/>
        <v>959459.45945945941</v>
      </c>
      <c r="J1232" s="595">
        <f t="shared" si="104"/>
        <v>105540.54054054053</v>
      </c>
      <c r="K1232" s="596">
        <v>1065000</v>
      </c>
      <c r="L1232" s="597"/>
    </row>
    <row r="1233" spans="1:12" x14ac:dyDescent="0.2">
      <c r="A1233" s="316">
        <v>109</v>
      </c>
      <c r="B1233" s="591" t="s">
        <v>4281</v>
      </c>
      <c r="C1233" s="598" t="s">
        <v>4688</v>
      </c>
      <c r="D1233" s="586"/>
      <c r="E1233" s="593" t="s">
        <v>992</v>
      </c>
      <c r="F1233" s="593" t="s">
        <v>993</v>
      </c>
      <c r="G1233" s="761"/>
      <c r="H1233" s="599">
        <v>44756</v>
      </c>
      <c r="I1233" s="595">
        <f t="shared" si="103"/>
        <v>10282901.801801801</v>
      </c>
      <c r="J1233" s="595">
        <f t="shared" si="104"/>
        <v>1131119.1981981981</v>
      </c>
      <c r="K1233" s="596">
        <f>3140988+7246278+1026755</f>
        <v>11414021</v>
      </c>
      <c r="L1233" s="597"/>
    </row>
    <row r="1234" spans="1:12" x14ac:dyDescent="0.2">
      <c r="A1234" s="316">
        <v>110</v>
      </c>
      <c r="B1234" s="591" t="s">
        <v>4282</v>
      </c>
      <c r="C1234" s="598" t="s">
        <v>4607</v>
      </c>
      <c r="D1234" s="586"/>
      <c r="E1234" s="587" t="s">
        <v>1010</v>
      </c>
      <c r="F1234" s="588" t="s">
        <v>984</v>
      </c>
      <c r="G1234" s="776"/>
      <c r="H1234" s="599">
        <v>44756</v>
      </c>
      <c r="I1234" s="595">
        <f t="shared" si="103"/>
        <v>1163243.2432432431</v>
      </c>
      <c r="J1234" s="595">
        <f t="shared" si="104"/>
        <v>127956.75675675675</v>
      </c>
      <c r="K1234" s="596">
        <v>1291200</v>
      </c>
      <c r="L1234" s="597"/>
    </row>
    <row r="1235" spans="1:12" x14ac:dyDescent="0.2">
      <c r="A1235" s="316">
        <v>111</v>
      </c>
      <c r="B1235" s="591" t="s">
        <v>4283</v>
      </c>
      <c r="C1235" s="598" t="s">
        <v>4704</v>
      </c>
      <c r="D1235" s="586"/>
      <c r="E1235" s="587" t="s">
        <v>1009</v>
      </c>
      <c r="F1235" s="588" t="s">
        <v>1008</v>
      </c>
      <c r="G1235" s="776"/>
      <c r="H1235" s="599">
        <v>44756</v>
      </c>
      <c r="I1235" s="595">
        <f t="shared" si="103"/>
        <v>14879863.963963963</v>
      </c>
      <c r="J1235" s="595">
        <f t="shared" si="104"/>
        <v>1636785.036036036</v>
      </c>
      <c r="K1235" s="596">
        <f>920200+10245529+5350920</f>
        <v>16516649</v>
      </c>
      <c r="L1235" s="597"/>
    </row>
    <row r="1236" spans="1:12" x14ac:dyDescent="0.2">
      <c r="A1236" s="316">
        <v>112</v>
      </c>
      <c r="B1236" s="591" t="s">
        <v>4284</v>
      </c>
      <c r="C1236" s="598" t="s">
        <v>4610</v>
      </c>
      <c r="D1236" s="586"/>
      <c r="E1236" s="587" t="s">
        <v>1057</v>
      </c>
      <c r="F1236" s="588" t="s">
        <v>1058</v>
      </c>
      <c r="G1236" s="761"/>
      <c r="H1236" s="599">
        <v>44757</v>
      </c>
      <c r="I1236" s="595">
        <f t="shared" si="103"/>
        <v>1090090.0900900899</v>
      </c>
      <c r="J1236" s="595">
        <f t="shared" si="104"/>
        <v>119909.9099099099</v>
      </c>
      <c r="K1236" s="596">
        <v>1210000</v>
      </c>
      <c r="L1236" s="597"/>
    </row>
    <row r="1237" spans="1:12" x14ac:dyDescent="0.2">
      <c r="A1237" s="316">
        <v>113</v>
      </c>
      <c r="B1237" s="591" t="s">
        <v>4285</v>
      </c>
      <c r="C1237" s="598" t="s">
        <v>4803</v>
      </c>
      <c r="D1237" s="586"/>
      <c r="E1237" s="587" t="s">
        <v>985</v>
      </c>
      <c r="F1237" s="588" t="s">
        <v>426</v>
      </c>
      <c r="G1237" s="776"/>
      <c r="H1237" s="599">
        <v>44757</v>
      </c>
      <c r="I1237" s="595">
        <f t="shared" si="103"/>
        <v>33457792.79279279</v>
      </c>
      <c r="J1237" s="595">
        <f t="shared" si="104"/>
        <v>3680357.2072072071</v>
      </c>
      <c r="K1237" s="596">
        <f>9891000+5175100+22072050</f>
        <v>37138150</v>
      </c>
      <c r="L1237" s="597"/>
    </row>
    <row r="1238" spans="1:12" x14ac:dyDescent="0.2">
      <c r="A1238" s="316">
        <v>114</v>
      </c>
      <c r="B1238" s="591" t="s">
        <v>4286</v>
      </c>
      <c r="C1238" s="598" t="s">
        <v>4635</v>
      </c>
      <c r="D1238" s="586"/>
      <c r="E1238" s="587" t="s">
        <v>3917</v>
      </c>
      <c r="F1238" s="588" t="s">
        <v>426</v>
      </c>
      <c r="G1238" s="776"/>
      <c r="H1238" s="599">
        <v>44758</v>
      </c>
      <c r="I1238" s="595">
        <f t="shared" si="103"/>
        <v>5945945.9459459456</v>
      </c>
      <c r="J1238" s="595">
        <f t="shared" si="104"/>
        <v>654054.05405405397</v>
      </c>
      <c r="K1238" s="596">
        <f>5787300+812700</f>
        <v>6600000</v>
      </c>
      <c r="L1238" s="597"/>
    </row>
    <row r="1239" spans="1:12" x14ac:dyDescent="0.2">
      <c r="A1239" s="316">
        <v>115</v>
      </c>
      <c r="B1239" s="591" t="s">
        <v>4287</v>
      </c>
      <c r="C1239" s="598" t="s">
        <v>4817</v>
      </c>
      <c r="D1239" s="586"/>
      <c r="E1239" s="587" t="s">
        <v>1052</v>
      </c>
      <c r="F1239" s="588" t="s">
        <v>1017</v>
      </c>
      <c r="G1239" s="761"/>
      <c r="H1239" s="599">
        <v>44756</v>
      </c>
      <c r="I1239" s="595">
        <f t="shared" si="103"/>
        <v>4738243.2432432426</v>
      </c>
      <c r="J1239" s="595">
        <f t="shared" si="104"/>
        <v>521206.75675675669</v>
      </c>
      <c r="K1239" s="596">
        <f>2555700+2205000+498750</f>
        <v>5259450</v>
      </c>
      <c r="L1239" s="597"/>
    </row>
    <row r="1240" spans="1:12" x14ac:dyDescent="0.2">
      <c r="A1240" s="316">
        <v>116</v>
      </c>
      <c r="B1240" s="591" t="s">
        <v>4288</v>
      </c>
      <c r="C1240" s="598" t="s">
        <v>4713</v>
      </c>
      <c r="D1240" s="586"/>
      <c r="E1240" s="587" t="s">
        <v>1072</v>
      </c>
      <c r="F1240" s="588" t="s">
        <v>1058</v>
      </c>
      <c r="G1240" s="776"/>
      <c r="H1240" s="599">
        <v>44758</v>
      </c>
      <c r="I1240" s="595">
        <f t="shared" si="103"/>
        <v>12205945.945945945</v>
      </c>
      <c r="J1240" s="595">
        <f t="shared" si="104"/>
        <v>1342654.054054054</v>
      </c>
      <c r="K1240" s="596">
        <f>7840800+3288600+2419200</f>
        <v>13548600</v>
      </c>
      <c r="L1240" s="597"/>
    </row>
    <row r="1241" spans="1:12" x14ac:dyDescent="0.2">
      <c r="A1241" s="316">
        <v>117</v>
      </c>
      <c r="B1241" s="591" t="s">
        <v>4289</v>
      </c>
      <c r="C1241" s="598" t="s">
        <v>4733</v>
      </c>
      <c r="D1241" s="586"/>
      <c r="E1241" s="587" t="s">
        <v>1016</v>
      </c>
      <c r="F1241" s="588" t="s">
        <v>1017</v>
      </c>
      <c r="G1241" s="776"/>
      <c r="H1241" s="599">
        <v>44756</v>
      </c>
      <c r="I1241" s="595">
        <f t="shared" si="103"/>
        <v>5423626.1261261255</v>
      </c>
      <c r="J1241" s="595">
        <f t="shared" si="104"/>
        <v>596598.87387387385</v>
      </c>
      <c r="K1241" s="596">
        <f>4706325+822500+491400</f>
        <v>6020225</v>
      </c>
      <c r="L1241" s="597"/>
    </row>
    <row r="1242" spans="1:12" x14ac:dyDescent="0.2">
      <c r="A1242" s="316">
        <v>118</v>
      </c>
      <c r="B1242" s="591" t="s">
        <v>4290</v>
      </c>
      <c r="C1242" s="598" t="s">
        <v>4774</v>
      </c>
      <c r="D1242" s="586"/>
      <c r="E1242" s="587" t="s">
        <v>1325</v>
      </c>
      <c r="F1242" s="588" t="s">
        <v>971</v>
      </c>
      <c r="G1242" s="761"/>
      <c r="H1242" s="599">
        <v>44755</v>
      </c>
      <c r="I1242" s="595">
        <f t="shared" si="103"/>
        <v>5272972.9729729723</v>
      </c>
      <c r="J1242" s="595">
        <f t="shared" si="104"/>
        <v>580027.02702702698</v>
      </c>
      <c r="K1242" s="596">
        <f>1200000+4653000</f>
        <v>5853000</v>
      </c>
      <c r="L1242" s="597"/>
    </row>
    <row r="1243" spans="1:12" x14ac:dyDescent="0.2">
      <c r="A1243" s="316">
        <v>119</v>
      </c>
      <c r="B1243" s="591" t="s">
        <v>4291</v>
      </c>
      <c r="C1243" s="602" t="s">
        <v>4617</v>
      </c>
      <c r="D1243" s="603"/>
      <c r="E1243" s="604" t="s">
        <v>1050</v>
      </c>
      <c r="F1243" s="605" t="s">
        <v>984</v>
      </c>
      <c r="G1243" s="776"/>
      <c r="H1243" s="606">
        <v>44758</v>
      </c>
      <c r="I1243" s="595">
        <f t="shared" si="103"/>
        <v>827702.70270270261</v>
      </c>
      <c r="J1243" s="595">
        <f t="shared" si="104"/>
        <v>91047.297297297293</v>
      </c>
      <c r="K1243" s="596">
        <v>918750</v>
      </c>
      <c r="L1243" s="597"/>
    </row>
    <row r="1244" spans="1:12" x14ac:dyDescent="0.2">
      <c r="A1244" s="316">
        <v>120</v>
      </c>
      <c r="B1244" s="591" t="s">
        <v>4292</v>
      </c>
      <c r="C1244" s="598" t="s">
        <v>4714</v>
      </c>
      <c r="D1244" s="586"/>
      <c r="E1244" s="593" t="s">
        <v>992</v>
      </c>
      <c r="F1244" s="593" t="s">
        <v>673</v>
      </c>
      <c r="G1244" s="776"/>
      <c r="H1244" s="599">
        <v>44760</v>
      </c>
      <c r="I1244" s="595">
        <f t="shared" si="103"/>
        <v>27702027.027027026</v>
      </c>
      <c r="J1244" s="595">
        <f t="shared" si="104"/>
        <v>3047222.9729729728</v>
      </c>
      <c r="K1244" s="596">
        <f>18412800+1496250+10840200</f>
        <v>30749250</v>
      </c>
      <c r="L1244" s="597"/>
    </row>
    <row r="1245" spans="1:12" x14ac:dyDescent="0.2">
      <c r="A1245" s="316">
        <v>121</v>
      </c>
      <c r="B1245" s="591" t="s">
        <v>4293</v>
      </c>
      <c r="C1245" s="598" t="s">
        <v>4828</v>
      </c>
      <c r="D1245" s="586"/>
      <c r="E1245" s="587" t="s">
        <v>1288</v>
      </c>
      <c r="F1245" s="588" t="s">
        <v>1221</v>
      </c>
      <c r="G1245" s="761"/>
      <c r="H1245" s="599">
        <v>44758</v>
      </c>
      <c r="I1245" s="595">
        <f t="shared" si="103"/>
        <v>9403639.6396396384</v>
      </c>
      <c r="J1245" s="595">
        <f t="shared" si="104"/>
        <v>1034400.3603603602</v>
      </c>
      <c r="K1245" s="596">
        <f>2034020+3945240+4458780</f>
        <v>10438040</v>
      </c>
      <c r="L1245" s="597"/>
    </row>
    <row r="1246" spans="1:12" x14ac:dyDescent="0.2">
      <c r="A1246" s="316">
        <v>122</v>
      </c>
      <c r="B1246" s="591" t="s">
        <v>4294</v>
      </c>
      <c r="C1246" s="598" t="s">
        <v>4687</v>
      </c>
      <c r="D1246" s="586"/>
      <c r="E1246" s="587" t="s">
        <v>1765</v>
      </c>
      <c r="F1246" s="588" t="s">
        <v>579</v>
      </c>
      <c r="G1246" s="776"/>
      <c r="H1246" s="599">
        <v>44758</v>
      </c>
      <c r="I1246" s="595">
        <f t="shared" si="103"/>
        <v>621621.62162162154</v>
      </c>
      <c r="J1246" s="595">
        <f t="shared" si="104"/>
        <v>68378.378378378373</v>
      </c>
      <c r="K1246" s="596">
        <f>40000+650000</f>
        <v>690000</v>
      </c>
      <c r="L1246" s="597"/>
    </row>
    <row r="1247" spans="1:12" x14ac:dyDescent="0.2">
      <c r="A1247" s="316">
        <v>123</v>
      </c>
      <c r="B1247" s="591" t="s">
        <v>4295</v>
      </c>
      <c r="C1247" s="598" t="s">
        <v>4619</v>
      </c>
      <c r="D1247" s="586"/>
      <c r="E1247" s="587" t="s">
        <v>1773</v>
      </c>
      <c r="F1247" s="588" t="s">
        <v>1774</v>
      </c>
      <c r="G1247" s="776"/>
      <c r="H1247" s="599">
        <v>44760</v>
      </c>
      <c r="I1247" s="595">
        <f t="shared" si="103"/>
        <v>8797297.297297297</v>
      </c>
      <c r="J1247" s="595">
        <f t="shared" si="104"/>
        <v>967702.70270270272</v>
      </c>
      <c r="K1247" s="596">
        <f>9765000</f>
        <v>9765000</v>
      </c>
      <c r="L1247" s="597"/>
    </row>
    <row r="1248" spans="1:12" x14ac:dyDescent="0.2">
      <c r="A1248" s="316">
        <v>124</v>
      </c>
      <c r="B1248" s="591" t="s">
        <v>4296</v>
      </c>
      <c r="C1248" s="598" t="s">
        <v>4624</v>
      </c>
      <c r="D1248" s="586"/>
      <c r="E1248" s="587" t="s">
        <v>974</v>
      </c>
      <c r="F1248" s="588" t="s">
        <v>2579</v>
      </c>
      <c r="G1248" s="761"/>
      <c r="H1248" s="599">
        <v>44760</v>
      </c>
      <c r="I1248" s="595">
        <f t="shared" si="103"/>
        <v>1482882.8828828828</v>
      </c>
      <c r="J1248" s="595">
        <f t="shared" si="104"/>
        <v>163117.1171171171</v>
      </c>
      <c r="K1248" s="596">
        <f>1075000+571000</f>
        <v>1646000</v>
      </c>
      <c r="L1248" s="597"/>
    </row>
    <row r="1249" spans="1:12" x14ac:dyDescent="0.2">
      <c r="A1249" s="316">
        <v>125</v>
      </c>
      <c r="B1249" s="591" t="s">
        <v>4297</v>
      </c>
      <c r="C1249" s="598" t="s">
        <v>4737</v>
      </c>
      <c r="D1249" s="586"/>
      <c r="E1249" s="587" t="s">
        <v>1062</v>
      </c>
      <c r="F1249" s="588" t="s">
        <v>966</v>
      </c>
      <c r="G1249" s="776"/>
      <c r="H1249" s="599">
        <v>44760</v>
      </c>
      <c r="I1249" s="595">
        <f t="shared" si="103"/>
        <v>16681283.783783782</v>
      </c>
      <c r="J1249" s="595">
        <f t="shared" si="104"/>
        <v>1834941.2162162161</v>
      </c>
      <c r="K1249" s="596">
        <f>11759475+1260000+5496750</f>
        <v>18516225</v>
      </c>
      <c r="L1249" s="597"/>
    </row>
    <row r="1250" spans="1:12" x14ac:dyDescent="0.2">
      <c r="A1250" s="316">
        <v>126</v>
      </c>
      <c r="B1250" s="591" t="s">
        <v>4298</v>
      </c>
      <c r="C1250" s="598" t="s">
        <v>4738</v>
      </c>
      <c r="D1250" s="586"/>
      <c r="E1250" s="587" t="s">
        <v>979</v>
      </c>
      <c r="F1250" s="588" t="s">
        <v>980</v>
      </c>
      <c r="G1250" s="776"/>
      <c r="H1250" s="599">
        <v>44760</v>
      </c>
      <c r="I1250" s="595">
        <f t="shared" si="103"/>
        <v>25000886.486486483</v>
      </c>
      <c r="J1250" s="595">
        <f t="shared" si="104"/>
        <v>2750097.5135135134</v>
      </c>
      <c r="K1250" s="596">
        <f>8208000+19542984</f>
        <v>27750984</v>
      </c>
      <c r="L1250" s="597"/>
    </row>
    <row r="1251" spans="1:12" x14ac:dyDescent="0.2">
      <c r="A1251" s="316">
        <v>127</v>
      </c>
      <c r="B1251" s="591" t="s">
        <v>4299</v>
      </c>
      <c r="C1251" s="598" t="s">
        <v>4625</v>
      </c>
      <c r="D1251" s="586"/>
      <c r="E1251" s="587" t="s">
        <v>4626</v>
      </c>
      <c r="F1251" s="588" t="s">
        <v>971</v>
      </c>
      <c r="G1251" s="761"/>
      <c r="H1251" s="599">
        <v>44760</v>
      </c>
      <c r="I1251" s="595">
        <f t="shared" si="103"/>
        <v>906531.53153153148</v>
      </c>
      <c r="J1251" s="595">
        <f t="shared" si="104"/>
        <v>99718.468468468462</v>
      </c>
      <c r="K1251" s="596">
        <v>1006250</v>
      </c>
      <c r="L1251" s="597"/>
    </row>
    <row r="1252" spans="1:12" x14ac:dyDescent="0.2">
      <c r="A1252" s="316">
        <v>128</v>
      </c>
      <c r="B1252" s="591" t="s">
        <v>4300</v>
      </c>
      <c r="C1252" s="598" t="s">
        <v>4732</v>
      </c>
      <c r="D1252" s="586"/>
      <c r="E1252" s="587" t="s">
        <v>1018</v>
      </c>
      <c r="F1252" s="588" t="s">
        <v>1019</v>
      </c>
      <c r="G1252" s="776"/>
      <c r="H1252" s="599">
        <v>44760</v>
      </c>
      <c r="I1252" s="595">
        <f t="shared" si="103"/>
        <v>4658954.9549549548</v>
      </c>
      <c r="J1252" s="595">
        <f t="shared" si="104"/>
        <v>512485.04504504503</v>
      </c>
      <c r="K1252" s="596">
        <f>3421440+1750000</f>
        <v>5171440</v>
      </c>
      <c r="L1252" s="597"/>
    </row>
    <row r="1253" spans="1:12" x14ac:dyDescent="0.2">
      <c r="A1253" s="316">
        <v>129</v>
      </c>
      <c r="B1253" s="591" t="s">
        <v>4301</v>
      </c>
      <c r="C1253" s="598" t="s">
        <v>4710</v>
      </c>
      <c r="D1253" s="586"/>
      <c r="E1253" s="587" t="s">
        <v>1090</v>
      </c>
      <c r="F1253" s="588" t="s">
        <v>606</v>
      </c>
      <c r="G1253" s="776"/>
      <c r="H1253" s="599">
        <v>44760</v>
      </c>
      <c r="I1253" s="595">
        <f t="shared" si="103"/>
        <v>26318108.108108107</v>
      </c>
      <c r="J1253" s="595">
        <f t="shared" si="104"/>
        <v>2894991.8918918916</v>
      </c>
      <c r="K1253" s="596">
        <f>14739900+7182000+7291200</f>
        <v>29213100</v>
      </c>
      <c r="L1253" s="597"/>
    </row>
    <row r="1254" spans="1:12" x14ac:dyDescent="0.2">
      <c r="A1254" s="316">
        <v>130</v>
      </c>
      <c r="B1254" s="591" t="s">
        <v>4302</v>
      </c>
      <c r="C1254" s="602" t="s">
        <v>4629</v>
      </c>
      <c r="D1254" s="603"/>
      <c r="E1254" s="604" t="s">
        <v>1210</v>
      </c>
      <c r="F1254" s="605" t="s">
        <v>1127</v>
      </c>
      <c r="G1254" s="761"/>
      <c r="H1254" s="606">
        <v>44760</v>
      </c>
      <c r="I1254" s="595">
        <f t="shared" si="103"/>
        <v>4290810.8108108109</v>
      </c>
      <c r="J1254" s="595">
        <f t="shared" si="104"/>
        <v>471989.18918918917</v>
      </c>
      <c r="K1254" s="596">
        <v>4762800</v>
      </c>
      <c r="L1254" s="597"/>
    </row>
    <row r="1255" spans="1:12" x14ac:dyDescent="0.2">
      <c r="A1255" s="316">
        <v>131</v>
      </c>
      <c r="B1255" s="591" t="s">
        <v>4303</v>
      </c>
      <c r="C1255" s="598" t="s">
        <v>4632</v>
      </c>
      <c r="D1255" s="586"/>
      <c r="E1255" s="593" t="s">
        <v>1228</v>
      </c>
      <c r="F1255" s="593" t="s">
        <v>1025</v>
      </c>
      <c r="G1255" s="776"/>
      <c r="H1255" s="599">
        <v>44758</v>
      </c>
      <c r="I1255" s="595">
        <f t="shared" si="103"/>
        <v>869549.54954954947</v>
      </c>
      <c r="J1255" s="595">
        <f t="shared" si="104"/>
        <v>95650.450450450444</v>
      </c>
      <c r="K1255" s="596">
        <v>965200</v>
      </c>
      <c r="L1255" s="597"/>
    </row>
    <row r="1256" spans="1:12" x14ac:dyDescent="0.2">
      <c r="A1256" s="316">
        <v>132</v>
      </c>
      <c r="B1256" s="591" t="s">
        <v>4304</v>
      </c>
      <c r="C1256" s="598" t="s">
        <v>4735</v>
      </c>
      <c r="D1256" s="586"/>
      <c r="E1256" s="587" t="s">
        <v>969</v>
      </c>
      <c r="F1256" s="588" t="s">
        <v>966</v>
      </c>
      <c r="G1256" s="776"/>
      <c r="H1256" s="599">
        <v>44761</v>
      </c>
      <c r="I1256" s="595">
        <f t="shared" si="103"/>
        <v>15845945.945945945</v>
      </c>
      <c r="J1256" s="595">
        <f t="shared" si="104"/>
        <v>1743054.054054054</v>
      </c>
      <c r="K1256" s="596">
        <f>5846400+6009600+5733000</f>
        <v>17589000</v>
      </c>
      <c r="L1256" s="597"/>
    </row>
    <row r="1257" spans="1:12" x14ac:dyDescent="0.2">
      <c r="A1257" s="316">
        <v>133</v>
      </c>
      <c r="B1257" s="591" t="s">
        <v>4305</v>
      </c>
      <c r="C1257" s="598" t="s">
        <v>4636</v>
      </c>
      <c r="D1257" s="586"/>
      <c r="E1257" s="587" t="s">
        <v>2752</v>
      </c>
      <c r="F1257" s="588" t="s">
        <v>1025</v>
      </c>
      <c r="G1257" s="761"/>
      <c r="H1257" s="599">
        <v>44758</v>
      </c>
      <c r="I1257" s="595">
        <f t="shared" si="103"/>
        <v>706216.2162162161</v>
      </c>
      <c r="J1257" s="595">
        <f t="shared" si="104"/>
        <v>77683.783783783772</v>
      </c>
      <c r="K1257" s="596">
        <v>783900</v>
      </c>
      <c r="L1257" s="597"/>
    </row>
    <row r="1258" spans="1:12" x14ac:dyDescent="0.2">
      <c r="A1258" s="316">
        <v>134</v>
      </c>
      <c r="B1258" s="591" t="s">
        <v>4306</v>
      </c>
      <c r="C1258" s="598" t="s">
        <v>4770</v>
      </c>
      <c r="D1258" s="586"/>
      <c r="E1258" s="587" t="s">
        <v>1036</v>
      </c>
      <c r="F1258" s="588" t="s">
        <v>1008</v>
      </c>
      <c r="G1258" s="776"/>
      <c r="H1258" s="599">
        <v>44761</v>
      </c>
      <c r="I1258" s="595">
        <f t="shared" si="103"/>
        <v>3862097.297297297</v>
      </c>
      <c r="J1258" s="595">
        <f t="shared" si="104"/>
        <v>424830.70270270266</v>
      </c>
      <c r="K1258" s="596">
        <f>4013448+273480</f>
        <v>4286928</v>
      </c>
      <c r="L1258" s="597"/>
    </row>
    <row r="1259" spans="1:12" x14ac:dyDescent="0.2">
      <c r="A1259" s="316">
        <v>135</v>
      </c>
      <c r="B1259" s="591" t="s">
        <v>4307</v>
      </c>
      <c r="C1259" s="598" t="s">
        <v>4690</v>
      </c>
      <c r="D1259" s="586"/>
      <c r="E1259" s="587" t="s">
        <v>2766</v>
      </c>
      <c r="F1259" s="588" t="s">
        <v>599</v>
      </c>
      <c r="G1259" s="776"/>
      <c r="H1259" s="599">
        <v>44761</v>
      </c>
      <c r="I1259" s="595">
        <f t="shared" si="103"/>
        <v>1089729.7297297297</v>
      </c>
      <c r="J1259" s="595">
        <f t="shared" si="104"/>
        <v>119870.27027027027</v>
      </c>
      <c r="K1259" s="596">
        <v>1209600</v>
      </c>
      <c r="L1259" s="597"/>
    </row>
    <row r="1260" spans="1:12" x14ac:dyDescent="0.2">
      <c r="A1260" s="316">
        <v>136</v>
      </c>
      <c r="B1260" s="591" t="s">
        <v>4308</v>
      </c>
      <c r="C1260" s="598" t="s">
        <v>4751</v>
      </c>
      <c r="D1260" s="586"/>
      <c r="E1260" s="587" t="s">
        <v>1205</v>
      </c>
      <c r="F1260" s="588" t="s">
        <v>1206</v>
      </c>
      <c r="G1260" s="761"/>
      <c r="H1260" s="599">
        <v>44761</v>
      </c>
      <c r="I1260" s="595">
        <f t="shared" si="103"/>
        <v>4483783.7837837832</v>
      </c>
      <c r="J1260" s="595">
        <f t="shared" si="104"/>
        <v>493216.21621621615</v>
      </c>
      <c r="K1260" s="596">
        <f>1296000+3681000</f>
        <v>4977000</v>
      </c>
      <c r="L1260" s="597"/>
    </row>
    <row r="1261" spans="1:12" x14ac:dyDescent="0.2">
      <c r="A1261" s="316">
        <v>137</v>
      </c>
      <c r="B1261" s="591" t="s">
        <v>4309</v>
      </c>
      <c r="C1261" s="598" t="s">
        <v>4725</v>
      </c>
      <c r="D1261" s="586"/>
      <c r="E1261" s="587" t="s">
        <v>981</v>
      </c>
      <c r="F1261" s="588" t="s">
        <v>980</v>
      </c>
      <c r="G1261" s="776"/>
      <c r="H1261" s="599">
        <v>44762</v>
      </c>
      <c r="I1261" s="595">
        <f t="shared" si="103"/>
        <v>26240691.891891889</v>
      </c>
      <c r="J1261" s="595">
        <f t="shared" si="104"/>
        <v>2886476.1081081079</v>
      </c>
      <c r="K1261" s="596">
        <f>2377728+16049664+10699776</f>
        <v>29127168</v>
      </c>
      <c r="L1261" s="597"/>
    </row>
    <row r="1262" spans="1:12" x14ac:dyDescent="0.2">
      <c r="A1262" s="316">
        <v>138</v>
      </c>
      <c r="B1262" s="591" t="s">
        <v>4310</v>
      </c>
      <c r="C1262" s="598" t="s">
        <v>4702</v>
      </c>
      <c r="D1262" s="586"/>
      <c r="E1262" s="587" t="s">
        <v>4703</v>
      </c>
      <c r="F1262" s="588" t="s">
        <v>984</v>
      </c>
      <c r="G1262" s="776"/>
      <c r="H1262" s="599">
        <v>44762</v>
      </c>
      <c r="I1262" s="595">
        <f t="shared" si="103"/>
        <v>649369.36936936935</v>
      </c>
      <c r="J1262" s="595">
        <f t="shared" si="104"/>
        <v>71430.630630630636</v>
      </c>
      <c r="K1262" s="596">
        <v>720800</v>
      </c>
      <c r="L1262" s="597"/>
    </row>
    <row r="1263" spans="1:12" x14ac:dyDescent="0.2">
      <c r="A1263" s="316">
        <v>139</v>
      </c>
      <c r="B1263" s="591" t="s">
        <v>4311</v>
      </c>
      <c r="C1263" s="598" t="s">
        <v>4715</v>
      </c>
      <c r="D1263" s="586"/>
      <c r="E1263" s="587" t="s">
        <v>978</v>
      </c>
      <c r="F1263" s="588" t="s">
        <v>590</v>
      </c>
      <c r="G1263" s="761"/>
      <c r="H1263" s="599">
        <v>44762</v>
      </c>
      <c r="I1263" s="595">
        <f t="shared" si="103"/>
        <v>12551351.351351351</v>
      </c>
      <c r="J1263" s="595">
        <f t="shared" si="104"/>
        <v>1380648.6486486485</v>
      </c>
      <c r="K1263" s="596">
        <f>10031040+1362240+2538720</f>
        <v>13932000</v>
      </c>
      <c r="L1263" s="597"/>
    </row>
    <row r="1264" spans="1:12" x14ac:dyDescent="0.2">
      <c r="A1264" s="316">
        <v>140</v>
      </c>
      <c r="B1264" s="591" t="s">
        <v>4312</v>
      </c>
      <c r="C1264" s="598" t="s">
        <v>4821</v>
      </c>
      <c r="D1264" s="586"/>
      <c r="E1264" s="587" t="s">
        <v>1054</v>
      </c>
      <c r="F1264" s="588" t="s">
        <v>1055</v>
      </c>
      <c r="G1264" s="776"/>
      <c r="H1264" s="599">
        <v>44762</v>
      </c>
      <c r="I1264" s="595">
        <f t="shared" si="103"/>
        <v>12552927.927927926</v>
      </c>
      <c r="J1264" s="595">
        <f t="shared" si="104"/>
        <v>1380822.072072072</v>
      </c>
      <c r="K1264" s="596">
        <f>1441050+5962750+6529950</f>
        <v>13933750</v>
      </c>
      <c r="L1264" s="597"/>
    </row>
    <row r="1265" spans="1:12" x14ac:dyDescent="0.2">
      <c r="A1265" s="316">
        <v>141</v>
      </c>
      <c r="B1265" s="591" t="s">
        <v>4313</v>
      </c>
      <c r="C1265" s="602" t="s">
        <v>4706</v>
      </c>
      <c r="D1265" s="603"/>
      <c r="E1265" s="604" t="s">
        <v>1716</v>
      </c>
      <c r="F1265" s="605" t="s">
        <v>1055</v>
      </c>
      <c r="G1265" s="776"/>
      <c r="H1265" s="606">
        <v>44762</v>
      </c>
      <c r="I1265" s="595">
        <f t="shared" si="103"/>
        <v>1155891.8918918918</v>
      </c>
      <c r="J1265" s="595">
        <f t="shared" si="104"/>
        <v>127148.10810810811</v>
      </c>
      <c r="K1265" s="596">
        <v>1283040</v>
      </c>
      <c r="L1265" s="597"/>
    </row>
    <row r="1266" spans="1:12" x14ac:dyDescent="0.2">
      <c r="A1266" s="316">
        <v>142</v>
      </c>
      <c r="B1266" s="591" t="s">
        <v>4314</v>
      </c>
      <c r="C1266" s="598" t="s">
        <v>4718</v>
      </c>
      <c r="D1266" s="586"/>
      <c r="E1266" s="587" t="s">
        <v>965</v>
      </c>
      <c r="F1266" s="588" t="s">
        <v>966</v>
      </c>
      <c r="G1266" s="776"/>
      <c r="H1266" s="599">
        <v>44762</v>
      </c>
      <c r="I1266" s="595">
        <f t="shared" si="103"/>
        <v>13247027.027027026</v>
      </c>
      <c r="J1266" s="595">
        <f t="shared" si="104"/>
        <v>1457172.9729729728</v>
      </c>
      <c r="K1266" s="596">
        <f>4687200+7308000+2709000</f>
        <v>14704200</v>
      </c>
      <c r="L1266" s="597"/>
    </row>
    <row r="1267" spans="1:12" x14ac:dyDescent="0.2">
      <c r="A1267" s="316">
        <v>143</v>
      </c>
      <c r="B1267" s="591" t="s">
        <v>4315</v>
      </c>
      <c r="C1267" s="598" t="s">
        <v>4707</v>
      </c>
      <c r="D1267" s="586"/>
      <c r="E1267" s="587" t="s">
        <v>974</v>
      </c>
      <c r="F1267" s="588" t="s">
        <v>975</v>
      </c>
      <c r="G1267" s="776"/>
      <c r="H1267" s="599">
        <v>44762</v>
      </c>
      <c r="I1267" s="595">
        <f t="shared" si="103"/>
        <v>2671351.351351351</v>
      </c>
      <c r="J1267" s="595">
        <f t="shared" si="104"/>
        <v>293848.64864864864</v>
      </c>
      <c r="K1267" s="596">
        <v>2965200</v>
      </c>
      <c r="L1267" s="597"/>
    </row>
    <row r="1268" spans="1:12" x14ac:dyDescent="0.2">
      <c r="A1268" s="316">
        <v>144</v>
      </c>
      <c r="B1268" s="591" t="s">
        <v>4316</v>
      </c>
      <c r="C1268" s="598" t="s">
        <v>4708</v>
      </c>
      <c r="D1268" s="586"/>
      <c r="E1268" s="587" t="s">
        <v>1842</v>
      </c>
      <c r="F1268" s="588" t="s">
        <v>971</v>
      </c>
      <c r="G1268" s="776"/>
      <c r="H1268" s="599">
        <v>44763</v>
      </c>
      <c r="I1268" s="595">
        <f t="shared" si="103"/>
        <v>6054054.0540540535</v>
      </c>
      <c r="J1268" s="595">
        <f t="shared" si="104"/>
        <v>665945.94594594592</v>
      </c>
      <c r="K1268" s="596">
        <v>6720000</v>
      </c>
      <c r="L1268" s="597"/>
    </row>
    <row r="1269" spans="1:12" x14ac:dyDescent="0.2">
      <c r="A1269" s="316">
        <v>145</v>
      </c>
      <c r="B1269" s="591" t="s">
        <v>4317</v>
      </c>
      <c r="C1269" s="598" t="s">
        <v>4709</v>
      </c>
      <c r="D1269" s="586"/>
      <c r="E1269" s="587" t="s">
        <v>995</v>
      </c>
      <c r="F1269" s="588" t="s">
        <v>996</v>
      </c>
      <c r="G1269" s="586"/>
      <c r="H1269" s="599">
        <v>44763</v>
      </c>
      <c r="I1269" s="595">
        <f t="shared" si="103"/>
        <v>5448648.6486486485</v>
      </c>
      <c r="J1269" s="595">
        <f t="shared" si="104"/>
        <v>599351.35135135136</v>
      </c>
      <c r="K1269" s="596">
        <v>6048000</v>
      </c>
      <c r="L1269" s="597"/>
    </row>
    <row r="1270" spans="1:12" x14ac:dyDescent="0.2">
      <c r="A1270" s="316">
        <v>146</v>
      </c>
      <c r="B1270" s="591" t="s">
        <v>4318</v>
      </c>
      <c r="C1270" s="602" t="s">
        <v>4730</v>
      </c>
      <c r="D1270" s="603"/>
      <c r="E1270" s="604" t="s">
        <v>992</v>
      </c>
      <c r="F1270" s="605" t="s">
        <v>583</v>
      </c>
      <c r="G1270" s="654"/>
      <c r="H1270" s="606">
        <v>44763</v>
      </c>
      <c r="I1270" s="595">
        <f t="shared" si="103"/>
        <v>4409756.7567567565</v>
      </c>
      <c r="J1270" s="595">
        <f t="shared" si="104"/>
        <v>485073.2432432432</v>
      </c>
      <c r="K1270" s="596">
        <f>3518640+1376190</f>
        <v>4894830</v>
      </c>
      <c r="L1270" s="597"/>
    </row>
    <row r="1271" spans="1:12" x14ac:dyDescent="0.2">
      <c r="A1271" s="316">
        <v>147</v>
      </c>
      <c r="B1271" s="591" t="s">
        <v>4319</v>
      </c>
      <c r="C1271" s="598" t="s">
        <v>4809</v>
      </c>
      <c r="D1271" s="586"/>
      <c r="E1271" s="587" t="s">
        <v>976</v>
      </c>
      <c r="F1271" s="588" t="s">
        <v>977</v>
      </c>
      <c r="G1271" s="586"/>
      <c r="H1271" s="599">
        <v>44764</v>
      </c>
      <c r="I1271" s="595">
        <f t="shared" si="103"/>
        <v>5563459.4594594594</v>
      </c>
      <c r="J1271" s="595">
        <f t="shared" si="104"/>
        <v>611980.54054054059</v>
      </c>
      <c r="K1271" s="596">
        <f>2656800+3518640</f>
        <v>6175440</v>
      </c>
      <c r="L1271" s="597"/>
    </row>
    <row r="1272" spans="1:12" x14ac:dyDescent="0.2">
      <c r="A1272" s="316">
        <v>148</v>
      </c>
      <c r="B1272" s="591" t="s">
        <v>4320</v>
      </c>
      <c r="C1272" s="598" t="s">
        <v>4716</v>
      </c>
      <c r="D1272" s="586"/>
      <c r="E1272" s="587" t="s">
        <v>1325</v>
      </c>
      <c r="F1272" s="588" t="s">
        <v>579</v>
      </c>
      <c r="G1272" s="586"/>
      <c r="H1272" s="599">
        <v>44764</v>
      </c>
      <c r="I1272" s="595">
        <f t="shared" si="103"/>
        <v>1761261.2612612611</v>
      </c>
      <c r="J1272" s="595">
        <f t="shared" si="104"/>
        <v>193738.73873873873</v>
      </c>
      <c r="K1272" s="596">
        <v>1955000</v>
      </c>
      <c r="L1272" s="597"/>
    </row>
    <row r="1273" spans="1:12" x14ac:dyDescent="0.2">
      <c r="A1273" s="316">
        <v>149</v>
      </c>
      <c r="B1273" s="591" t="s">
        <v>4321</v>
      </c>
      <c r="C1273" s="598" t="s">
        <v>4749</v>
      </c>
      <c r="D1273" s="586"/>
      <c r="E1273" s="587" t="s">
        <v>992</v>
      </c>
      <c r="F1273" s="588" t="s">
        <v>993</v>
      </c>
      <c r="G1273" s="586"/>
      <c r="H1273" s="599">
        <v>44765</v>
      </c>
      <c r="I1273" s="595">
        <f t="shared" si="103"/>
        <v>11670019.819819819</v>
      </c>
      <c r="J1273" s="595">
        <f t="shared" si="104"/>
        <v>1283702.1801801801</v>
      </c>
      <c r="K1273" s="596">
        <f>2654945+4695912+5602865</f>
        <v>12953722</v>
      </c>
      <c r="L1273" s="597"/>
    </row>
    <row r="1274" spans="1:12" x14ac:dyDescent="0.2">
      <c r="A1274" s="316">
        <v>150</v>
      </c>
      <c r="B1274" s="591" t="s">
        <v>4322</v>
      </c>
      <c r="C1274" s="598" t="s">
        <v>4740</v>
      </c>
      <c r="D1274" s="586"/>
      <c r="E1274" s="587" t="s">
        <v>992</v>
      </c>
      <c r="F1274" s="588" t="s">
        <v>673</v>
      </c>
      <c r="G1274" s="586"/>
      <c r="H1274" s="599">
        <v>44765</v>
      </c>
      <c r="I1274" s="595">
        <f t="shared" si="103"/>
        <v>22077117.117117114</v>
      </c>
      <c r="J1274" s="595">
        <f t="shared" si="104"/>
        <v>2428482.8828828824</v>
      </c>
      <c r="K1274" s="596">
        <f>1575000+2998800+19931800</f>
        <v>24505600</v>
      </c>
      <c r="L1274" s="597"/>
    </row>
    <row r="1275" spans="1:12" x14ac:dyDescent="0.2">
      <c r="A1275" s="316">
        <v>151</v>
      </c>
      <c r="B1275" s="591" t="s">
        <v>4323</v>
      </c>
      <c r="C1275" s="598" t="s">
        <v>4719</v>
      </c>
      <c r="D1275" s="586"/>
      <c r="E1275" s="587" t="s">
        <v>1738</v>
      </c>
      <c r="F1275" s="588" t="s">
        <v>1055</v>
      </c>
      <c r="G1275" s="586"/>
      <c r="H1275" s="599">
        <v>44765</v>
      </c>
      <c r="I1275" s="595">
        <f t="shared" si="103"/>
        <v>2962702.7027027025</v>
      </c>
      <c r="J1275" s="595">
        <f t="shared" si="104"/>
        <v>325897.29729729728</v>
      </c>
      <c r="K1275" s="596">
        <v>3288600</v>
      </c>
      <c r="L1275" s="597"/>
    </row>
    <row r="1276" spans="1:12" x14ac:dyDescent="0.2">
      <c r="A1276" s="316">
        <v>152</v>
      </c>
      <c r="B1276" s="591" t="s">
        <v>4637</v>
      </c>
      <c r="C1276" s="598" t="s">
        <v>4720</v>
      </c>
      <c r="D1276" s="586"/>
      <c r="E1276" s="587" t="s">
        <v>1315</v>
      </c>
      <c r="F1276" s="588" t="s">
        <v>966</v>
      </c>
      <c r="G1276" s="776"/>
      <c r="H1276" s="599">
        <v>44767</v>
      </c>
      <c r="I1276" s="595">
        <f t="shared" si="101"/>
        <v>47214486.48648648</v>
      </c>
      <c r="J1276" s="595">
        <f t="shared" si="102"/>
        <v>5193593.5135135129</v>
      </c>
      <c r="K1276" s="596">
        <f>18645120+7324560+26438400</f>
        <v>52408080</v>
      </c>
      <c r="L1276" s="597"/>
    </row>
    <row r="1277" spans="1:12" x14ac:dyDescent="0.2">
      <c r="A1277" s="316">
        <v>153</v>
      </c>
      <c r="B1277" s="591" t="s">
        <v>4638</v>
      </c>
      <c r="C1277" s="598" t="s">
        <v>4721</v>
      </c>
      <c r="D1277" s="586"/>
      <c r="E1277" s="587" t="s">
        <v>2585</v>
      </c>
      <c r="F1277" s="588" t="s">
        <v>587</v>
      </c>
      <c r="G1277" s="761"/>
      <c r="H1277" s="599">
        <v>44767</v>
      </c>
      <c r="I1277" s="595">
        <f t="shared" si="101"/>
        <v>40540.54054054054</v>
      </c>
      <c r="J1277" s="595">
        <f t="shared" si="102"/>
        <v>4459.4594594594591</v>
      </c>
      <c r="K1277" s="596">
        <v>45000</v>
      </c>
      <c r="L1277" s="597"/>
    </row>
    <row r="1278" spans="1:12" x14ac:dyDescent="0.2">
      <c r="A1278" s="316">
        <v>154</v>
      </c>
      <c r="B1278" s="591" t="s">
        <v>4639</v>
      </c>
      <c r="C1278" s="598" t="s">
        <v>4722</v>
      </c>
      <c r="D1278" s="586"/>
      <c r="E1278" s="587" t="s">
        <v>2792</v>
      </c>
      <c r="F1278" s="588" t="s">
        <v>587</v>
      </c>
      <c r="G1278" s="776"/>
      <c r="H1278" s="599">
        <v>44767</v>
      </c>
      <c r="I1278" s="595">
        <f t="shared" si="101"/>
        <v>166486.48648648648</v>
      </c>
      <c r="J1278" s="595">
        <f t="shared" si="102"/>
        <v>18313.513513513513</v>
      </c>
      <c r="K1278" s="596">
        <v>184800</v>
      </c>
      <c r="L1278" s="597"/>
    </row>
    <row r="1279" spans="1:12" x14ac:dyDescent="0.2">
      <c r="A1279" s="316">
        <v>155</v>
      </c>
      <c r="B1279" s="591" t="s">
        <v>4640</v>
      </c>
      <c r="C1279" s="598" t="s">
        <v>4723</v>
      </c>
      <c r="D1279" s="586"/>
      <c r="E1279" s="587" t="s">
        <v>1787</v>
      </c>
      <c r="F1279" s="588" t="s">
        <v>1788</v>
      </c>
      <c r="G1279" s="776"/>
      <c r="H1279" s="599">
        <v>44767</v>
      </c>
      <c r="I1279" s="595">
        <f t="shared" si="101"/>
        <v>1593243.2432432431</v>
      </c>
      <c r="J1279" s="595">
        <f t="shared" si="102"/>
        <v>175256.75675675675</v>
      </c>
      <c r="K1279" s="596">
        <v>1768500</v>
      </c>
      <c r="L1279" s="597"/>
    </row>
    <row r="1280" spans="1:12" x14ac:dyDescent="0.2">
      <c r="A1280" s="316">
        <v>156</v>
      </c>
      <c r="B1280" s="591" t="s">
        <v>4641</v>
      </c>
      <c r="C1280" s="598" t="s">
        <v>4724</v>
      </c>
      <c r="D1280" s="586"/>
      <c r="E1280" s="587" t="s">
        <v>1126</v>
      </c>
      <c r="F1280" s="588" t="s">
        <v>1127</v>
      </c>
      <c r="G1280" s="761"/>
      <c r="H1280" s="599">
        <v>44767</v>
      </c>
      <c r="I1280" s="595">
        <f t="shared" si="101"/>
        <v>5108108.1081081079</v>
      </c>
      <c r="J1280" s="595">
        <f t="shared" si="102"/>
        <v>561891.89189189184</v>
      </c>
      <c r="K1280" s="596">
        <v>5670000</v>
      </c>
      <c r="L1280" s="597"/>
    </row>
    <row r="1281" spans="1:12" x14ac:dyDescent="0.2">
      <c r="A1281" s="316">
        <v>157</v>
      </c>
      <c r="B1281" s="591" t="s">
        <v>4642</v>
      </c>
      <c r="C1281" s="598" t="s">
        <v>4753</v>
      </c>
      <c r="D1281" s="586"/>
      <c r="E1281" s="587" t="s">
        <v>986</v>
      </c>
      <c r="F1281" s="588" t="s">
        <v>980</v>
      </c>
      <c r="G1281" s="776"/>
      <c r="H1281" s="599">
        <v>44767</v>
      </c>
      <c r="I1281" s="595">
        <f t="shared" si="101"/>
        <v>2935459.4594594594</v>
      </c>
      <c r="J1281" s="595">
        <f t="shared" si="102"/>
        <v>322900.54054054053</v>
      </c>
      <c r="K1281" s="596">
        <f>721440+777600+1759320</f>
        <v>3258360</v>
      </c>
      <c r="L1281" s="597"/>
    </row>
    <row r="1282" spans="1:12" x14ac:dyDescent="0.2">
      <c r="A1282" s="316">
        <v>158</v>
      </c>
      <c r="B1282" s="591" t="s">
        <v>4643</v>
      </c>
      <c r="C1282" s="602" t="s">
        <v>4773</v>
      </c>
      <c r="D1282" s="603"/>
      <c r="E1282" s="604" t="s">
        <v>1090</v>
      </c>
      <c r="F1282" s="605" t="s">
        <v>606</v>
      </c>
      <c r="G1282" s="776"/>
      <c r="H1282" s="606">
        <v>44767</v>
      </c>
      <c r="I1282" s="595">
        <f t="shared" si="101"/>
        <v>6484774.774774774</v>
      </c>
      <c r="J1282" s="595">
        <f t="shared" si="102"/>
        <v>713325.22522522509</v>
      </c>
      <c r="K1282" s="596">
        <f>1452500+3950100+1795500</f>
        <v>7198100</v>
      </c>
      <c r="L1282" s="597"/>
    </row>
    <row r="1283" spans="1:12" x14ac:dyDescent="0.2">
      <c r="A1283" s="316">
        <v>159</v>
      </c>
      <c r="B1283" s="591" t="s">
        <v>4644</v>
      </c>
      <c r="C1283" s="598" t="s">
        <v>4728</v>
      </c>
      <c r="D1283" s="586"/>
      <c r="E1283" s="593" t="s">
        <v>2415</v>
      </c>
      <c r="F1283" s="593" t="s">
        <v>590</v>
      </c>
      <c r="G1283" s="761"/>
      <c r="H1283" s="599">
        <v>44767</v>
      </c>
      <c r="I1283" s="595">
        <f t="shared" si="101"/>
        <v>162162.16216216216</v>
      </c>
      <c r="J1283" s="595">
        <f t="shared" si="102"/>
        <v>17837.837837837837</v>
      </c>
      <c r="K1283" s="596">
        <v>180000</v>
      </c>
      <c r="L1283" s="597"/>
    </row>
    <row r="1284" spans="1:12" x14ac:dyDescent="0.2">
      <c r="A1284" s="316">
        <v>160</v>
      </c>
      <c r="B1284" s="591" t="s">
        <v>4645</v>
      </c>
      <c r="C1284" s="598" t="s">
        <v>4799</v>
      </c>
      <c r="D1284" s="586"/>
      <c r="E1284" s="587" t="s">
        <v>1068</v>
      </c>
      <c r="F1284" s="588" t="s">
        <v>1058</v>
      </c>
      <c r="G1284" s="776"/>
      <c r="H1284" s="599">
        <v>44767</v>
      </c>
      <c r="I1284" s="595">
        <f t="shared" si="101"/>
        <v>8354594.5945945941</v>
      </c>
      <c r="J1284" s="595">
        <f t="shared" si="102"/>
        <v>919005.40540540533</v>
      </c>
      <c r="K1284" s="596">
        <f>1496250+1653750+6123600</f>
        <v>9273600</v>
      </c>
      <c r="L1284" s="597"/>
    </row>
    <row r="1285" spans="1:12" x14ac:dyDescent="0.2">
      <c r="A1285" s="316">
        <v>161</v>
      </c>
      <c r="B1285" s="591" t="s">
        <v>4646</v>
      </c>
      <c r="C1285" s="598" t="s">
        <v>4815</v>
      </c>
      <c r="D1285" s="586"/>
      <c r="E1285" s="587" t="s">
        <v>1082</v>
      </c>
      <c r="F1285" s="588" t="s">
        <v>1058</v>
      </c>
      <c r="G1285" s="776"/>
      <c r="H1285" s="599">
        <v>44767</v>
      </c>
      <c r="I1285" s="595">
        <f t="shared" si="101"/>
        <v>6124054.0540540535</v>
      </c>
      <c r="J1285" s="595">
        <f t="shared" si="102"/>
        <v>673645.94594594592</v>
      </c>
      <c r="K1285" s="596">
        <f>1496250+5301450</f>
        <v>6797700</v>
      </c>
      <c r="L1285" s="597"/>
    </row>
    <row r="1286" spans="1:12" x14ac:dyDescent="0.2">
      <c r="A1286" s="316">
        <v>162</v>
      </c>
      <c r="B1286" s="591" t="s">
        <v>4647</v>
      </c>
      <c r="C1286" s="598" t="s">
        <v>4734</v>
      </c>
      <c r="D1286" s="586"/>
      <c r="E1286" s="587" t="s">
        <v>1317</v>
      </c>
      <c r="F1286" s="588" t="s">
        <v>966</v>
      </c>
      <c r="G1286" s="761"/>
      <c r="H1286" s="599">
        <v>44769</v>
      </c>
      <c r="I1286" s="595">
        <f t="shared" si="101"/>
        <v>16340270.270270269</v>
      </c>
      <c r="J1286" s="595">
        <f t="shared" si="102"/>
        <v>1797429.7297297297</v>
      </c>
      <c r="K1286" s="596">
        <f>6911100+5745600+5481000</f>
        <v>18137700</v>
      </c>
      <c r="L1286" s="597"/>
    </row>
    <row r="1287" spans="1:12" x14ac:dyDescent="0.2">
      <c r="A1287" s="316">
        <v>163</v>
      </c>
      <c r="B1287" s="591" t="s">
        <v>4648</v>
      </c>
      <c r="C1287" s="598" t="s">
        <v>4736</v>
      </c>
      <c r="D1287" s="586"/>
      <c r="E1287" s="587" t="s">
        <v>965</v>
      </c>
      <c r="F1287" s="588" t="s">
        <v>966</v>
      </c>
      <c r="G1287" s="776"/>
      <c r="H1287" s="599">
        <v>44769</v>
      </c>
      <c r="I1287" s="595">
        <f t="shared" si="101"/>
        <v>52627702.702702701</v>
      </c>
      <c r="J1287" s="595">
        <f t="shared" si="102"/>
        <v>5789047.297297297</v>
      </c>
      <c r="K1287" s="596">
        <f>24783150+995400+22211700+10426500</f>
        <v>58416750</v>
      </c>
      <c r="L1287" s="597"/>
    </row>
    <row r="1288" spans="1:12" x14ac:dyDescent="0.2">
      <c r="A1288" s="316">
        <v>164</v>
      </c>
      <c r="B1288" s="591" t="s">
        <v>4649</v>
      </c>
      <c r="C1288" s="598" t="s">
        <v>4758</v>
      </c>
      <c r="D1288" s="586"/>
      <c r="E1288" s="587" t="s">
        <v>1029</v>
      </c>
      <c r="F1288" s="588" t="s">
        <v>966</v>
      </c>
      <c r="G1288" s="776"/>
      <c r="H1288" s="599">
        <v>44769</v>
      </c>
      <c r="I1288" s="595">
        <f t="shared" si="101"/>
        <v>43614459.459459454</v>
      </c>
      <c r="J1288" s="595">
        <f t="shared" si="102"/>
        <v>4797590.5405405397</v>
      </c>
      <c r="K1288" s="596">
        <f>22589700+25822350</f>
        <v>48412050</v>
      </c>
      <c r="L1288" s="597"/>
    </row>
    <row r="1289" spans="1:12" x14ac:dyDescent="0.2">
      <c r="A1289" s="316">
        <v>165</v>
      </c>
      <c r="B1289" s="591" t="s">
        <v>4650</v>
      </c>
      <c r="C1289" s="598" t="s">
        <v>4759</v>
      </c>
      <c r="D1289" s="586"/>
      <c r="E1289" s="587" t="s">
        <v>2583</v>
      </c>
      <c r="F1289" s="588" t="s">
        <v>966</v>
      </c>
      <c r="G1289" s="761"/>
      <c r="H1289" s="599">
        <v>44769</v>
      </c>
      <c r="I1289" s="595">
        <f t="shared" si="101"/>
        <v>11777027.027027026</v>
      </c>
      <c r="J1289" s="595">
        <f t="shared" si="102"/>
        <v>1295472.9729729728</v>
      </c>
      <c r="K1289" s="596">
        <f>8536500+4536000</f>
        <v>13072500</v>
      </c>
      <c r="L1289" s="597"/>
    </row>
    <row r="1290" spans="1:12" x14ac:dyDescent="0.2">
      <c r="A1290" s="316">
        <v>166</v>
      </c>
      <c r="B1290" s="591" t="s">
        <v>4651</v>
      </c>
      <c r="C1290" s="598" t="s">
        <v>4800</v>
      </c>
      <c r="D1290" s="586"/>
      <c r="E1290" s="587" t="s">
        <v>1063</v>
      </c>
      <c r="F1290" s="588" t="s">
        <v>993</v>
      </c>
      <c r="G1290" s="776"/>
      <c r="H1290" s="599">
        <v>44769</v>
      </c>
      <c r="I1290" s="595">
        <f t="shared" si="101"/>
        <v>7696216.2162162159</v>
      </c>
      <c r="J1290" s="595">
        <f t="shared" si="102"/>
        <v>846583.78378378379</v>
      </c>
      <c r="K1290" s="596">
        <f>2419200+6123600</f>
        <v>8542800</v>
      </c>
      <c r="L1290" s="597"/>
    </row>
    <row r="1291" spans="1:12" x14ac:dyDescent="0.2">
      <c r="A1291" s="316">
        <v>167</v>
      </c>
      <c r="B1291" s="591" t="s">
        <v>4652</v>
      </c>
      <c r="C1291" s="598" t="s">
        <v>4741</v>
      </c>
      <c r="D1291" s="586"/>
      <c r="E1291" s="587" t="s">
        <v>1037</v>
      </c>
      <c r="F1291" s="588" t="s">
        <v>1038</v>
      </c>
      <c r="G1291" s="776"/>
      <c r="H1291" s="599">
        <v>44769</v>
      </c>
      <c r="I1291" s="595">
        <f t="shared" si="101"/>
        <v>1313693.6936936935</v>
      </c>
      <c r="J1291" s="595">
        <f t="shared" si="102"/>
        <v>144506.30630630627</v>
      </c>
      <c r="K1291" s="596">
        <v>1458200</v>
      </c>
      <c r="L1291" s="597"/>
    </row>
    <row r="1292" spans="1:12" x14ac:dyDescent="0.2">
      <c r="A1292" s="316">
        <v>168</v>
      </c>
      <c r="B1292" s="591" t="s">
        <v>4653</v>
      </c>
      <c r="C1292" s="598" t="s">
        <v>4742</v>
      </c>
      <c r="D1292" s="586"/>
      <c r="E1292" s="587" t="s">
        <v>972</v>
      </c>
      <c r="F1292" s="588" t="s">
        <v>966</v>
      </c>
      <c r="G1292" s="761"/>
      <c r="H1292" s="599">
        <v>44771</v>
      </c>
      <c r="I1292" s="595">
        <f t="shared" si="101"/>
        <v>11700405.405405404</v>
      </c>
      <c r="J1292" s="595">
        <f t="shared" si="102"/>
        <v>1287044.5945945946</v>
      </c>
      <c r="K1292" s="596">
        <f>2995650+9991800</f>
        <v>12987450</v>
      </c>
      <c r="L1292" s="597"/>
    </row>
    <row r="1293" spans="1:12" x14ac:dyDescent="0.2">
      <c r="A1293" s="316">
        <v>169</v>
      </c>
      <c r="B1293" s="591" t="s">
        <v>4654</v>
      </c>
      <c r="C1293" s="602" t="s">
        <v>4760</v>
      </c>
      <c r="D1293" s="603"/>
      <c r="E1293" s="604" t="s">
        <v>969</v>
      </c>
      <c r="F1293" s="605" t="s">
        <v>966</v>
      </c>
      <c r="G1293" s="776"/>
      <c r="H1293" s="606">
        <v>44770</v>
      </c>
      <c r="I1293" s="595">
        <f t="shared" si="101"/>
        <v>40110000</v>
      </c>
      <c r="J1293" s="595">
        <f t="shared" si="102"/>
        <v>4412100</v>
      </c>
      <c r="K1293" s="596">
        <f>11031300+26686800+6804000</f>
        <v>44522100</v>
      </c>
      <c r="L1293" s="597"/>
    </row>
    <row r="1294" spans="1:12" x14ac:dyDescent="0.2">
      <c r="A1294" s="316">
        <v>170</v>
      </c>
      <c r="B1294" s="591" t="s">
        <v>4655</v>
      </c>
      <c r="C1294" s="598" t="s">
        <v>4743</v>
      </c>
      <c r="D1294" s="586"/>
      <c r="E1294" s="593" t="s">
        <v>1315</v>
      </c>
      <c r="F1294" s="593" t="s">
        <v>966</v>
      </c>
      <c r="G1294" s="776"/>
      <c r="H1294" s="599">
        <v>44770</v>
      </c>
      <c r="I1294" s="595">
        <f t="shared" si="101"/>
        <v>6742702.702702702</v>
      </c>
      <c r="J1294" s="595">
        <f t="shared" si="102"/>
        <v>741697.29729729728</v>
      </c>
      <c r="K1294" s="596">
        <v>7484400</v>
      </c>
      <c r="L1294" s="597"/>
    </row>
    <row r="1295" spans="1:12" x14ac:dyDescent="0.2">
      <c r="A1295" s="316">
        <v>171</v>
      </c>
      <c r="B1295" s="591" t="s">
        <v>4656</v>
      </c>
      <c r="C1295" s="598" t="s">
        <v>4805</v>
      </c>
      <c r="D1295" s="586"/>
      <c r="E1295" s="587" t="s">
        <v>981</v>
      </c>
      <c r="F1295" s="588" t="s">
        <v>980</v>
      </c>
      <c r="G1295" s="761"/>
      <c r="H1295" s="599">
        <v>44770</v>
      </c>
      <c r="I1295" s="595">
        <f t="shared" si="101"/>
        <v>25353264.864864863</v>
      </c>
      <c r="J1295" s="595">
        <f t="shared" si="102"/>
        <v>2788859.1351351351</v>
      </c>
      <c r="K1295" s="596">
        <f>6687360+21454764</f>
        <v>28142124</v>
      </c>
      <c r="L1295" s="597"/>
    </row>
    <row r="1296" spans="1:12" x14ac:dyDescent="0.2">
      <c r="A1296" s="316">
        <v>172</v>
      </c>
      <c r="B1296" s="591" t="s">
        <v>4657</v>
      </c>
      <c r="C1296" s="598" t="s">
        <v>4745</v>
      </c>
      <c r="D1296" s="586"/>
      <c r="E1296" s="587" t="s">
        <v>1753</v>
      </c>
      <c r="F1296" s="588" t="s">
        <v>1019</v>
      </c>
      <c r="G1296" s="776"/>
      <c r="H1296" s="599">
        <v>44770</v>
      </c>
      <c r="I1296" s="595">
        <f t="shared" si="101"/>
        <v>2026216.2162162161</v>
      </c>
      <c r="J1296" s="595">
        <f t="shared" si="102"/>
        <v>222883.78378378376</v>
      </c>
      <c r="K1296" s="596">
        <v>2249100</v>
      </c>
      <c r="L1296" s="597"/>
    </row>
    <row r="1297" spans="1:12" x14ac:dyDescent="0.2">
      <c r="A1297" s="316">
        <v>173</v>
      </c>
      <c r="B1297" s="591" t="s">
        <v>4658</v>
      </c>
      <c r="C1297" s="598" t="s">
        <v>4746</v>
      </c>
      <c r="D1297" s="586"/>
      <c r="E1297" s="587" t="s">
        <v>1089</v>
      </c>
      <c r="F1297" s="588" t="s">
        <v>1055</v>
      </c>
      <c r="G1297" s="776"/>
      <c r="H1297" s="599">
        <v>44770</v>
      </c>
      <c r="I1297" s="595">
        <f t="shared" si="101"/>
        <v>799999.99999999988</v>
      </c>
      <c r="J1297" s="595">
        <f t="shared" si="102"/>
        <v>87999.999999999985</v>
      </c>
      <c r="K1297" s="596">
        <v>888000</v>
      </c>
      <c r="L1297" s="597"/>
    </row>
    <row r="1298" spans="1:12" x14ac:dyDescent="0.2">
      <c r="A1298" s="316">
        <v>174</v>
      </c>
      <c r="B1298" s="591" t="s">
        <v>4659</v>
      </c>
      <c r="C1298" s="598" t="s">
        <v>4747</v>
      </c>
      <c r="D1298" s="586"/>
      <c r="E1298" s="587" t="s">
        <v>4748</v>
      </c>
      <c r="F1298" s="588" t="s">
        <v>590</v>
      </c>
      <c r="G1298" s="761"/>
      <c r="H1298" s="599">
        <v>44768</v>
      </c>
      <c r="I1298" s="595">
        <f t="shared" si="101"/>
        <v>337837.83783783781</v>
      </c>
      <c r="J1298" s="595">
        <f t="shared" si="102"/>
        <v>37162.16216216216</v>
      </c>
      <c r="K1298" s="596">
        <v>375000</v>
      </c>
      <c r="L1298" s="597"/>
    </row>
    <row r="1299" spans="1:12" x14ac:dyDescent="0.2">
      <c r="A1299" s="316">
        <v>175</v>
      </c>
      <c r="B1299" s="591" t="s">
        <v>4660</v>
      </c>
      <c r="C1299" s="598" t="s">
        <v>4820</v>
      </c>
      <c r="D1299" s="586"/>
      <c r="E1299" s="587" t="s">
        <v>1087</v>
      </c>
      <c r="F1299" s="588" t="s">
        <v>1047</v>
      </c>
      <c r="G1299" s="776"/>
      <c r="H1299" s="599">
        <v>44771</v>
      </c>
      <c r="I1299" s="595">
        <f t="shared" si="101"/>
        <v>6217702.702702702</v>
      </c>
      <c r="J1299" s="595">
        <f t="shared" si="102"/>
        <v>683947.29729729728</v>
      </c>
      <c r="K1299" s="596">
        <f>3480750+3420900</f>
        <v>6901650</v>
      </c>
      <c r="L1299" s="597"/>
    </row>
    <row r="1300" spans="1:12" x14ac:dyDescent="0.2">
      <c r="A1300" s="316">
        <v>176</v>
      </c>
      <c r="B1300" s="591" t="s">
        <v>4661</v>
      </c>
      <c r="C1300" s="598" t="s">
        <v>4754</v>
      </c>
      <c r="D1300" s="586"/>
      <c r="E1300" s="587" t="s">
        <v>4755</v>
      </c>
      <c r="F1300" s="588" t="s">
        <v>993</v>
      </c>
      <c r="G1300" s="776"/>
      <c r="H1300" s="599">
        <v>44771</v>
      </c>
      <c r="I1300" s="595">
        <f t="shared" si="101"/>
        <v>60810.810810810806</v>
      </c>
      <c r="J1300" s="595">
        <f t="shared" si="102"/>
        <v>6689.1891891891892</v>
      </c>
      <c r="K1300" s="596">
        <v>67500</v>
      </c>
      <c r="L1300" s="597"/>
    </row>
    <row r="1301" spans="1:12" x14ac:dyDescent="0.2">
      <c r="A1301" s="316">
        <v>177</v>
      </c>
      <c r="B1301" s="591" t="s">
        <v>4662</v>
      </c>
      <c r="C1301" s="598" t="s">
        <v>4756</v>
      </c>
      <c r="D1301" s="586"/>
      <c r="E1301" s="587" t="s">
        <v>1007</v>
      </c>
      <c r="F1301" s="588" t="s">
        <v>1008</v>
      </c>
      <c r="G1301" s="761"/>
      <c r="H1301" s="599">
        <v>44771</v>
      </c>
      <c r="I1301" s="595">
        <f t="shared" si="101"/>
        <v>1707648.6486486485</v>
      </c>
      <c r="J1301" s="595">
        <f t="shared" si="102"/>
        <v>187841.35135135133</v>
      </c>
      <c r="K1301" s="596">
        <v>1895490</v>
      </c>
      <c r="L1301" s="597"/>
    </row>
    <row r="1302" spans="1:12" x14ac:dyDescent="0.2">
      <c r="A1302" s="316">
        <v>178</v>
      </c>
      <c r="B1302" s="591" t="s">
        <v>4663</v>
      </c>
      <c r="C1302" s="598" t="s">
        <v>4757</v>
      </c>
      <c r="D1302" s="586"/>
      <c r="E1302" s="587" t="s">
        <v>965</v>
      </c>
      <c r="F1302" s="588" t="s">
        <v>966</v>
      </c>
      <c r="G1302" s="776"/>
      <c r="H1302" s="599">
        <v>44771</v>
      </c>
      <c r="I1302" s="595">
        <f t="shared" si="101"/>
        <v>23885828.828828827</v>
      </c>
      <c r="J1302" s="595">
        <f t="shared" si="102"/>
        <v>2627441.1711711711</v>
      </c>
      <c r="K1302" s="596">
        <v>26513270</v>
      </c>
      <c r="L1302" s="597"/>
    </row>
    <row r="1303" spans="1:12" x14ac:dyDescent="0.2">
      <c r="A1303" s="316">
        <v>179</v>
      </c>
      <c r="B1303" s="591" t="s">
        <v>4664</v>
      </c>
      <c r="C1303" s="598" t="s">
        <v>4761</v>
      </c>
      <c r="D1303" s="586"/>
      <c r="E1303" s="587" t="s">
        <v>1317</v>
      </c>
      <c r="F1303" s="588" t="s">
        <v>966</v>
      </c>
      <c r="G1303" s="776"/>
      <c r="H1303" s="599">
        <v>44771</v>
      </c>
      <c r="I1303" s="595">
        <f t="shared" si="101"/>
        <v>10602004.504504504</v>
      </c>
      <c r="J1303" s="595">
        <f t="shared" si="102"/>
        <v>1166220.4954954954</v>
      </c>
      <c r="K1303" s="596">
        <f>7756175+4012050</f>
        <v>11768225</v>
      </c>
      <c r="L1303" s="597"/>
    </row>
    <row r="1304" spans="1:12" x14ac:dyDescent="0.2">
      <c r="A1304" s="316">
        <v>180</v>
      </c>
      <c r="B1304" s="591" t="s">
        <v>4665</v>
      </c>
      <c r="C1304" s="602" t="s">
        <v>4763</v>
      </c>
      <c r="D1304" s="603"/>
      <c r="E1304" s="604" t="s">
        <v>1016</v>
      </c>
      <c r="F1304" s="605" t="s">
        <v>1017</v>
      </c>
      <c r="G1304" s="761"/>
      <c r="H1304" s="606">
        <v>44761</v>
      </c>
      <c r="I1304" s="595">
        <f t="shared" ref="I1304:I1347" si="105">K1304/1.11</f>
        <v>1327477.4774774774</v>
      </c>
      <c r="J1304" s="595">
        <f t="shared" ref="J1304:J1347" si="106">I1304*11%</f>
        <v>146022.52252252251</v>
      </c>
      <c r="K1304" s="596">
        <v>1473500</v>
      </c>
      <c r="L1304" s="597"/>
    </row>
    <row r="1305" spans="1:12" x14ac:dyDescent="0.2">
      <c r="A1305" s="316">
        <v>181</v>
      </c>
      <c r="B1305" s="591" t="s">
        <v>4666</v>
      </c>
      <c r="C1305" s="598" t="s">
        <v>4764</v>
      </c>
      <c r="D1305" s="586"/>
      <c r="E1305" s="593" t="s">
        <v>1750</v>
      </c>
      <c r="F1305" s="593" t="s">
        <v>1328</v>
      </c>
      <c r="G1305" s="776"/>
      <c r="H1305" s="599">
        <v>44761</v>
      </c>
      <c r="I1305" s="595">
        <f t="shared" si="105"/>
        <v>782297.29729729728</v>
      </c>
      <c r="J1305" s="595">
        <f t="shared" si="106"/>
        <v>86052.702702702707</v>
      </c>
      <c r="K1305" s="596">
        <v>868350</v>
      </c>
      <c r="L1305" s="597"/>
    </row>
    <row r="1306" spans="1:12" x14ac:dyDescent="0.2">
      <c r="A1306" s="316">
        <v>182</v>
      </c>
      <c r="B1306" s="591" t="s">
        <v>4667</v>
      </c>
      <c r="C1306" s="598" t="s">
        <v>4765</v>
      </c>
      <c r="D1306" s="586"/>
      <c r="E1306" s="587" t="s">
        <v>1083</v>
      </c>
      <c r="F1306" s="588" t="s">
        <v>1084</v>
      </c>
      <c r="G1306" s="776"/>
      <c r="H1306" s="599">
        <v>44762</v>
      </c>
      <c r="I1306" s="595">
        <f t="shared" si="105"/>
        <v>761837.83783783775</v>
      </c>
      <c r="J1306" s="595">
        <f t="shared" si="106"/>
        <v>83802.16216216216</v>
      </c>
      <c r="K1306" s="596">
        <v>845640</v>
      </c>
      <c r="L1306" s="597"/>
    </row>
    <row r="1307" spans="1:12" x14ac:dyDescent="0.2">
      <c r="A1307" s="316">
        <v>183</v>
      </c>
      <c r="B1307" s="591" t="s">
        <v>4668</v>
      </c>
      <c r="C1307" s="598" t="s">
        <v>4766</v>
      </c>
      <c r="D1307" s="586"/>
      <c r="E1307" s="587" t="s">
        <v>1032</v>
      </c>
      <c r="F1307" s="588" t="s">
        <v>1033</v>
      </c>
      <c r="G1307" s="761"/>
      <c r="H1307" s="599">
        <v>44763</v>
      </c>
      <c r="I1307" s="595">
        <f t="shared" si="105"/>
        <v>1486486.4864864864</v>
      </c>
      <c r="J1307" s="595">
        <f t="shared" si="106"/>
        <v>163513.51351351349</v>
      </c>
      <c r="K1307" s="596">
        <v>1650000</v>
      </c>
      <c r="L1307" s="597"/>
    </row>
    <row r="1308" spans="1:12" x14ac:dyDescent="0.2">
      <c r="A1308" s="316">
        <v>184</v>
      </c>
      <c r="B1308" s="591" t="s">
        <v>4669</v>
      </c>
      <c r="C1308" s="598" t="s">
        <v>4767</v>
      </c>
      <c r="D1308" s="586"/>
      <c r="E1308" s="587" t="s">
        <v>2367</v>
      </c>
      <c r="F1308" s="588" t="s">
        <v>2368</v>
      </c>
      <c r="G1308" s="776"/>
      <c r="H1308" s="599">
        <v>44763</v>
      </c>
      <c r="I1308" s="595">
        <f t="shared" si="105"/>
        <v>477477.47747747746</v>
      </c>
      <c r="J1308" s="595">
        <f t="shared" si="106"/>
        <v>52522.522522522522</v>
      </c>
      <c r="K1308" s="596">
        <v>530000</v>
      </c>
      <c r="L1308" s="597"/>
    </row>
    <row r="1309" spans="1:12" x14ac:dyDescent="0.2">
      <c r="A1309" s="316">
        <v>185</v>
      </c>
      <c r="B1309" s="591" t="s">
        <v>4670</v>
      </c>
      <c r="C1309" s="598" t="s">
        <v>4768</v>
      </c>
      <c r="D1309" s="586"/>
      <c r="E1309" s="587" t="s">
        <v>4769</v>
      </c>
      <c r="F1309" s="588" t="s">
        <v>1130</v>
      </c>
      <c r="G1309" s="776"/>
      <c r="H1309" s="599">
        <v>44763</v>
      </c>
      <c r="I1309" s="595">
        <f t="shared" si="105"/>
        <v>2043243.2432432431</v>
      </c>
      <c r="J1309" s="595">
        <f t="shared" si="106"/>
        <v>224756.75675675675</v>
      </c>
      <c r="K1309" s="596">
        <v>2268000</v>
      </c>
      <c r="L1309" s="597"/>
    </row>
    <row r="1310" spans="1:12" x14ac:dyDescent="0.2">
      <c r="A1310" s="316">
        <v>186</v>
      </c>
      <c r="B1310" s="591" t="s">
        <v>4671</v>
      </c>
      <c r="C1310" s="598" t="s">
        <v>4771</v>
      </c>
      <c r="D1310" s="586"/>
      <c r="E1310" s="587" t="s">
        <v>4772</v>
      </c>
      <c r="F1310" s="588" t="s">
        <v>2406</v>
      </c>
      <c r="G1310" s="761"/>
      <c r="H1310" s="599">
        <v>44764</v>
      </c>
      <c r="I1310" s="595">
        <f t="shared" si="105"/>
        <v>596396.39639639633</v>
      </c>
      <c r="J1310" s="595">
        <f t="shared" si="106"/>
        <v>65603.603603603595</v>
      </c>
      <c r="K1310" s="596">
        <v>662000</v>
      </c>
      <c r="L1310" s="597"/>
    </row>
    <row r="1311" spans="1:12" x14ac:dyDescent="0.2">
      <c r="A1311" s="316">
        <v>187</v>
      </c>
      <c r="B1311" s="591" t="s">
        <v>4672</v>
      </c>
      <c r="C1311" s="598" t="s">
        <v>4813</v>
      </c>
      <c r="D1311" s="586"/>
      <c r="E1311" s="587" t="s">
        <v>978</v>
      </c>
      <c r="F1311" s="588" t="s">
        <v>590</v>
      </c>
      <c r="G1311" s="776"/>
      <c r="H1311" s="599">
        <v>44765</v>
      </c>
      <c r="I1311" s="595">
        <f t="shared" si="105"/>
        <v>6619675.6756756753</v>
      </c>
      <c r="J1311" s="595">
        <f t="shared" si="106"/>
        <v>728164.32432432426</v>
      </c>
      <c r="K1311" s="596">
        <f>2992800+1362240+2992800</f>
        <v>7347840</v>
      </c>
      <c r="L1311" s="597"/>
    </row>
    <row r="1312" spans="1:12" x14ac:dyDescent="0.2">
      <c r="A1312" s="316">
        <v>188</v>
      </c>
      <c r="B1312" s="591" t="s">
        <v>4673</v>
      </c>
      <c r="C1312" s="598" t="s">
        <v>4775</v>
      </c>
      <c r="D1312" s="586"/>
      <c r="E1312" s="587" t="s">
        <v>1238</v>
      </c>
      <c r="F1312" s="588" t="s">
        <v>1042</v>
      </c>
      <c r="G1312" s="776"/>
      <c r="H1312" s="599">
        <v>44765</v>
      </c>
      <c r="I1312" s="595">
        <f t="shared" si="105"/>
        <v>2962702.7027027025</v>
      </c>
      <c r="J1312" s="595">
        <f t="shared" si="106"/>
        <v>325897.29729729728</v>
      </c>
      <c r="K1312" s="596">
        <v>3288600</v>
      </c>
      <c r="L1312" s="597"/>
    </row>
    <row r="1313" spans="1:12" x14ac:dyDescent="0.2">
      <c r="A1313" s="316">
        <v>189</v>
      </c>
      <c r="B1313" s="591" t="s">
        <v>4674</v>
      </c>
      <c r="C1313" s="598" t="s">
        <v>4829</v>
      </c>
      <c r="D1313" s="586"/>
      <c r="E1313" s="587" t="s">
        <v>1220</v>
      </c>
      <c r="F1313" s="588" t="s">
        <v>1221</v>
      </c>
      <c r="G1313" s="761"/>
      <c r="H1313" s="599">
        <v>44767</v>
      </c>
      <c r="I1313" s="595">
        <f t="shared" si="105"/>
        <v>4713405.405405405</v>
      </c>
      <c r="J1313" s="595">
        <f t="shared" si="106"/>
        <v>518474.59459459456</v>
      </c>
      <c r="K1313" s="596">
        <f>2449800+2782080</f>
        <v>5231880</v>
      </c>
      <c r="L1313" s="597"/>
    </row>
    <row r="1314" spans="1:12" x14ac:dyDescent="0.2">
      <c r="A1314" s="316">
        <v>190</v>
      </c>
      <c r="B1314" s="591" t="s">
        <v>4675</v>
      </c>
      <c r="C1314" s="598" t="s">
        <v>4797</v>
      </c>
      <c r="D1314" s="586"/>
      <c r="E1314" s="587" t="s">
        <v>992</v>
      </c>
      <c r="F1314" s="588" t="s">
        <v>673</v>
      </c>
      <c r="G1314" s="776"/>
      <c r="H1314" s="599">
        <v>44767</v>
      </c>
      <c r="I1314" s="595">
        <f t="shared" si="105"/>
        <v>6099144.1441441439</v>
      </c>
      <c r="J1314" s="595">
        <f t="shared" si="106"/>
        <v>670905.85585585586</v>
      </c>
      <c r="K1314" s="596">
        <v>6770050</v>
      </c>
      <c r="L1314" s="597"/>
    </row>
    <row r="1315" spans="1:12" x14ac:dyDescent="0.2">
      <c r="A1315" s="316">
        <v>191</v>
      </c>
      <c r="B1315" s="591" t="s">
        <v>4676</v>
      </c>
      <c r="C1315" s="602" t="s">
        <v>4798</v>
      </c>
      <c r="D1315" s="603"/>
      <c r="E1315" s="604" t="s">
        <v>1072</v>
      </c>
      <c r="F1315" s="605" t="s">
        <v>1058</v>
      </c>
      <c r="G1315" s="776"/>
      <c r="H1315" s="606">
        <v>44769</v>
      </c>
      <c r="I1315" s="595">
        <f t="shared" ref="I1315:I1345" si="107">K1315/1.11</f>
        <v>3064864.8648648644</v>
      </c>
      <c r="J1315" s="595">
        <f t="shared" ref="J1315:J1345" si="108">I1315*11%</f>
        <v>337135.13513513509</v>
      </c>
      <c r="K1315" s="596">
        <v>3402000</v>
      </c>
      <c r="L1315" s="597"/>
    </row>
    <row r="1316" spans="1:12" x14ac:dyDescent="0.2">
      <c r="A1316" s="316">
        <v>192</v>
      </c>
      <c r="B1316" s="591" t="s">
        <v>4677</v>
      </c>
      <c r="C1316" s="598" t="s">
        <v>4802</v>
      </c>
      <c r="D1316" s="586"/>
      <c r="E1316" s="587" t="s">
        <v>3209</v>
      </c>
      <c r="F1316" s="588" t="s">
        <v>996</v>
      </c>
      <c r="G1316" s="776"/>
      <c r="H1316" s="599">
        <v>44768</v>
      </c>
      <c r="I1316" s="595">
        <f t="shared" si="107"/>
        <v>342342.34234234231</v>
      </c>
      <c r="J1316" s="595">
        <f t="shared" si="108"/>
        <v>37657.657657657655</v>
      </c>
      <c r="K1316" s="596">
        <v>380000</v>
      </c>
      <c r="L1316" s="597"/>
    </row>
    <row r="1317" spans="1:12" x14ac:dyDescent="0.2">
      <c r="A1317" s="316">
        <v>193</v>
      </c>
      <c r="B1317" s="591" t="s">
        <v>4678</v>
      </c>
      <c r="C1317" s="598" t="s">
        <v>4804</v>
      </c>
      <c r="D1317" s="586"/>
      <c r="E1317" s="587" t="s">
        <v>1040</v>
      </c>
      <c r="F1317" s="588" t="s">
        <v>1019</v>
      </c>
      <c r="G1317" s="776"/>
      <c r="H1317" s="599">
        <v>44769</v>
      </c>
      <c r="I1317" s="595">
        <f t="shared" ref="I1317:I1336" si="109">K1317/1.11</f>
        <v>2707905.405405405</v>
      </c>
      <c r="J1317" s="595">
        <f t="shared" ref="J1317:J1336" si="110">I1317*11%</f>
        <v>297869.59459459456</v>
      </c>
      <c r="K1317" s="596">
        <v>3005775</v>
      </c>
      <c r="L1317" s="597"/>
    </row>
    <row r="1318" spans="1:12" x14ac:dyDescent="0.2">
      <c r="A1318" s="316">
        <v>194</v>
      </c>
      <c r="B1318" s="591" t="s">
        <v>4679</v>
      </c>
      <c r="C1318" s="598" t="s">
        <v>4806</v>
      </c>
      <c r="D1318" s="586"/>
      <c r="E1318" s="587" t="s">
        <v>1009</v>
      </c>
      <c r="F1318" s="588" t="s">
        <v>1008</v>
      </c>
      <c r="G1318" s="776"/>
      <c r="H1318" s="599">
        <v>44769</v>
      </c>
      <c r="I1318" s="595">
        <f t="shared" si="109"/>
        <v>1636324.3243243243</v>
      </c>
      <c r="J1318" s="595">
        <f t="shared" si="110"/>
        <v>179995.67567567568</v>
      </c>
      <c r="K1318" s="596">
        <v>1816320</v>
      </c>
      <c r="L1318" s="597"/>
    </row>
    <row r="1319" spans="1:12" x14ac:dyDescent="0.2">
      <c r="A1319" s="316">
        <v>195</v>
      </c>
      <c r="B1319" s="591" t="s">
        <v>4680</v>
      </c>
      <c r="C1319" s="598" t="s">
        <v>4807</v>
      </c>
      <c r="D1319" s="586"/>
      <c r="E1319" s="587" t="s">
        <v>1108</v>
      </c>
      <c r="F1319" s="588" t="s">
        <v>1109</v>
      </c>
      <c r="G1319" s="586"/>
      <c r="H1319" s="599">
        <v>44769</v>
      </c>
      <c r="I1319" s="595">
        <f t="shared" si="109"/>
        <v>608108.10810810805</v>
      </c>
      <c r="J1319" s="595">
        <f t="shared" si="110"/>
        <v>66891.891891891879</v>
      </c>
      <c r="K1319" s="596">
        <v>675000</v>
      </c>
      <c r="L1319" s="597"/>
    </row>
    <row r="1320" spans="1:12" x14ac:dyDescent="0.2">
      <c r="A1320" s="316">
        <v>196</v>
      </c>
      <c r="B1320" s="591" t="s">
        <v>4681</v>
      </c>
      <c r="C1320" s="602" t="s">
        <v>4808</v>
      </c>
      <c r="D1320" s="603"/>
      <c r="E1320" s="604" t="s">
        <v>1021</v>
      </c>
      <c r="F1320" s="605" t="s">
        <v>1022</v>
      </c>
      <c r="G1320" s="654"/>
      <c r="H1320" s="606">
        <v>44769</v>
      </c>
      <c r="I1320" s="595">
        <f t="shared" si="109"/>
        <v>1086810.8108108107</v>
      </c>
      <c r="J1320" s="595">
        <f t="shared" si="110"/>
        <v>119549.18918918917</v>
      </c>
      <c r="K1320" s="596">
        <v>1206360</v>
      </c>
      <c r="L1320" s="597"/>
    </row>
    <row r="1321" spans="1:12" x14ac:dyDescent="0.2">
      <c r="A1321" s="316">
        <v>197</v>
      </c>
      <c r="B1321" s="591" t="s">
        <v>4682</v>
      </c>
      <c r="C1321" s="598" t="s">
        <v>4810</v>
      </c>
      <c r="D1321" s="586"/>
      <c r="E1321" s="587" t="s">
        <v>1864</v>
      </c>
      <c r="F1321" s="588" t="s">
        <v>1042</v>
      </c>
      <c r="G1321" s="586"/>
      <c r="H1321" s="599">
        <v>44770</v>
      </c>
      <c r="I1321" s="595">
        <f t="shared" si="109"/>
        <v>619459.45945945941</v>
      </c>
      <c r="J1321" s="595">
        <f t="shared" si="110"/>
        <v>68140.540540540533</v>
      </c>
      <c r="K1321" s="596">
        <v>687600</v>
      </c>
      <c r="L1321" s="597"/>
    </row>
    <row r="1322" spans="1:12" x14ac:dyDescent="0.2">
      <c r="A1322" s="316">
        <v>198</v>
      </c>
      <c r="B1322" s="591" t="s">
        <v>4683</v>
      </c>
      <c r="C1322" s="598" t="s">
        <v>4811</v>
      </c>
      <c r="D1322" s="586"/>
      <c r="E1322" s="587" t="s">
        <v>1046</v>
      </c>
      <c r="F1322" s="588" t="s">
        <v>1047</v>
      </c>
      <c r="G1322" s="586"/>
      <c r="H1322" s="599">
        <v>44771</v>
      </c>
      <c r="I1322" s="595">
        <f t="shared" si="109"/>
        <v>675675.67567567562</v>
      </c>
      <c r="J1322" s="595">
        <f t="shared" si="110"/>
        <v>74324.32432432432</v>
      </c>
      <c r="K1322" s="596">
        <v>750000</v>
      </c>
      <c r="L1322" s="597"/>
    </row>
    <row r="1323" spans="1:12" x14ac:dyDescent="0.2">
      <c r="A1323" s="316">
        <v>199</v>
      </c>
      <c r="B1323" s="591" t="s">
        <v>4684</v>
      </c>
      <c r="C1323" s="598" t="s">
        <v>4814</v>
      </c>
      <c r="D1323" s="586"/>
      <c r="E1323" s="587" t="s">
        <v>985</v>
      </c>
      <c r="F1323" s="588" t="s">
        <v>426</v>
      </c>
      <c r="G1323" s="586"/>
      <c r="H1323" s="599">
        <v>44771</v>
      </c>
      <c r="I1323" s="595">
        <f t="shared" si="109"/>
        <v>19171644.144144144</v>
      </c>
      <c r="J1323" s="595">
        <f t="shared" si="110"/>
        <v>2108880.8558558556</v>
      </c>
      <c r="K1323" s="596">
        <v>21280525</v>
      </c>
      <c r="L1323" s="597"/>
    </row>
    <row r="1324" spans="1:12" x14ac:dyDescent="0.2">
      <c r="A1324" s="316">
        <v>200</v>
      </c>
      <c r="B1324" s="591" t="s">
        <v>4685</v>
      </c>
      <c r="C1324" s="598" t="s">
        <v>4816</v>
      </c>
      <c r="D1324" s="586"/>
      <c r="E1324" s="587" t="s">
        <v>1006</v>
      </c>
      <c r="F1324" s="588" t="s">
        <v>984</v>
      </c>
      <c r="G1324" s="586"/>
      <c r="H1324" s="599">
        <v>44771</v>
      </c>
      <c r="I1324" s="595">
        <f t="shared" si="109"/>
        <v>3181373.8738738736</v>
      </c>
      <c r="J1324" s="595">
        <f t="shared" si="110"/>
        <v>349951.1261261261</v>
      </c>
      <c r="K1324" s="596">
        <v>3531325</v>
      </c>
      <c r="L1324" s="597"/>
    </row>
    <row r="1325" spans="1:12" x14ac:dyDescent="0.2">
      <c r="A1325" s="316">
        <v>201</v>
      </c>
      <c r="B1325" s="591" t="s">
        <v>4686</v>
      </c>
      <c r="C1325" s="598" t="s">
        <v>4818</v>
      </c>
      <c r="D1325" s="586"/>
      <c r="E1325" s="587" t="s">
        <v>1744</v>
      </c>
      <c r="F1325" s="588" t="s">
        <v>1745</v>
      </c>
      <c r="G1325" s="586"/>
      <c r="H1325" s="599">
        <v>44771</v>
      </c>
      <c r="I1325" s="595">
        <f t="shared" si="109"/>
        <v>1495945.9459459458</v>
      </c>
      <c r="J1325" s="595">
        <f t="shared" si="110"/>
        <v>164554.05405405405</v>
      </c>
      <c r="K1325" s="596">
        <v>1660500</v>
      </c>
      <c r="L1325" s="597"/>
    </row>
    <row r="1326" spans="1:12" x14ac:dyDescent="0.2">
      <c r="A1326" s="316">
        <v>202</v>
      </c>
      <c r="B1326" s="591" t="s">
        <v>4776</v>
      </c>
      <c r="C1326" s="602" t="s">
        <v>4819</v>
      </c>
      <c r="D1326" s="603"/>
      <c r="E1326" s="604" t="s">
        <v>1235</v>
      </c>
      <c r="F1326" s="605" t="s">
        <v>1104</v>
      </c>
      <c r="G1326" s="776"/>
      <c r="H1326" s="606">
        <v>44771</v>
      </c>
      <c r="I1326" s="595">
        <f t="shared" si="109"/>
        <v>642162.16216216213</v>
      </c>
      <c r="J1326" s="595">
        <f t="shared" si="110"/>
        <v>70637.83783783784</v>
      </c>
      <c r="K1326" s="596">
        <v>712800</v>
      </c>
      <c r="L1326" s="597"/>
    </row>
    <row r="1327" spans="1:12" x14ac:dyDescent="0.2">
      <c r="A1327" s="316">
        <v>203</v>
      </c>
      <c r="B1327" s="591" t="s">
        <v>4777</v>
      </c>
      <c r="C1327" s="598" t="s">
        <v>4822</v>
      </c>
      <c r="D1327" s="586"/>
      <c r="E1327" s="587" t="s">
        <v>2781</v>
      </c>
      <c r="F1327" s="588" t="s">
        <v>1058</v>
      </c>
      <c r="G1327" s="776"/>
      <c r="H1327" s="599">
        <v>44771</v>
      </c>
      <c r="I1327" s="595">
        <f t="shared" si="109"/>
        <v>216216.21621621618</v>
      </c>
      <c r="J1327" s="595">
        <f t="shared" si="110"/>
        <v>23783.78378378378</v>
      </c>
      <c r="K1327" s="596">
        <v>240000</v>
      </c>
      <c r="L1327" s="597"/>
    </row>
    <row r="1328" spans="1:12" x14ac:dyDescent="0.2">
      <c r="A1328" s="316">
        <v>204</v>
      </c>
      <c r="B1328" s="591" t="s">
        <v>4778</v>
      </c>
      <c r="C1328" s="598" t="s">
        <v>4823</v>
      </c>
      <c r="D1328" s="586"/>
      <c r="E1328" s="587" t="s">
        <v>1054</v>
      </c>
      <c r="F1328" s="588" t="s">
        <v>1055</v>
      </c>
      <c r="G1328" s="776"/>
      <c r="H1328" s="599">
        <v>44771</v>
      </c>
      <c r="I1328" s="595">
        <f t="shared" si="109"/>
        <v>3496540.5405405401</v>
      </c>
      <c r="J1328" s="595">
        <f t="shared" si="110"/>
        <v>384619.45945945941</v>
      </c>
      <c r="K1328" s="596">
        <v>3881160</v>
      </c>
      <c r="L1328" s="597"/>
    </row>
    <row r="1329" spans="1:12" x14ac:dyDescent="0.2">
      <c r="A1329" s="316">
        <v>205</v>
      </c>
      <c r="B1329" s="591" t="s">
        <v>4779</v>
      </c>
      <c r="C1329" s="598" t="s">
        <v>4824</v>
      </c>
      <c r="D1329" s="586"/>
      <c r="E1329" s="587" t="s">
        <v>992</v>
      </c>
      <c r="F1329" s="588" t="s">
        <v>1191</v>
      </c>
      <c r="G1329" s="776"/>
      <c r="H1329" s="599">
        <v>44771</v>
      </c>
      <c r="I1329" s="595">
        <f t="shared" si="109"/>
        <v>1118270.2702702701</v>
      </c>
      <c r="J1329" s="595">
        <f t="shared" si="110"/>
        <v>123009.7297297297</v>
      </c>
      <c r="K1329" s="596">
        <v>1241280</v>
      </c>
      <c r="L1329" s="597"/>
    </row>
    <row r="1330" spans="1:12" x14ac:dyDescent="0.2">
      <c r="A1330" s="316">
        <v>206</v>
      </c>
      <c r="B1330" s="591" t="s">
        <v>4780</v>
      </c>
      <c r="C1330" s="598" t="s">
        <v>4825</v>
      </c>
      <c r="D1330" s="586"/>
      <c r="E1330" s="587" t="s">
        <v>2989</v>
      </c>
      <c r="F1330" s="588" t="s">
        <v>620</v>
      </c>
      <c r="G1330" s="586"/>
      <c r="H1330" s="599">
        <v>44771</v>
      </c>
      <c r="I1330" s="595">
        <f t="shared" si="109"/>
        <v>351351.3513513513</v>
      </c>
      <c r="J1330" s="595">
        <f t="shared" si="110"/>
        <v>38648.648648648646</v>
      </c>
      <c r="K1330" s="596">
        <v>390000</v>
      </c>
      <c r="L1330" s="597"/>
    </row>
    <row r="1331" spans="1:12" x14ac:dyDescent="0.2">
      <c r="A1331" s="316">
        <v>207</v>
      </c>
      <c r="B1331" s="591" t="s">
        <v>4781</v>
      </c>
      <c r="C1331" s="602" t="s">
        <v>4826</v>
      </c>
      <c r="D1331" s="603"/>
      <c r="E1331" s="604" t="s">
        <v>1135</v>
      </c>
      <c r="F1331" s="605" t="s">
        <v>620</v>
      </c>
      <c r="G1331" s="654"/>
      <c r="H1331" s="606">
        <v>44771</v>
      </c>
      <c r="I1331" s="595">
        <f t="shared" si="109"/>
        <v>102702.70270270269</v>
      </c>
      <c r="J1331" s="595">
        <f t="shared" si="110"/>
        <v>11297.297297297297</v>
      </c>
      <c r="K1331" s="596">
        <v>114000</v>
      </c>
      <c r="L1331" s="597"/>
    </row>
    <row r="1332" spans="1:12" x14ac:dyDescent="0.2">
      <c r="A1332" s="316">
        <v>208</v>
      </c>
      <c r="B1332" s="591" t="s">
        <v>4782</v>
      </c>
      <c r="C1332" s="598" t="s">
        <v>4827</v>
      </c>
      <c r="D1332" s="586"/>
      <c r="E1332" s="587" t="s">
        <v>978</v>
      </c>
      <c r="F1332" s="588" t="s">
        <v>590</v>
      </c>
      <c r="G1332" s="586"/>
      <c r="H1332" s="599">
        <v>44771</v>
      </c>
      <c r="I1332" s="595">
        <f t="shared" si="109"/>
        <v>11647654.054054054</v>
      </c>
      <c r="J1332" s="595">
        <f t="shared" si="110"/>
        <v>1281241.9459459458</v>
      </c>
      <c r="K1332" s="596">
        <v>12928896</v>
      </c>
      <c r="L1332" s="597"/>
    </row>
    <row r="1333" spans="1:12" x14ac:dyDescent="0.2">
      <c r="A1333" s="316">
        <v>209</v>
      </c>
      <c r="B1333" s="591" t="s">
        <v>4783</v>
      </c>
      <c r="C1333" s="598" t="s">
        <v>4830</v>
      </c>
      <c r="D1333" s="586"/>
      <c r="E1333" s="587" t="s">
        <v>992</v>
      </c>
      <c r="F1333" s="588" t="s">
        <v>993</v>
      </c>
      <c r="G1333" s="586"/>
      <c r="H1333" s="599">
        <v>44771</v>
      </c>
      <c r="I1333" s="595">
        <f t="shared" si="109"/>
        <v>5522245.9459459456</v>
      </c>
      <c r="J1333" s="595">
        <f t="shared" si="110"/>
        <v>607447.05405405397</v>
      </c>
      <c r="K1333" s="596">
        <f>5149821+979872</f>
        <v>6129693</v>
      </c>
      <c r="L1333" s="597"/>
    </row>
    <row r="1334" spans="1:12" x14ac:dyDescent="0.2">
      <c r="A1334" s="316">
        <v>210</v>
      </c>
      <c r="B1334" s="591" t="s">
        <v>4784</v>
      </c>
      <c r="C1334" s="598" t="s">
        <v>4833</v>
      </c>
      <c r="D1334" s="586"/>
      <c r="E1334" s="587" t="s">
        <v>1189</v>
      </c>
      <c r="F1334" s="588" t="s">
        <v>1191</v>
      </c>
      <c r="G1334" s="586"/>
      <c r="H1334" s="599">
        <v>44771</v>
      </c>
      <c r="I1334" s="595">
        <f t="shared" si="109"/>
        <v>1132432.4324324324</v>
      </c>
      <c r="J1334" s="595">
        <f t="shared" si="110"/>
        <v>124567.56756756757</v>
      </c>
      <c r="K1334" s="596">
        <v>1257000</v>
      </c>
      <c r="L1334" s="597"/>
    </row>
    <row r="1335" spans="1:12" x14ac:dyDescent="0.2">
      <c r="A1335" s="316">
        <v>211</v>
      </c>
      <c r="B1335" s="591" t="s">
        <v>4785</v>
      </c>
      <c r="C1335" s="598" t="s">
        <v>4834</v>
      </c>
      <c r="D1335" s="586"/>
      <c r="E1335" s="587" t="s">
        <v>992</v>
      </c>
      <c r="F1335" s="588" t="s">
        <v>1075</v>
      </c>
      <c r="G1335" s="586"/>
      <c r="H1335" s="599">
        <v>44771</v>
      </c>
      <c r="I1335" s="595">
        <f t="shared" si="109"/>
        <v>3739372.9729729728</v>
      </c>
      <c r="J1335" s="595">
        <f t="shared" si="110"/>
        <v>411331.02702702698</v>
      </c>
      <c r="K1335" s="596">
        <v>4150704</v>
      </c>
      <c r="L1335" s="597"/>
    </row>
    <row r="1336" spans="1:12" x14ac:dyDescent="0.2">
      <c r="A1336" s="316">
        <v>212</v>
      </c>
      <c r="B1336" s="591" t="s">
        <v>4786</v>
      </c>
      <c r="C1336" s="598" t="s">
        <v>4835</v>
      </c>
      <c r="D1336" s="586"/>
      <c r="E1336" s="587" t="s">
        <v>1791</v>
      </c>
      <c r="F1336" s="588" t="s">
        <v>1015</v>
      </c>
      <c r="G1336" s="586"/>
      <c r="H1336" s="599">
        <v>44771</v>
      </c>
      <c r="I1336" s="595">
        <f t="shared" si="109"/>
        <v>1702702.7027027025</v>
      </c>
      <c r="J1336" s="595">
        <f t="shared" si="110"/>
        <v>187297.29729729728</v>
      </c>
      <c r="K1336" s="596">
        <v>1890000</v>
      </c>
      <c r="L1336" s="597"/>
    </row>
    <row r="1337" spans="1:12" x14ac:dyDescent="0.2">
      <c r="A1337" s="316">
        <v>213</v>
      </c>
      <c r="B1337" s="591" t="s">
        <v>4787</v>
      </c>
      <c r="C1337" s="598" t="s">
        <v>4836</v>
      </c>
      <c r="D1337" s="586"/>
      <c r="E1337" s="587" t="s">
        <v>1869</v>
      </c>
      <c r="F1337" s="588" t="s">
        <v>1022</v>
      </c>
      <c r="G1337" s="776"/>
      <c r="H1337" s="599">
        <v>44753</v>
      </c>
      <c r="I1337" s="595">
        <f t="shared" si="107"/>
        <v>44444932.432432428</v>
      </c>
      <c r="J1337" s="595">
        <f t="shared" si="108"/>
        <v>4888942.5675675673</v>
      </c>
      <c r="K1337" s="596">
        <f>(30940500-5166000)+21905625+1653750</f>
        <v>49333875</v>
      </c>
      <c r="L1337" s="597"/>
    </row>
    <row r="1338" spans="1:12" x14ac:dyDescent="0.2">
      <c r="A1338" s="316">
        <v>214</v>
      </c>
      <c r="B1338" s="591" t="s">
        <v>4788</v>
      </c>
      <c r="C1338" s="598" t="s">
        <v>4837</v>
      </c>
      <c r="D1338" s="586"/>
      <c r="E1338" s="587" t="s">
        <v>1869</v>
      </c>
      <c r="F1338" s="588" t="s">
        <v>1022</v>
      </c>
      <c r="G1338" s="776"/>
      <c r="H1338" s="599">
        <v>44758</v>
      </c>
      <c r="I1338" s="595">
        <f t="shared" si="107"/>
        <v>67617635.135135129</v>
      </c>
      <c r="J1338" s="595">
        <f t="shared" si="108"/>
        <v>7437939.8648648644</v>
      </c>
      <c r="K1338" s="596">
        <f>28949550+46106025</f>
        <v>75055575</v>
      </c>
      <c r="L1338" s="597"/>
    </row>
    <row r="1339" spans="1:12" x14ac:dyDescent="0.2">
      <c r="A1339" s="316">
        <v>215</v>
      </c>
      <c r="B1339" s="591" t="s">
        <v>4789</v>
      </c>
      <c r="C1339" s="598" t="s">
        <v>4838</v>
      </c>
      <c r="D1339" s="586"/>
      <c r="E1339" s="587" t="s">
        <v>2727</v>
      </c>
      <c r="F1339" s="588" t="s">
        <v>2368</v>
      </c>
      <c r="G1339" s="586"/>
      <c r="H1339" s="599">
        <v>44749</v>
      </c>
      <c r="I1339" s="595">
        <f t="shared" si="107"/>
        <v>398918.91891891888</v>
      </c>
      <c r="J1339" s="595">
        <f t="shared" si="108"/>
        <v>43881.08108108108</v>
      </c>
      <c r="K1339" s="596">
        <v>442800</v>
      </c>
      <c r="L1339" s="597"/>
    </row>
    <row r="1340" spans="1:12" x14ac:dyDescent="0.2">
      <c r="A1340" s="316">
        <v>216</v>
      </c>
      <c r="B1340" s="591" t="s">
        <v>4790</v>
      </c>
      <c r="C1340" s="602" t="s">
        <v>4839</v>
      </c>
      <c r="D1340" s="603"/>
      <c r="E1340" s="604" t="s">
        <v>3043</v>
      </c>
      <c r="F1340" s="605" t="s">
        <v>3519</v>
      </c>
      <c r="G1340" s="654"/>
      <c r="H1340" s="606">
        <v>44770</v>
      </c>
      <c r="I1340" s="595">
        <f t="shared" si="107"/>
        <v>2422432.4324324322</v>
      </c>
      <c r="J1340" s="595">
        <f t="shared" si="108"/>
        <v>266467.56756756752</v>
      </c>
      <c r="K1340" s="596">
        <f>462900+2226000</f>
        <v>2688900</v>
      </c>
      <c r="L1340" s="597"/>
    </row>
    <row r="1341" spans="1:12" x14ac:dyDescent="0.2">
      <c r="A1341" s="316">
        <v>217</v>
      </c>
      <c r="B1341" s="591" t="s">
        <v>4791</v>
      </c>
      <c r="C1341" s="598" t="s">
        <v>4840</v>
      </c>
      <c r="D1341" s="586"/>
      <c r="E1341" s="587" t="s">
        <v>3001</v>
      </c>
      <c r="F1341" s="588" t="s">
        <v>2368</v>
      </c>
      <c r="G1341" s="586"/>
      <c r="H1341" s="599">
        <v>44770</v>
      </c>
      <c r="I1341" s="595">
        <f t="shared" si="107"/>
        <v>29189.189189189186</v>
      </c>
      <c r="J1341" s="595">
        <f t="shared" si="108"/>
        <v>3210.8108108108104</v>
      </c>
      <c r="K1341" s="596">
        <v>32400</v>
      </c>
      <c r="L1341" s="597"/>
    </row>
    <row r="1342" spans="1:12" x14ac:dyDescent="0.2">
      <c r="A1342" s="316">
        <v>218</v>
      </c>
      <c r="B1342" s="591" t="s">
        <v>4792</v>
      </c>
      <c r="C1342" s="598" t="s">
        <v>4841</v>
      </c>
      <c r="D1342" s="586"/>
      <c r="E1342" s="587" t="s">
        <v>2999</v>
      </c>
      <c r="F1342" s="588" t="s">
        <v>1015</v>
      </c>
      <c r="G1342" s="586"/>
      <c r="H1342" s="599">
        <v>44768</v>
      </c>
      <c r="I1342" s="595">
        <f t="shared" si="107"/>
        <v>481081.08108108107</v>
      </c>
      <c r="J1342" s="595">
        <f t="shared" si="108"/>
        <v>52918.91891891892</v>
      </c>
      <c r="K1342" s="596">
        <v>534000</v>
      </c>
      <c r="L1342" s="597"/>
    </row>
    <row r="1343" spans="1:12" x14ac:dyDescent="0.2">
      <c r="A1343" s="316">
        <v>219</v>
      </c>
      <c r="B1343" s="591" t="s">
        <v>4793</v>
      </c>
      <c r="C1343" s="598" t="s">
        <v>4842</v>
      </c>
      <c r="D1343" s="586"/>
      <c r="E1343" s="587" t="s">
        <v>2576</v>
      </c>
      <c r="F1343" s="588" t="s">
        <v>2368</v>
      </c>
      <c r="G1343" s="586"/>
      <c r="H1343" s="599">
        <v>44755</v>
      </c>
      <c r="I1343" s="595">
        <f t="shared" si="107"/>
        <v>8920857.6576576568</v>
      </c>
      <c r="J1343" s="595">
        <f t="shared" si="108"/>
        <v>981294.34234234225</v>
      </c>
      <c r="K1343" s="596">
        <f>2268680+808056+444560+3478872+2901984</f>
        <v>9902152</v>
      </c>
      <c r="L1343" s="597"/>
    </row>
    <row r="1344" spans="1:12" x14ac:dyDescent="0.2">
      <c r="A1344" s="316">
        <v>220</v>
      </c>
      <c r="B1344" s="591" t="s">
        <v>4794</v>
      </c>
      <c r="C1344" s="598" t="s">
        <v>4843</v>
      </c>
      <c r="D1344" s="586"/>
      <c r="E1344" s="587" t="s">
        <v>2576</v>
      </c>
      <c r="F1344" s="588" t="s">
        <v>2368</v>
      </c>
      <c r="G1344" s="586"/>
      <c r="H1344" s="599">
        <v>44763</v>
      </c>
      <c r="I1344" s="595">
        <f t="shared" si="107"/>
        <v>32544830.630630627</v>
      </c>
      <c r="J1344" s="595">
        <f t="shared" si="108"/>
        <v>3579931.369369369</v>
      </c>
      <c r="K1344" s="596">
        <f>1708992+(3232224+1250000)+10514618+6464964+12953964</f>
        <v>36124762</v>
      </c>
      <c r="L1344" s="597"/>
    </row>
    <row r="1345" spans="1:12" x14ac:dyDescent="0.2">
      <c r="A1345" s="316">
        <v>221</v>
      </c>
      <c r="B1345" s="591" t="s">
        <v>4795</v>
      </c>
      <c r="C1345" s="598" t="s">
        <v>4844</v>
      </c>
      <c r="D1345" s="586"/>
      <c r="E1345" s="587" t="s">
        <v>2576</v>
      </c>
      <c r="F1345" s="588" t="s">
        <v>2368</v>
      </c>
      <c r="G1345" s="586"/>
      <c r="H1345" s="599">
        <v>44771</v>
      </c>
      <c r="I1345" s="595">
        <f t="shared" si="107"/>
        <v>14049445.045045044</v>
      </c>
      <c r="J1345" s="595">
        <f t="shared" si="108"/>
        <v>1545438.9549549548</v>
      </c>
      <c r="K1345" s="596">
        <f>4317600+6468164+1558320+3250800</f>
        <v>15594884</v>
      </c>
      <c r="L1345" s="597"/>
    </row>
    <row r="1346" spans="1:12" x14ac:dyDescent="0.2">
      <c r="A1346" s="316">
        <v>222</v>
      </c>
      <c r="B1346" s="591" t="s">
        <v>4796</v>
      </c>
      <c r="C1346" s="602" t="s">
        <v>201</v>
      </c>
      <c r="D1346" s="603"/>
      <c r="E1346" s="604" t="s">
        <v>2565</v>
      </c>
      <c r="F1346" s="605" t="s">
        <v>2368</v>
      </c>
      <c r="G1346" s="776"/>
      <c r="H1346" s="606">
        <v>44771</v>
      </c>
      <c r="I1346" s="595">
        <f t="shared" si="105"/>
        <v>47977117.117117114</v>
      </c>
      <c r="J1346" s="595">
        <f t="shared" si="106"/>
        <v>5277482.8828828828</v>
      </c>
      <c r="K1346" s="596">
        <v>53254600</v>
      </c>
      <c r="L1346" s="597"/>
    </row>
    <row r="1347" spans="1:12" x14ac:dyDescent="0.2">
      <c r="B1347" s="616"/>
      <c r="C1347" s="617"/>
      <c r="D1347" s="618"/>
      <c r="E1347" s="619"/>
      <c r="F1347" s="620"/>
      <c r="G1347" s="655"/>
      <c r="H1347" s="621"/>
      <c r="I1347" s="595">
        <f t="shared" si="105"/>
        <v>0</v>
      </c>
      <c r="J1347" s="595">
        <f t="shared" si="106"/>
        <v>0</v>
      </c>
      <c r="K1347" s="623"/>
      <c r="L1347" s="624"/>
    </row>
    <row r="1348" spans="1:12" ht="18" x14ac:dyDescent="0.25">
      <c r="B1348" s="630" t="s">
        <v>293</v>
      </c>
      <c r="C1348" s="631"/>
      <c r="D1348" s="632"/>
      <c r="E1348" s="633"/>
      <c r="F1348" s="634"/>
      <c r="G1348" s="656"/>
      <c r="H1348" s="635"/>
      <c r="I1348" s="636">
        <f>SUM(I1126:I1347)</f>
        <v>1909911654.0540547</v>
      </c>
      <c r="J1348" s="636">
        <f>SUM(J1126:J1347)</f>
        <v>210090281.94594598</v>
      </c>
      <c r="K1348" s="779">
        <f>SUM(K1126:K1347)</f>
        <v>2120001936</v>
      </c>
      <c r="L1348" s="638"/>
    </row>
    <row r="1349" spans="1:12" s="429" customFormat="1" ht="20.25" x14ac:dyDescent="0.3">
      <c r="A1349" s="316"/>
      <c r="B1349" s="639" t="s">
        <v>105</v>
      </c>
      <c r="C1349" s="626"/>
      <c r="D1349" s="627"/>
      <c r="E1349" s="627"/>
      <c r="F1349" s="627"/>
      <c r="G1349" s="627"/>
      <c r="H1349" s="640"/>
      <c r="I1349" s="641"/>
      <c r="J1349" s="641"/>
      <c r="K1349" s="642"/>
      <c r="L1349" s="643"/>
    </row>
    <row r="1350" spans="1:12" s="429" customFormat="1" x14ac:dyDescent="0.2">
      <c r="A1350" s="316">
        <v>1</v>
      </c>
      <c r="B1350" s="591" t="s">
        <v>4438</v>
      </c>
      <c r="C1350" s="598" t="s">
        <v>4552</v>
      </c>
      <c r="D1350" s="737" t="s">
        <v>580</v>
      </c>
      <c r="E1350" s="738" t="s">
        <v>595</v>
      </c>
      <c r="F1350" s="739" t="s">
        <v>579</v>
      </c>
      <c r="G1350" s="761" t="s">
        <v>3400</v>
      </c>
      <c r="H1350" s="594">
        <v>44776</v>
      </c>
      <c r="I1350" s="595">
        <f t="shared" ref="I1350:I1381" si="111">K1350/1.11</f>
        <v>2205360.3603603602</v>
      </c>
      <c r="J1350" s="595">
        <f t="shared" ref="J1350:J1381" si="112">I1350*11%</f>
        <v>242589.63963963962</v>
      </c>
      <c r="K1350" s="596">
        <v>2447950</v>
      </c>
      <c r="L1350" s="759" t="s">
        <v>3890</v>
      </c>
    </row>
    <row r="1351" spans="1:12" s="429" customFormat="1" x14ac:dyDescent="0.2">
      <c r="A1351" s="316">
        <v>2</v>
      </c>
      <c r="B1351" s="591" t="s">
        <v>4446</v>
      </c>
      <c r="C1351" s="592" t="s">
        <v>4553</v>
      </c>
      <c r="D1351" s="737" t="s">
        <v>581</v>
      </c>
      <c r="E1351" s="746" t="s">
        <v>596</v>
      </c>
      <c r="F1351" s="746" t="s">
        <v>579</v>
      </c>
      <c r="G1351" s="776" t="s">
        <v>3401</v>
      </c>
      <c r="H1351" s="594">
        <v>44776</v>
      </c>
      <c r="I1351" s="595">
        <f t="shared" si="111"/>
        <v>1109054.054054054</v>
      </c>
      <c r="J1351" s="595">
        <f t="shared" si="112"/>
        <v>121995.94594594593</v>
      </c>
      <c r="K1351" s="596">
        <v>1231050</v>
      </c>
      <c r="L1351" s="597" t="s">
        <v>3890</v>
      </c>
    </row>
    <row r="1352" spans="1:12" s="429" customFormat="1" x14ac:dyDescent="0.2">
      <c r="A1352" s="316">
        <v>3</v>
      </c>
      <c r="B1352" s="591" t="s">
        <v>4439</v>
      </c>
      <c r="C1352" s="598" t="s">
        <v>4554</v>
      </c>
      <c r="D1352" s="769" t="s">
        <v>591</v>
      </c>
      <c r="E1352" s="752" t="s">
        <v>777</v>
      </c>
      <c r="F1352" s="753" t="s">
        <v>590</v>
      </c>
      <c r="G1352" s="776" t="s">
        <v>3402</v>
      </c>
      <c r="H1352" s="594">
        <v>44775</v>
      </c>
      <c r="I1352" s="595">
        <f t="shared" si="111"/>
        <v>3416234.2342342339</v>
      </c>
      <c r="J1352" s="595">
        <f t="shared" si="112"/>
        <v>375785.76576576574</v>
      </c>
      <c r="K1352" s="596">
        <v>3792020</v>
      </c>
      <c r="L1352" s="597" t="s">
        <v>3890</v>
      </c>
    </row>
    <row r="1353" spans="1:12" s="429" customFormat="1" x14ac:dyDescent="0.2">
      <c r="A1353" s="316">
        <v>4</v>
      </c>
      <c r="B1353" s="591" t="s">
        <v>4440</v>
      </c>
      <c r="C1353" s="598" t="s">
        <v>4555</v>
      </c>
      <c r="D1353" s="769" t="s">
        <v>591</v>
      </c>
      <c r="E1353" s="752" t="s">
        <v>777</v>
      </c>
      <c r="F1353" s="753" t="s">
        <v>590</v>
      </c>
      <c r="G1353" s="761" t="s">
        <v>3403</v>
      </c>
      <c r="H1353" s="594">
        <v>44775</v>
      </c>
      <c r="I1353" s="595">
        <f t="shared" si="111"/>
        <v>45891.891891891886</v>
      </c>
      <c r="J1353" s="595">
        <f t="shared" si="112"/>
        <v>5048.1081081081074</v>
      </c>
      <c r="K1353" s="596">
        <v>50940</v>
      </c>
      <c r="L1353" s="597" t="s">
        <v>3890</v>
      </c>
    </row>
    <row r="1354" spans="1:12" s="429" customFormat="1" x14ac:dyDescent="0.2">
      <c r="A1354" s="316">
        <v>5</v>
      </c>
      <c r="B1354" s="591" t="s">
        <v>4441</v>
      </c>
      <c r="C1354" s="598" t="s">
        <v>4556</v>
      </c>
      <c r="D1354" s="737" t="s">
        <v>580</v>
      </c>
      <c r="E1354" s="738" t="s">
        <v>595</v>
      </c>
      <c r="F1354" s="739" t="s">
        <v>579</v>
      </c>
      <c r="G1354" s="776" t="s">
        <v>3404</v>
      </c>
      <c r="H1354" s="594">
        <v>44777</v>
      </c>
      <c r="I1354" s="595">
        <f t="shared" si="111"/>
        <v>3559124.3243243238</v>
      </c>
      <c r="J1354" s="595">
        <f t="shared" si="112"/>
        <v>391503.67567567562</v>
      </c>
      <c r="K1354" s="596">
        <v>3950628</v>
      </c>
      <c r="L1354" s="597" t="s">
        <v>3890</v>
      </c>
    </row>
    <row r="1355" spans="1:12" s="429" customFormat="1" x14ac:dyDescent="0.2">
      <c r="A1355" s="316">
        <v>6</v>
      </c>
      <c r="B1355" s="591" t="s">
        <v>4442</v>
      </c>
      <c r="C1355" s="598" t="s">
        <v>4557</v>
      </c>
      <c r="D1355" s="586" t="s">
        <v>1427</v>
      </c>
      <c r="E1355" s="587" t="s">
        <v>425</v>
      </c>
      <c r="F1355" s="588" t="s">
        <v>426</v>
      </c>
      <c r="G1355" s="776" t="s">
        <v>3405</v>
      </c>
      <c r="H1355" s="599">
        <v>44777</v>
      </c>
      <c r="I1355" s="595">
        <f t="shared" si="111"/>
        <v>41369369.369369365</v>
      </c>
      <c r="J1355" s="595">
        <f t="shared" si="112"/>
        <v>4550630.6306306301</v>
      </c>
      <c r="K1355" s="596">
        <v>45920000</v>
      </c>
      <c r="L1355" s="597" t="s">
        <v>3890</v>
      </c>
    </row>
    <row r="1356" spans="1:12" s="429" customFormat="1" x14ac:dyDescent="0.2">
      <c r="A1356" s="316">
        <v>7</v>
      </c>
      <c r="B1356" s="591" t="s">
        <v>4443</v>
      </c>
      <c r="C1356" s="598" t="s">
        <v>4558</v>
      </c>
      <c r="D1356" s="737" t="s">
        <v>580</v>
      </c>
      <c r="E1356" s="738" t="s">
        <v>595</v>
      </c>
      <c r="F1356" s="739" t="s">
        <v>579</v>
      </c>
      <c r="G1356" s="761" t="s">
        <v>3406</v>
      </c>
      <c r="H1356" s="599">
        <v>44777</v>
      </c>
      <c r="I1356" s="595">
        <f t="shared" si="111"/>
        <v>5088693.6936936928</v>
      </c>
      <c r="J1356" s="595">
        <f t="shared" si="112"/>
        <v>559756.30630630616</v>
      </c>
      <c r="K1356" s="596">
        <v>5648450</v>
      </c>
      <c r="L1356" s="597" t="s">
        <v>3890</v>
      </c>
    </row>
    <row r="1357" spans="1:12" s="429" customFormat="1" x14ac:dyDescent="0.2">
      <c r="A1357" s="316">
        <v>8</v>
      </c>
      <c r="B1357" s="591" t="s">
        <v>4444</v>
      </c>
      <c r="C1357" s="598" t="s">
        <v>4559</v>
      </c>
      <c r="D1357" s="586" t="s">
        <v>584</v>
      </c>
      <c r="E1357" s="587" t="s">
        <v>582</v>
      </c>
      <c r="F1357" s="588" t="s">
        <v>583</v>
      </c>
      <c r="G1357" s="776" t="s">
        <v>3407</v>
      </c>
      <c r="H1357" s="599">
        <v>44777</v>
      </c>
      <c r="I1357" s="595">
        <f t="shared" si="111"/>
        <v>1451805.4054054052</v>
      </c>
      <c r="J1357" s="595">
        <f t="shared" si="112"/>
        <v>159698.59459459459</v>
      </c>
      <c r="K1357" s="596">
        <v>1611504</v>
      </c>
      <c r="L1357" s="597" t="s">
        <v>3890</v>
      </c>
    </row>
    <row r="1358" spans="1:12" s="429" customFormat="1" x14ac:dyDescent="0.2">
      <c r="A1358" s="316">
        <v>9</v>
      </c>
      <c r="B1358" s="591" t="s">
        <v>4445</v>
      </c>
      <c r="C1358" s="598" t="s">
        <v>4560</v>
      </c>
      <c r="D1358" s="737" t="s">
        <v>581</v>
      </c>
      <c r="E1358" s="746" t="s">
        <v>596</v>
      </c>
      <c r="F1358" s="746" t="s">
        <v>579</v>
      </c>
      <c r="G1358" s="776" t="s">
        <v>3408</v>
      </c>
      <c r="H1358" s="599">
        <v>44777</v>
      </c>
      <c r="I1358" s="595">
        <f t="shared" si="111"/>
        <v>6008956.7567567565</v>
      </c>
      <c r="J1358" s="595">
        <f t="shared" si="112"/>
        <v>660985.2432432432</v>
      </c>
      <c r="K1358" s="596">
        <v>6669942</v>
      </c>
      <c r="L1358" s="597" t="s">
        <v>3890</v>
      </c>
    </row>
    <row r="1359" spans="1:12" s="429" customFormat="1" x14ac:dyDescent="0.2">
      <c r="A1359" s="316">
        <v>10</v>
      </c>
      <c r="B1359" s="591" t="s">
        <v>4447</v>
      </c>
      <c r="C1359" s="598" t="s">
        <v>4897</v>
      </c>
      <c r="D1359" s="737" t="s">
        <v>581</v>
      </c>
      <c r="E1359" s="746" t="s">
        <v>596</v>
      </c>
      <c r="F1359" s="746" t="s">
        <v>579</v>
      </c>
      <c r="G1359" s="761" t="s">
        <v>3409</v>
      </c>
      <c r="H1359" s="599">
        <v>44781</v>
      </c>
      <c r="I1359" s="595">
        <f t="shared" si="111"/>
        <v>6818918.9189189179</v>
      </c>
      <c r="J1359" s="595">
        <f t="shared" si="112"/>
        <v>750081.08108108095</v>
      </c>
      <c r="K1359" s="596">
        <v>7569000</v>
      </c>
      <c r="L1359" s="597" t="s">
        <v>3890</v>
      </c>
    </row>
    <row r="1360" spans="1:12" s="429" customFormat="1" x14ac:dyDescent="0.2">
      <c r="A1360" s="316">
        <v>11</v>
      </c>
      <c r="B1360" s="591" t="s">
        <v>4448</v>
      </c>
      <c r="C1360" s="598" t="s">
        <v>4898</v>
      </c>
      <c r="D1360" s="586" t="s">
        <v>671</v>
      </c>
      <c r="E1360" s="587" t="s">
        <v>672</v>
      </c>
      <c r="F1360" s="588" t="s">
        <v>673</v>
      </c>
      <c r="G1360" s="776" t="s">
        <v>3410</v>
      </c>
      <c r="H1360" s="599">
        <v>44781</v>
      </c>
      <c r="I1360" s="595">
        <f t="shared" si="111"/>
        <v>1906540.5405405404</v>
      </c>
      <c r="J1360" s="595">
        <f t="shared" si="112"/>
        <v>209719.45945945944</v>
      </c>
      <c r="K1360" s="596">
        <v>2116260</v>
      </c>
      <c r="L1360" s="597" t="s">
        <v>3890</v>
      </c>
    </row>
    <row r="1361" spans="1:12" s="429" customFormat="1" x14ac:dyDescent="0.2">
      <c r="A1361" s="316">
        <v>12</v>
      </c>
      <c r="B1361" s="591" t="s">
        <v>4449</v>
      </c>
      <c r="C1361" s="598" t="s">
        <v>4899</v>
      </c>
      <c r="D1361" s="586" t="s">
        <v>1427</v>
      </c>
      <c r="E1361" s="587" t="s">
        <v>425</v>
      </c>
      <c r="F1361" s="588" t="s">
        <v>426</v>
      </c>
      <c r="G1361" s="776" t="s">
        <v>3411</v>
      </c>
      <c r="H1361" s="599">
        <v>44782</v>
      </c>
      <c r="I1361" s="595">
        <f t="shared" si="111"/>
        <v>20077387.387387387</v>
      </c>
      <c r="J1361" s="595">
        <f t="shared" si="112"/>
        <v>2208512.6126126125</v>
      </c>
      <c r="K1361" s="596">
        <v>22285900</v>
      </c>
      <c r="L1361" s="597" t="s">
        <v>3890</v>
      </c>
    </row>
    <row r="1362" spans="1:12" s="429" customFormat="1" x14ac:dyDescent="0.2">
      <c r="A1362" s="316">
        <v>13</v>
      </c>
      <c r="B1362" s="591" t="s">
        <v>4450</v>
      </c>
      <c r="C1362" s="598" t="s">
        <v>4900</v>
      </c>
      <c r="D1362" s="586" t="s">
        <v>1427</v>
      </c>
      <c r="E1362" s="587" t="s">
        <v>425</v>
      </c>
      <c r="F1362" s="588" t="s">
        <v>426</v>
      </c>
      <c r="G1362" s="761" t="s">
        <v>3412</v>
      </c>
      <c r="H1362" s="599">
        <v>44782</v>
      </c>
      <c r="I1362" s="595">
        <f t="shared" si="111"/>
        <v>24709999.999999996</v>
      </c>
      <c r="J1362" s="595">
        <f t="shared" si="112"/>
        <v>2718099.9999999995</v>
      </c>
      <c r="K1362" s="596">
        <v>27428100</v>
      </c>
      <c r="L1362" s="597" t="s">
        <v>3890</v>
      </c>
    </row>
    <row r="1363" spans="1:12" s="429" customFormat="1" x14ac:dyDescent="0.2">
      <c r="A1363" s="316">
        <v>14</v>
      </c>
      <c r="B1363" s="591" t="s">
        <v>4451</v>
      </c>
      <c r="C1363" s="598" t="s">
        <v>4901</v>
      </c>
      <c r="D1363" s="586" t="s">
        <v>741</v>
      </c>
      <c r="E1363" s="587" t="s">
        <v>740</v>
      </c>
      <c r="F1363" s="588" t="s">
        <v>579</v>
      </c>
      <c r="G1363" s="776" t="s">
        <v>3413</v>
      </c>
      <c r="H1363" s="599">
        <v>44782</v>
      </c>
      <c r="I1363" s="595">
        <f t="shared" si="111"/>
        <v>1345608.1081081079</v>
      </c>
      <c r="J1363" s="595">
        <f t="shared" si="112"/>
        <v>148016.89189189186</v>
      </c>
      <c r="K1363" s="596">
        <v>1493625</v>
      </c>
      <c r="L1363" s="597" t="s">
        <v>3890</v>
      </c>
    </row>
    <row r="1364" spans="1:12" s="429" customFormat="1" x14ac:dyDescent="0.2">
      <c r="A1364" s="316">
        <v>15</v>
      </c>
      <c r="B1364" s="591" t="s">
        <v>4452</v>
      </c>
      <c r="C1364" s="598" t="s">
        <v>4902</v>
      </c>
      <c r="D1364" s="586" t="s">
        <v>1427</v>
      </c>
      <c r="E1364" s="587" t="s">
        <v>425</v>
      </c>
      <c r="F1364" s="588" t="s">
        <v>426</v>
      </c>
      <c r="G1364" s="776" t="s">
        <v>3414</v>
      </c>
      <c r="H1364" s="599">
        <v>44784</v>
      </c>
      <c r="I1364" s="595">
        <f t="shared" si="111"/>
        <v>1089729.7297297297</v>
      </c>
      <c r="J1364" s="595">
        <f t="shared" si="112"/>
        <v>119870.27027027027</v>
      </c>
      <c r="K1364" s="596">
        <v>1209600</v>
      </c>
      <c r="L1364" s="597" t="s">
        <v>3890</v>
      </c>
    </row>
    <row r="1365" spans="1:12" s="429" customFormat="1" x14ac:dyDescent="0.2">
      <c r="A1365" s="316">
        <v>16</v>
      </c>
      <c r="B1365" s="591" t="s">
        <v>4453</v>
      </c>
      <c r="C1365" s="598" t="s">
        <v>4903</v>
      </c>
      <c r="D1365" s="769" t="s">
        <v>591</v>
      </c>
      <c r="E1365" s="752" t="s">
        <v>777</v>
      </c>
      <c r="F1365" s="753" t="s">
        <v>590</v>
      </c>
      <c r="G1365" s="761" t="s">
        <v>3415</v>
      </c>
      <c r="H1365" s="599">
        <v>44783</v>
      </c>
      <c r="I1365" s="595">
        <f t="shared" si="111"/>
        <v>284837.83783783781</v>
      </c>
      <c r="J1365" s="595">
        <f t="shared" si="112"/>
        <v>31332.16216216216</v>
      </c>
      <c r="K1365" s="596">
        <v>316170</v>
      </c>
      <c r="L1365" s="597" t="s">
        <v>3890</v>
      </c>
    </row>
    <row r="1366" spans="1:12" s="429" customFormat="1" x14ac:dyDescent="0.2">
      <c r="A1366" s="316">
        <v>17</v>
      </c>
      <c r="B1366" s="591" t="s">
        <v>4454</v>
      </c>
      <c r="C1366" s="598" t="s">
        <v>4904</v>
      </c>
      <c r="D1366" s="737" t="s">
        <v>581</v>
      </c>
      <c r="E1366" s="746" t="s">
        <v>596</v>
      </c>
      <c r="F1366" s="746" t="s">
        <v>579</v>
      </c>
      <c r="G1366" s="776" t="s">
        <v>3416</v>
      </c>
      <c r="H1366" s="599">
        <v>44784</v>
      </c>
      <c r="I1366" s="595">
        <f t="shared" si="111"/>
        <v>13213416.216216216</v>
      </c>
      <c r="J1366" s="595">
        <f t="shared" si="112"/>
        <v>1453475.7837837837</v>
      </c>
      <c r="K1366" s="596">
        <v>14666892</v>
      </c>
      <c r="L1366" s="597" t="s">
        <v>3890</v>
      </c>
    </row>
    <row r="1367" spans="1:12" s="429" customFormat="1" x14ac:dyDescent="0.2">
      <c r="A1367" s="316">
        <v>18</v>
      </c>
      <c r="B1367" s="591" t="s">
        <v>4455</v>
      </c>
      <c r="C1367" s="598" t="s">
        <v>4905</v>
      </c>
      <c r="D1367" s="586" t="s">
        <v>584</v>
      </c>
      <c r="E1367" s="587" t="s">
        <v>582</v>
      </c>
      <c r="F1367" s="588" t="s">
        <v>583</v>
      </c>
      <c r="G1367" s="776" t="s">
        <v>3417</v>
      </c>
      <c r="H1367" s="599">
        <v>44785</v>
      </c>
      <c r="I1367" s="595">
        <f t="shared" si="111"/>
        <v>2653378.3783783782</v>
      </c>
      <c r="J1367" s="595">
        <f t="shared" si="112"/>
        <v>291871.6216216216</v>
      </c>
      <c r="K1367" s="596">
        <v>2945250</v>
      </c>
      <c r="L1367" s="597" t="s">
        <v>3890</v>
      </c>
    </row>
    <row r="1368" spans="1:12" s="429" customFormat="1" x14ac:dyDescent="0.2">
      <c r="A1368" s="316">
        <v>19</v>
      </c>
      <c r="B1368" s="591" t="s">
        <v>4456</v>
      </c>
      <c r="C1368" s="598" t="s">
        <v>4906</v>
      </c>
      <c r="D1368" s="737" t="s">
        <v>580</v>
      </c>
      <c r="E1368" s="738" t="s">
        <v>595</v>
      </c>
      <c r="F1368" s="739" t="s">
        <v>579</v>
      </c>
      <c r="G1368" s="761" t="s">
        <v>3418</v>
      </c>
      <c r="H1368" s="599">
        <v>44785</v>
      </c>
      <c r="I1368" s="595">
        <f t="shared" si="111"/>
        <v>9536819.8198198192</v>
      </c>
      <c r="J1368" s="595">
        <f t="shared" si="112"/>
        <v>1049050.1801801801</v>
      </c>
      <c r="K1368" s="596">
        <v>10585870</v>
      </c>
      <c r="L1368" s="597" t="s">
        <v>3890</v>
      </c>
    </row>
    <row r="1369" spans="1:12" s="429" customFormat="1" x14ac:dyDescent="0.2">
      <c r="A1369" s="316">
        <v>20</v>
      </c>
      <c r="B1369" s="591" t="s">
        <v>4457</v>
      </c>
      <c r="C1369" s="598" t="s">
        <v>4907</v>
      </c>
      <c r="D1369" s="737" t="s">
        <v>580</v>
      </c>
      <c r="E1369" s="738" t="s">
        <v>595</v>
      </c>
      <c r="F1369" s="739" t="s">
        <v>579</v>
      </c>
      <c r="G1369" s="776" t="s">
        <v>3419</v>
      </c>
      <c r="H1369" s="594">
        <v>44785</v>
      </c>
      <c r="I1369" s="595">
        <f t="shared" si="111"/>
        <v>8976210.81081081</v>
      </c>
      <c r="J1369" s="595">
        <f t="shared" si="112"/>
        <v>987383.18918918911</v>
      </c>
      <c r="K1369" s="596">
        <v>9963594</v>
      </c>
      <c r="L1369" s="597" t="s">
        <v>3890</v>
      </c>
    </row>
    <row r="1370" spans="1:12" s="429" customFormat="1" x14ac:dyDescent="0.2">
      <c r="A1370" s="316">
        <v>21</v>
      </c>
      <c r="B1370" s="591" t="s">
        <v>4458</v>
      </c>
      <c r="C1370" s="598" t="s">
        <v>4908</v>
      </c>
      <c r="D1370" s="737" t="s">
        <v>617</v>
      </c>
      <c r="E1370" s="738" t="s">
        <v>616</v>
      </c>
      <c r="F1370" s="739" t="s">
        <v>579</v>
      </c>
      <c r="G1370" s="776" t="s">
        <v>3420</v>
      </c>
      <c r="H1370" s="599">
        <v>44785</v>
      </c>
      <c r="I1370" s="595">
        <f t="shared" si="111"/>
        <v>235945.94594594592</v>
      </c>
      <c r="J1370" s="595">
        <f t="shared" si="112"/>
        <v>25954.05405405405</v>
      </c>
      <c r="K1370" s="596">
        <v>261900</v>
      </c>
      <c r="L1370" s="597" t="s">
        <v>3890</v>
      </c>
    </row>
    <row r="1371" spans="1:12" s="429" customFormat="1" x14ac:dyDescent="0.2">
      <c r="A1371" s="316">
        <v>22</v>
      </c>
      <c r="B1371" s="591" t="s">
        <v>4459</v>
      </c>
      <c r="C1371" s="598" t="s">
        <v>4909</v>
      </c>
      <c r="D1371" s="586" t="s">
        <v>1427</v>
      </c>
      <c r="E1371" s="587" t="s">
        <v>425</v>
      </c>
      <c r="F1371" s="588" t="s">
        <v>426</v>
      </c>
      <c r="G1371" s="761" t="s">
        <v>3421</v>
      </c>
      <c r="H1371" s="599">
        <v>44786</v>
      </c>
      <c r="I1371" s="595">
        <f t="shared" si="111"/>
        <v>13417297.297297297</v>
      </c>
      <c r="J1371" s="595">
        <f t="shared" si="112"/>
        <v>1475902.7027027027</v>
      </c>
      <c r="K1371" s="596">
        <v>14893200</v>
      </c>
      <c r="L1371" s="597" t="s">
        <v>3890</v>
      </c>
    </row>
    <row r="1372" spans="1:12" s="429" customFormat="1" x14ac:dyDescent="0.2">
      <c r="A1372" s="316">
        <v>23</v>
      </c>
      <c r="B1372" s="591" t="s">
        <v>4460</v>
      </c>
      <c r="C1372" s="598" t="s">
        <v>2800</v>
      </c>
      <c r="D1372" s="586" t="s">
        <v>1427</v>
      </c>
      <c r="E1372" s="587" t="s">
        <v>425</v>
      </c>
      <c r="F1372" s="588" t="s">
        <v>426</v>
      </c>
      <c r="G1372" s="776" t="s">
        <v>3422</v>
      </c>
      <c r="H1372" s="599">
        <v>44788</v>
      </c>
      <c r="I1372" s="595">
        <f t="shared" si="111"/>
        <v>41352972.972972967</v>
      </c>
      <c r="J1372" s="595">
        <f t="shared" si="112"/>
        <v>4548827.0270270268</v>
      </c>
      <c r="K1372" s="596">
        <v>45901800</v>
      </c>
      <c r="L1372" s="597" t="s">
        <v>3890</v>
      </c>
    </row>
    <row r="1373" spans="1:12" s="429" customFormat="1" x14ac:dyDescent="0.2">
      <c r="A1373" s="316">
        <v>24</v>
      </c>
      <c r="B1373" s="591" t="s">
        <v>4461</v>
      </c>
      <c r="C1373" s="598" t="s">
        <v>4910</v>
      </c>
      <c r="D1373" s="737" t="s">
        <v>580</v>
      </c>
      <c r="E1373" s="738" t="s">
        <v>595</v>
      </c>
      <c r="F1373" s="739" t="s">
        <v>579</v>
      </c>
      <c r="G1373" s="776" t="s">
        <v>3423</v>
      </c>
      <c r="H1373" s="599">
        <v>44788</v>
      </c>
      <c r="I1373" s="595">
        <f t="shared" si="111"/>
        <v>20978821.62162162</v>
      </c>
      <c r="J1373" s="595">
        <f t="shared" si="112"/>
        <v>2307670.3783783782</v>
      </c>
      <c r="K1373" s="596">
        <v>23286492</v>
      </c>
      <c r="L1373" s="597" t="s">
        <v>3890</v>
      </c>
    </row>
    <row r="1374" spans="1:12" s="429" customFormat="1" x14ac:dyDescent="0.2">
      <c r="A1374" s="316">
        <v>25</v>
      </c>
      <c r="B1374" s="591" t="s">
        <v>4462</v>
      </c>
      <c r="C1374" s="598" t="s">
        <v>4911</v>
      </c>
      <c r="D1374" s="737" t="s">
        <v>581</v>
      </c>
      <c r="E1374" s="746" t="s">
        <v>596</v>
      </c>
      <c r="F1374" s="746" t="s">
        <v>579</v>
      </c>
      <c r="G1374" s="761" t="s">
        <v>3424</v>
      </c>
      <c r="H1374" s="599">
        <v>44789</v>
      </c>
      <c r="I1374" s="595">
        <f t="shared" si="111"/>
        <v>3583459.4594594589</v>
      </c>
      <c r="J1374" s="595">
        <f t="shared" si="112"/>
        <v>394180.54054054047</v>
      </c>
      <c r="K1374" s="596">
        <v>3977640</v>
      </c>
      <c r="L1374" s="597" t="s">
        <v>3890</v>
      </c>
    </row>
    <row r="1375" spans="1:12" x14ac:dyDescent="0.2">
      <c r="A1375" s="316">
        <v>26</v>
      </c>
      <c r="B1375" s="591" t="s">
        <v>4463</v>
      </c>
      <c r="C1375" s="598" t="s">
        <v>4912</v>
      </c>
      <c r="D1375" s="737" t="s">
        <v>580</v>
      </c>
      <c r="E1375" s="738" t="s">
        <v>595</v>
      </c>
      <c r="F1375" s="739" t="s">
        <v>579</v>
      </c>
      <c r="G1375" s="776" t="s">
        <v>3425</v>
      </c>
      <c r="H1375" s="599">
        <v>44789</v>
      </c>
      <c r="I1375" s="595">
        <f t="shared" si="111"/>
        <v>5161945.9459459456</v>
      </c>
      <c r="J1375" s="595">
        <f t="shared" si="112"/>
        <v>567814.05405405397</v>
      </c>
      <c r="K1375" s="596">
        <v>5729760</v>
      </c>
      <c r="L1375" s="597" t="s">
        <v>3890</v>
      </c>
    </row>
    <row r="1376" spans="1:12" x14ac:dyDescent="0.2">
      <c r="A1376" s="316">
        <v>27</v>
      </c>
      <c r="B1376" s="591" t="s">
        <v>4464</v>
      </c>
      <c r="C1376" s="598" t="s">
        <v>4913</v>
      </c>
      <c r="D1376" s="586" t="s">
        <v>584</v>
      </c>
      <c r="E1376" s="587" t="s">
        <v>582</v>
      </c>
      <c r="F1376" s="588" t="s">
        <v>583</v>
      </c>
      <c r="G1376" s="776" t="s">
        <v>3426</v>
      </c>
      <c r="H1376" s="599">
        <v>44789</v>
      </c>
      <c r="I1376" s="595">
        <f t="shared" si="111"/>
        <v>1332612.6126126125</v>
      </c>
      <c r="J1376" s="595">
        <f t="shared" si="112"/>
        <v>146587.38738738737</v>
      </c>
      <c r="K1376" s="596">
        <v>1479200</v>
      </c>
      <c r="L1376" s="597" t="s">
        <v>3890</v>
      </c>
    </row>
    <row r="1377" spans="1:12" x14ac:dyDescent="0.2">
      <c r="A1377" s="316">
        <v>28</v>
      </c>
      <c r="B1377" s="591" t="s">
        <v>4465</v>
      </c>
      <c r="C1377" s="598" t="s">
        <v>4914</v>
      </c>
      <c r="D1377" s="751" t="s">
        <v>603</v>
      </c>
      <c r="E1377" s="752" t="s">
        <v>608</v>
      </c>
      <c r="F1377" s="753" t="s">
        <v>602</v>
      </c>
      <c r="G1377" s="761" t="s">
        <v>3427</v>
      </c>
      <c r="H1377" s="599">
        <v>44791</v>
      </c>
      <c r="I1377" s="595">
        <f t="shared" si="111"/>
        <v>3697297.297297297</v>
      </c>
      <c r="J1377" s="595">
        <f t="shared" si="112"/>
        <v>406702.70270270266</v>
      </c>
      <c r="K1377" s="596">
        <v>4104000</v>
      </c>
      <c r="L1377" s="597" t="s">
        <v>3890</v>
      </c>
    </row>
    <row r="1378" spans="1:12" x14ac:dyDescent="0.2">
      <c r="A1378" s="316">
        <v>29</v>
      </c>
      <c r="B1378" s="591" t="s">
        <v>4466</v>
      </c>
      <c r="C1378" s="598" t="s">
        <v>4915</v>
      </c>
      <c r="D1378" s="737" t="s">
        <v>580</v>
      </c>
      <c r="E1378" s="738" t="s">
        <v>595</v>
      </c>
      <c r="F1378" s="739" t="s">
        <v>579</v>
      </c>
      <c r="G1378" s="776" t="s">
        <v>3428</v>
      </c>
      <c r="H1378" s="599">
        <v>44793</v>
      </c>
      <c r="I1378" s="595">
        <f t="shared" si="111"/>
        <v>14487113.513513513</v>
      </c>
      <c r="J1378" s="595">
        <f t="shared" si="112"/>
        <v>1593582.4864864864</v>
      </c>
      <c r="K1378" s="596">
        <v>16080696</v>
      </c>
      <c r="L1378" s="597" t="s">
        <v>3889</v>
      </c>
    </row>
    <row r="1379" spans="1:12" x14ac:dyDescent="0.2">
      <c r="A1379" s="316">
        <v>30</v>
      </c>
      <c r="B1379" s="591" t="s">
        <v>4467</v>
      </c>
      <c r="C1379" s="598" t="s">
        <v>4916</v>
      </c>
      <c r="D1379" s="586" t="s">
        <v>1427</v>
      </c>
      <c r="E1379" s="587" t="s">
        <v>425</v>
      </c>
      <c r="F1379" s="588" t="s">
        <v>426</v>
      </c>
      <c r="G1379" s="776" t="s">
        <v>3429</v>
      </c>
      <c r="H1379" s="599">
        <v>44793</v>
      </c>
      <c r="I1379" s="595">
        <f t="shared" si="111"/>
        <v>15341351.351351351</v>
      </c>
      <c r="J1379" s="595">
        <f t="shared" si="112"/>
        <v>1687548.6486486485</v>
      </c>
      <c r="K1379" s="596">
        <v>17028900</v>
      </c>
      <c r="L1379" s="597" t="s">
        <v>3889</v>
      </c>
    </row>
    <row r="1380" spans="1:12" x14ac:dyDescent="0.2">
      <c r="A1380" s="316">
        <v>31</v>
      </c>
      <c r="B1380" s="591" t="s">
        <v>4468</v>
      </c>
      <c r="C1380" s="598" t="s">
        <v>4917</v>
      </c>
      <c r="D1380" s="737" t="s">
        <v>581</v>
      </c>
      <c r="E1380" s="746" t="s">
        <v>596</v>
      </c>
      <c r="F1380" s="746" t="s">
        <v>579</v>
      </c>
      <c r="G1380" s="761" t="s">
        <v>3430</v>
      </c>
      <c r="H1380" s="599">
        <v>44793</v>
      </c>
      <c r="I1380" s="595">
        <f t="shared" si="111"/>
        <v>8809102.7027027011</v>
      </c>
      <c r="J1380" s="595">
        <f t="shared" si="112"/>
        <v>969001.29729729716</v>
      </c>
      <c r="K1380" s="596">
        <v>9778104</v>
      </c>
      <c r="L1380" s="597" t="s">
        <v>3890</v>
      </c>
    </row>
    <row r="1381" spans="1:12" x14ac:dyDescent="0.2">
      <c r="A1381" s="316">
        <v>32</v>
      </c>
      <c r="B1381" s="591" t="s">
        <v>4469</v>
      </c>
      <c r="C1381" s="598" t="s">
        <v>4933</v>
      </c>
      <c r="D1381" s="737" t="s">
        <v>581</v>
      </c>
      <c r="E1381" s="746" t="s">
        <v>596</v>
      </c>
      <c r="F1381" s="746" t="s">
        <v>579</v>
      </c>
      <c r="G1381" s="776" t="s">
        <v>3431</v>
      </c>
      <c r="H1381" s="599">
        <v>44796</v>
      </c>
      <c r="I1381" s="595">
        <f t="shared" si="111"/>
        <v>12191286.486486485</v>
      </c>
      <c r="J1381" s="595">
        <f t="shared" si="112"/>
        <v>1341041.5135135134</v>
      </c>
      <c r="K1381" s="596">
        <v>13532328</v>
      </c>
      <c r="L1381" s="597" t="s">
        <v>3890</v>
      </c>
    </row>
    <row r="1382" spans="1:12" x14ac:dyDescent="0.2">
      <c r="A1382" s="316">
        <v>33</v>
      </c>
      <c r="B1382" s="591" t="s">
        <v>4470</v>
      </c>
      <c r="C1382" s="598" t="s">
        <v>4974</v>
      </c>
      <c r="D1382" s="586" t="s">
        <v>600</v>
      </c>
      <c r="E1382" s="593" t="s">
        <v>598</v>
      </c>
      <c r="F1382" s="593" t="s">
        <v>599</v>
      </c>
      <c r="G1382" s="776" t="s">
        <v>3432</v>
      </c>
      <c r="H1382" s="599">
        <v>44799</v>
      </c>
      <c r="I1382" s="595">
        <f t="shared" ref="I1382:I1400" si="113">K1382/1.11</f>
        <v>7264864.8648648644</v>
      </c>
      <c r="J1382" s="595">
        <f t="shared" ref="J1382:J1400" si="114">I1382*11%</f>
        <v>799135.13513513503</v>
      </c>
      <c r="K1382" s="596">
        <v>8064000</v>
      </c>
      <c r="L1382" s="597" t="s">
        <v>3890</v>
      </c>
    </row>
    <row r="1383" spans="1:12" x14ac:dyDescent="0.2">
      <c r="A1383" s="316">
        <v>34</v>
      </c>
      <c r="B1383" s="591" t="s">
        <v>4471</v>
      </c>
      <c r="C1383" s="598" t="s">
        <v>2708</v>
      </c>
      <c r="D1383" s="737" t="s">
        <v>588</v>
      </c>
      <c r="E1383" s="738" t="s">
        <v>597</v>
      </c>
      <c r="F1383" s="746" t="s">
        <v>1450</v>
      </c>
      <c r="G1383" s="761" t="s">
        <v>3433</v>
      </c>
      <c r="H1383" s="599">
        <v>44799</v>
      </c>
      <c r="I1383" s="595">
        <f t="shared" si="113"/>
        <v>3188918.9189189188</v>
      </c>
      <c r="J1383" s="595">
        <f t="shared" si="114"/>
        <v>350781.08108108107</v>
      </c>
      <c r="K1383" s="596">
        <v>3539700</v>
      </c>
      <c r="L1383" s="597" t="s">
        <v>3890</v>
      </c>
    </row>
    <row r="1384" spans="1:12" x14ac:dyDescent="0.2">
      <c r="A1384" s="316">
        <v>35</v>
      </c>
      <c r="B1384" s="591" t="s">
        <v>4472</v>
      </c>
      <c r="C1384" s="598" t="s">
        <v>4975</v>
      </c>
      <c r="D1384" s="586" t="s">
        <v>1427</v>
      </c>
      <c r="E1384" s="587" t="s">
        <v>425</v>
      </c>
      <c r="F1384" s="588" t="s">
        <v>426</v>
      </c>
      <c r="G1384" s="776" t="s">
        <v>3434</v>
      </c>
      <c r="H1384" s="599">
        <v>44799</v>
      </c>
      <c r="I1384" s="595">
        <f t="shared" si="113"/>
        <v>14245945.945945945</v>
      </c>
      <c r="J1384" s="595">
        <f t="shared" si="114"/>
        <v>1567054.054054054</v>
      </c>
      <c r="K1384" s="596">
        <v>15813000</v>
      </c>
      <c r="L1384" s="597" t="s">
        <v>3890</v>
      </c>
    </row>
    <row r="1385" spans="1:12" x14ac:dyDescent="0.2">
      <c r="A1385" s="316">
        <v>36</v>
      </c>
      <c r="B1385" s="591" t="s">
        <v>4473</v>
      </c>
      <c r="C1385" s="598" t="s">
        <v>4976</v>
      </c>
      <c r="D1385" s="737" t="s">
        <v>580</v>
      </c>
      <c r="E1385" s="738" t="s">
        <v>595</v>
      </c>
      <c r="F1385" s="739" t="s">
        <v>579</v>
      </c>
      <c r="G1385" s="776" t="s">
        <v>3435</v>
      </c>
      <c r="H1385" s="599">
        <v>44799</v>
      </c>
      <c r="I1385" s="595">
        <f t="shared" si="113"/>
        <v>9538378.3783783782</v>
      </c>
      <c r="J1385" s="595">
        <f t="shared" si="114"/>
        <v>1049221.6216216215</v>
      </c>
      <c r="K1385" s="596">
        <v>10587600</v>
      </c>
      <c r="L1385" s="597" t="s">
        <v>3890</v>
      </c>
    </row>
    <row r="1386" spans="1:12" x14ac:dyDescent="0.2">
      <c r="A1386" s="316">
        <v>37</v>
      </c>
      <c r="B1386" s="591" t="s">
        <v>4474</v>
      </c>
      <c r="C1386" s="598" t="s">
        <v>4977</v>
      </c>
      <c r="D1386" s="737" t="s">
        <v>621</v>
      </c>
      <c r="E1386" s="738" t="s">
        <v>619</v>
      </c>
      <c r="F1386" s="739" t="s">
        <v>620</v>
      </c>
      <c r="G1386" s="761" t="s">
        <v>3436</v>
      </c>
      <c r="H1386" s="599">
        <v>44799</v>
      </c>
      <c r="I1386" s="595">
        <f t="shared" si="113"/>
        <v>913621.62162162154</v>
      </c>
      <c r="J1386" s="595">
        <f t="shared" si="114"/>
        <v>100498.37837837837</v>
      </c>
      <c r="K1386" s="596">
        <v>1014120</v>
      </c>
      <c r="L1386" s="597" t="s">
        <v>3890</v>
      </c>
    </row>
    <row r="1387" spans="1:12" x14ac:dyDescent="0.2">
      <c r="A1387" s="316">
        <v>38</v>
      </c>
      <c r="B1387" s="591" t="s">
        <v>4475</v>
      </c>
      <c r="C1387" s="598" t="s">
        <v>4978</v>
      </c>
      <c r="D1387" s="586" t="s">
        <v>1427</v>
      </c>
      <c r="E1387" s="587" t="s">
        <v>425</v>
      </c>
      <c r="F1387" s="588" t="s">
        <v>426</v>
      </c>
      <c r="G1387" s="776" t="s">
        <v>3437</v>
      </c>
      <c r="H1387" s="599">
        <v>44800</v>
      </c>
      <c r="I1387" s="595">
        <f t="shared" si="113"/>
        <v>15791148.648648648</v>
      </c>
      <c r="J1387" s="595">
        <f t="shared" si="114"/>
        <v>1737026.3513513512</v>
      </c>
      <c r="K1387" s="596">
        <v>17528175</v>
      </c>
      <c r="L1387" s="597" t="s">
        <v>3890</v>
      </c>
    </row>
    <row r="1388" spans="1:12" x14ac:dyDescent="0.2">
      <c r="A1388" s="316">
        <v>39</v>
      </c>
      <c r="B1388" s="591" t="s">
        <v>4476</v>
      </c>
      <c r="C1388" s="598" t="s">
        <v>4979</v>
      </c>
      <c r="D1388" s="737" t="s">
        <v>607</v>
      </c>
      <c r="E1388" s="738" t="s">
        <v>605</v>
      </c>
      <c r="F1388" s="739" t="s">
        <v>606</v>
      </c>
      <c r="G1388" s="776" t="s">
        <v>3438</v>
      </c>
      <c r="H1388" s="599">
        <v>44800</v>
      </c>
      <c r="I1388" s="595">
        <f t="shared" si="113"/>
        <v>18184864.864864863</v>
      </c>
      <c r="J1388" s="595">
        <f t="shared" si="114"/>
        <v>2000335.1351351349</v>
      </c>
      <c r="K1388" s="596">
        <v>20185200</v>
      </c>
      <c r="L1388" s="597" t="s">
        <v>3891</v>
      </c>
    </row>
    <row r="1389" spans="1:12" x14ac:dyDescent="0.2">
      <c r="A1389" s="316">
        <v>40</v>
      </c>
      <c r="B1389" s="591" t="s">
        <v>4477</v>
      </c>
      <c r="C1389" s="598" t="s">
        <v>4980</v>
      </c>
      <c r="D1389" s="586" t="s">
        <v>584</v>
      </c>
      <c r="E1389" s="587" t="s">
        <v>582</v>
      </c>
      <c r="F1389" s="588" t="s">
        <v>583</v>
      </c>
      <c r="G1389" s="761" t="s">
        <v>3439</v>
      </c>
      <c r="H1389" s="599">
        <v>44800</v>
      </c>
      <c r="I1389" s="595">
        <f t="shared" si="113"/>
        <v>292792.79279279278</v>
      </c>
      <c r="J1389" s="595">
        <f t="shared" si="114"/>
        <v>32207.207207207208</v>
      </c>
      <c r="K1389" s="596">
        <v>325000</v>
      </c>
      <c r="L1389" s="597" t="s">
        <v>3890</v>
      </c>
    </row>
    <row r="1390" spans="1:12" x14ac:dyDescent="0.2">
      <c r="A1390" s="316">
        <v>41</v>
      </c>
      <c r="B1390" s="591" t="s">
        <v>4478</v>
      </c>
      <c r="C1390" s="598" t="s">
        <v>4983</v>
      </c>
      <c r="D1390" s="737" t="s">
        <v>581</v>
      </c>
      <c r="E1390" s="746" t="s">
        <v>596</v>
      </c>
      <c r="F1390" s="746" t="s">
        <v>579</v>
      </c>
      <c r="G1390" s="776" t="s">
        <v>3440</v>
      </c>
      <c r="H1390" s="594">
        <v>44802</v>
      </c>
      <c r="I1390" s="595">
        <f t="shared" si="113"/>
        <v>1809599.9999999998</v>
      </c>
      <c r="J1390" s="595">
        <f t="shared" si="114"/>
        <v>199055.99999999997</v>
      </c>
      <c r="K1390" s="596">
        <v>2008656</v>
      </c>
      <c r="L1390" s="597" t="s">
        <v>3890</v>
      </c>
    </row>
    <row r="1391" spans="1:12" x14ac:dyDescent="0.2">
      <c r="A1391" s="316">
        <v>42</v>
      </c>
      <c r="B1391" s="591" t="s">
        <v>4479</v>
      </c>
      <c r="C1391" s="598" t="s">
        <v>4984</v>
      </c>
      <c r="D1391" s="737" t="s">
        <v>580</v>
      </c>
      <c r="E1391" s="738" t="s">
        <v>595</v>
      </c>
      <c r="F1391" s="739" t="s">
        <v>579</v>
      </c>
      <c r="G1391" s="776" t="s">
        <v>3441</v>
      </c>
      <c r="H1391" s="599">
        <v>44802</v>
      </c>
      <c r="I1391" s="595">
        <f t="shared" si="113"/>
        <v>4402616.2162162159</v>
      </c>
      <c r="J1391" s="595">
        <f t="shared" si="114"/>
        <v>484287.78378378373</v>
      </c>
      <c r="K1391" s="596">
        <v>4886904</v>
      </c>
      <c r="L1391" s="597" t="s">
        <v>3890</v>
      </c>
    </row>
    <row r="1392" spans="1:12" x14ac:dyDescent="0.2">
      <c r="A1392" s="316">
        <v>43</v>
      </c>
      <c r="B1392" s="591" t="s">
        <v>4480</v>
      </c>
      <c r="C1392" s="598" t="s">
        <v>4985</v>
      </c>
      <c r="D1392" s="586" t="s">
        <v>1427</v>
      </c>
      <c r="E1392" s="587" t="s">
        <v>425</v>
      </c>
      <c r="F1392" s="588" t="s">
        <v>426</v>
      </c>
      <c r="G1392" s="761" t="s">
        <v>3442</v>
      </c>
      <c r="H1392" s="599">
        <v>44802</v>
      </c>
      <c r="I1392" s="595">
        <f t="shared" si="113"/>
        <v>6606486.4864864862</v>
      </c>
      <c r="J1392" s="595">
        <f t="shared" si="114"/>
        <v>726713.51351351349</v>
      </c>
      <c r="K1392" s="596">
        <v>7333200</v>
      </c>
      <c r="L1392" s="597" t="s">
        <v>3890</v>
      </c>
    </row>
    <row r="1393" spans="1:12" x14ac:dyDescent="0.2">
      <c r="A1393" s="316">
        <v>44</v>
      </c>
      <c r="B1393" s="591" t="s">
        <v>4481</v>
      </c>
      <c r="C1393" s="598" t="s">
        <v>2759</v>
      </c>
      <c r="D1393" s="737" t="s">
        <v>581</v>
      </c>
      <c r="E1393" s="746" t="s">
        <v>596</v>
      </c>
      <c r="F1393" s="746" t="s">
        <v>579</v>
      </c>
      <c r="G1393" s="776" t="s">
        <v>3443</v>
      </c>
      <c r="H1393" s="599">
        <v>44797</v>
      </c>
      <c r="I1393" s="595">
        <f t="shared" si="113"/>
        <v>5660172.9729729723</v>
      </c>
      <c r="J1393" s="595">
        <f t="shared" si="114"/>
        <v>622619.02702702698</v>
      </c>
      <c r="K1393" s="596">
        <v>6282792</v>
      </c>
      <c r="L1393" s="597" t="s">
        <v>3890</v>
      </c>
    </row>
    <row r="1394" spans="1:12" x14ac:dyDescent="0.2">
      <c r="A1394" s="316">
        <v>45</v>
      </c>
      <c r="B1394" s="591" t="s">
        <v>4482</v>
      </c>
      <c r="C1394" s="598" t="s">
        <v>5005</v>
      </c>
      <c r="D1394" s="737" t="s">
        <v>581</v>
      </c>
      <c r="E1394" s="746" t="s">
        <v>596</v>
      </c>
      <c r="F1394" s="746" t="s">
        <v>579</v>
      </c>
      <c r="G1394" s="776" t="s">
        <v>3444</v>
      </c>
      <c r="H1394" s="599">
        <v>44804</v>
      </c>
      <c r="I1394" s="595">
        <f t="shared" si="113"/>
        <v>3927697.297297297</v>
      </c>
      <c r="J1394" s="595">
        <f t="shared" si="114"/>
        <v>432046.70270270266</v>
      </c>
      <c r="K1394" s="596">
        <v>4359744</v>
      </c>
      <c r="L1394" s="597" t="s">
        <v>3890</v>
      </c>
    </row>
    <row r="1395" spans="1:12" x14ac:dyDescent="0.2">
      <c r="A1395" s="316">
        <v>46</v>
      </c>
      <c r="B1395" s="591" t="s">
        <v>4483</v>
      </c>
      <c r="C1395" s="598" t="s">
        <v>5006</v>
      </c>
      <c r="D1395" s="586" t="s">
        <v>600</v>
      </c>
      <c r="E1395" s="593" t="s">
        <v>598</v>
      </c>
      <c r="F1395" s="593" t="s">
        <v>599</v>
      </c>
      <c r="G1395" s="761" t="s">
        <v>3445</v>
      </c>
      <c r="H1395" s="599">
        <v>44804</v>
      </c>
      <c r="I1395" s="595">
        <f t="shared" si="113"/>
        <v>5081081.0810810803</v>
      </c>
      <c r="J1395" s="595">
        <f t="shared" si="114"/>
        <v>558918.91891891882</v>
      </c>
      <c r="K1395" s="596">
        <v>5640000</v>
      </c>
      <c r="L1395" s="597" t="s">
        <v>3892</v>
      </c>
    </row>
    <row r="1396" spans="1:12" x14ac:dyDescent="0.2">
      <c r="A1396" s="316">
        <v>47</v>
      </c>
      <c r="B1396" s="591" t="s">
        <v>4484</v>
      </c>
      <c r="C1396" s="598" t="s">
        <v>5007</v>
      </c>
      <c r="D1396" s="737" t="s">
        <v>580</v>
      </c>
      <c r="E1396" s="738" t="s">
        <v>595</v>
      </c>
      <c r="F1396" s="739" t="s">
        <v>579</v>
      </c>
      <c r="G1396" s="776" t="s">
        <v>3446</v>
      </c>
      <c r="H1396" s="599">
        <v>44804</v>
      </c>
      <c r="I1396" s="595">
        <f t="shared" si="113"/>
        <v>3822364.8648648644</v>
      </c>
      <c r="J1396" s="595">
        <f t="shared" si="114"/>
        <v>420460.13513513509</v>
      </c>
      <c r="K1396" s="596">
        <v>4242825</v>
      </c>
      <c r="L1396" s="597" t="s">
        <v>3890</v>
      </c>
    </row>
    <row r="1397" spans="1:12" x14ac:dyDescent="0.2">
      <c r="A1397" s="316">
        <v>48</v>
      </c>
      <c r="B1397" s="591" t="s">
        <v>4485</v>
      </c>
      <c r="C1397" s="598" t="s">
        <v>5065</v>
      </c>
      <c r="D1397" s="737" t="s">
        <v>617</v>
      </c>
      <c r="E1397" s="738" t="s">
        <v>616</v>
      </c>
      <c r="F1397" s="739" t="s">
        <v>579</v>
      </c>
      <c r="G1397" s="776" t="s">
        <v>3447</v>
      </c>
      <c r="H1397" s="599">
        <v>44804</v>
      </c>
      <c r="I1397" s="595">
        <f t="shared" si="113"/>
        <v>2522522.5225225221</v>
      </c>
      <c r="J1397" s="595">
        <f t="shared" si="114"/>
        <v>277477.47747747746</v>
      </c>
      <c r="K1397" s="596">
        <v>2800000</v>
      </c>
      <c r="L1397" s="597" t="s">
        <v>3890</v>
      </c>
    </row>
    <row r="1398" spans="1:12" x14ac:dyDescent="0.2">
      <c r="A1398" s="316">
        <v>49</v>
      </c>
      <c r="B1398" s="591" t="s">
        <v>4486</v>
      </c>
      <c r="C1398" s="598" t="s">
        <v>5066</v>
      </c>
      <c r="D1398" s="586" t="s">
        <v>671</v>
      </c>
      <c r="E1398" s="587" t="s">
        <v>672</v>
      </c>
      <c r="F1398" s="588" t="s">
        <v>673</v>
      </c>
      <c r="G1398" s="761" t="s">
        <v>3448</v>
      </c>
      <c r="H1398" s="599">
        <v>44804</v>
      </c>
      <c r="I1398" s="595">
        <f t="shared" si="113"/>
        <v>377027.02702702698</v>
      </c>
      <c r="J1398" s="595">
        <f t="shared" si="114"/>
        <v>41472.972972972966</v>
      </c>
      <c r="K1398" s="596">
        <v>418500</v>
      </c>
      <c r="L1398" s="597" t="s">
        <v>3890</v>
      </c>
    </row>
    <row r="1399" spans="1:12" x14ac:dyDescent="0.2">
      <c r="A1399" s="316">
        <v>50</v>
      </c>
      <c r="B1399" s="591" t="s">
        <v>4487</v>
      </c>
      <c r="C1399" s="598" t="s">
        <v>5067</v>
      </c>
      <c r="D1399" s="586" t="s">
        <v>1427</v>
      </c>
      <c r="E1399" s="587" t="s">
        <v>425</v>
      </c>
      <c r="F1399" s="588" t="s">
        <v>426</v>
      </c>
      <c r="G1399" s="776" t="s">
        <v>3449</v>
      </c>
      <c r="H1399" s="599">
        <v>44804</v>
      </c>
      <c r="I1399" s="595">
        <f t="shared" si="113"/>
        <v>1793513.5135135134</v>
      </c>
      <c r="J1399" s="595">
        <f t="shared" si="114"/>
        <v>197286.48648648648</v>
      </c>
      <c r="K1399" s="596">
        <v>1990800</v>
      </c>
      <c r="L1399" s="597" t="s">
        <v>3890</v>
      </c>
    </row>
    <row r="1400" spans="1:12" x14ac:dyDescent="0.2">
      <c r="A1400" s="316">
        <v>51</v>
      </c>
      <c r="B1400" s="591" t="s">
        <v>4488</v>
      </c>
      <c r="C1400" s="598" t="s">
        <v>5068</v>
      </c>
      <c r="D1400" s="769" t="s">
        <v>591</v>
      </c>
      <c r="E1400" s="752" t="s">
        <v>777</v>
      </c>
      <c r="F1400" s="753" t="s">
        <v>590</v>
      </c>
      <c r="G1400" s="776" t="s">
        <v>3450</v>
      </c>
      <c r="H1400" s="599">
        <v>44804</v>
      </c>
      <c r="I1400" s="595">
        <f t="shared" si="113"/>
        <v>1264909.9099099098</v>
      </c>
      <c r="J1400" s="595">
        <f t="shared" si="114"/>
        <v>139140.09009009009</v>
      </c>
      <c r="K1400" s="596">
        <v>1404050</v>
      </c>
      <c r="L1400" s="597" t="s">
        <v>3890</v>
      </c>
    </row>
    <row r="1401" spans="1:12" x14ac:dyDescent="0.2">
      <c r="A1401" s="316">
        <v>52</v>
      </c>
      <c r="B1401" s="591" t="s">
        <v>4498</v>
      </c>
      <c r="C1401" s="598" t="s">
        <v>5277</v>
      </c>
      <c r="D1401" s="751" t="s">
        <v>603</v>
      </c>
      <c r="E1401" s="752" t="s">
        <v>608</v>
      </c>
      <c r="F1401" s="753" t="s">
        <v>602</v>
      </c>
      <c r="G1401" s="761" t="s">
        <v>3451</v>
      </c>
      <c r="H1401" s="599">
        <v>44791</v>
      </c>
      <c r="I1401" s="595">
        <f>K1401/1.11</f>
        <v>2724324.3243243243</v>
      </c>
      <c r="J1401" s="595">
        <f>I1401*11%</f>
        <v>299675.67567567568</v>
      </c>
      <c r="K1401" s="596">
        <v>3024000</v>
      </c>
      <c r="L1401" s="597"/>
    </row>
    <row r="1402" spans="1:12" x14ac:dyDescent="0.2">
      <c r="A1402" s="316">
        <v>53</v>
      </c>
      <c r="B1402" s="591" t="s">
        <v>4489</v>
      </c>
      <c r="C1402" s="598" t="s">
        <v>5258</v>
      </c>
      <c r="D1402" s="586"/>
      <c r="E1402" s="593" t="s">
        <v>2576</v>
      </c>
      <c r="F1402" s="593" t="s">
        <v>2368</v>
      </c>
      <c r="G1402" s="761"/>
      <c r="H1402" s="594">
        <v>44775</v>
      </c>
      <c r="I1402" s="595">
        <f t="shared" ref="I1402:I1412" si="115">K1402/1.11</f>
        <v>31735183.783783782</v>
      </c>
      <c r="J1402" s="595">
        <f t="shared" ref="J1402:J1412" si="116">I1402*11%</f>
        <v>3490870.2162162159</v>
      </c>
      <c r="K1402" s="596">
        <f>1012662+818775+1857600+17348463+10962810+3225744</f>
        <v>35226054</v>
      </c>
      <c r="L1402" s="597"/>
    </row>
    <row r="1403" spans="1:12" x14ac:dyDescent="0.2">
      <c r="A1403" s="316">
        <v>54</v>
      </c>
      <c r="B1403" s="591" t="s">
        <v>4490</v>
      </c>
      <c r="C1403" s="598" t="s">
        <v>5568</v>
      </c>
      <c r="D1403" s="586"/>
      <c r="E1403" s="587" t="s">
        <v>1755</v>
      </c>
      <c r="F1403" s="588" t="s">
        <v>1104</v>
      </c>
      <c r="G1403" s="776"/>
      <c r="H1403" s="599">
        <v>44775</v>
      </c>
      <c r="I1403" s="595">
        <f t="shared" si="115"/>
        <v>15565924.324324323</v>
      </c>
      <c r="J1403" s="595">
        <f t="shared" si="116"/>
        <v>1712251.6756756755</v>
      </c>
      <c r="K1403" s="596">
        <f>8224416+3423000+5630760</f>
        <v>17278176</v>
      </c>
      <c r="L1403" s="597"/>
    </row>
    <row r="1404" spans="1:12" x14ac:dyDescent="0.2">
      <c r="A1404" s="316">
        <v>55</v>
      </c>
      <c r="B1404" s="591" t="s">
        <v>4491</v>
      </c>
      <c r="C1404" s="598" t="s">
        <v>5304</v>
      </c>
      <c r="D1404" s="586"/>
      <c r="E1404" s="587" t="s">
        <v>1738</v>
      </c>
      <c r="F1404" s="588" t="s">
        <v>1055</v>
      </c>
      <c r="G1404" s="776"/>
      <c r="H1404" s="599">
        <v>44776</v>
      </c>
      <c r="I1404" s="595">
        <f t="shared" si="115"/>
        <v>22496594.594594594</v>
      </c>
      <c r="J1404" s="595">
        <f t="shared" si="116"/>
        <v>2474625.4054054054</v>
      </c>
      <c r="K1404" s="596">
        <f>19206720+2608200+3156300</f>
        <v>24971220</v>
      </c>
      <c r="L1404" s="597"/>
    </row>
    <row r="1405" spans="1:12" x14ac:dyDescent="0.2">
      <c r="A1405" s="316">
        <v>56</v>
      </c>
      <c r="B1405" s="591" t="s">
        <v>4492</v>
      </c>
      <c r="C1405" s="598" t="s">
        <v>5553</v>
      </c>
      <c r="D1405" s="586"/>
      <c r="E1405" s="601" t="s">
        <v>1010</v>
      </c>
      <c r="F1405" s="588" t="s">
        <v>984</v>
      </c>
      <c r="G1405" s="761"/>
      <c r="H1405" s="599">
        <v>44776</v>
      </c>
      <c r="I1405" s="595">
        <f t="shared" si="115"/>
        <v>2706202.7027027025</v>
      </c>
      <c r="J1405" s="595">
        <f t="shared" si="116"/>
        <v>297682.29729729728</v>
      </c>
      <c r="K1405" s="596">
        <f>146205+2857680</f>
        <v>3003885</v>
      </c>
      <c r="L1405" s="597"/>
    </row>
    <row r="1406" spans="1:12" x14ac:dyDescent="0.2">
      <c r="A1406" s="316">
        <v>57</v>
      </c>
      <c r="B1406" s="591" t="s">
        <v>4493</v>
      </c>
      <c r="C1406" s="598" t="s">
        <v>5295</v>
      </c>
      <c r="D1406" s="586"/>
      <c r="E1406" s="587" t="s">
        <v>965</v>
      </c>
      <c r="F1406" s="588" t="s">
        <v>966</v>
      </c>
      <c r="G1406" s="776"/>
      <c r="H1406" s="599">
        <v>44777</v>
      </c>
      <c r="I1406" s="595">
        <f t="shared" si="115"/>
        <v>21378434.234234232</v>
      </c>
      <c r="J1406" s="595">
        <f t="shared" si="116"/>
        <v>2351627.7657657657</v>
      </c>
      <c r="K1406" s="596">
        <f>7433712+1205400+15090950</f>
        <v>23730062</v>
      </c>
      <c r="L1406" s="597"/>
    </row>
    <row r="1407" spans="1:12" x14ac:dyDescent="0.2">
      <c r="A1407" s="316">
        <v>58</v>
      </c>
      <c r="B1407" s="591" t="s">
        <v>4494</v>
      </c>
      <c r="C1407" s="598" t="s">
        <v>5294</v>
      </c>
      <c r="D1407" s="586"/>
      <c r="E1407" s="587" t="s">
        <v>1062</v>
      </c>
      <c r="F1407" s="588" t="s">
        <v>966</v>
      </c>
      <c r="G1407" s="776"/>
      <c r="H1407" s="599">
        <v>44777</v>
      </c>
      <c r="I1407" s="595">
        <f t="shared" si="115"/>
        <v>18836809.909909908</v>
      </c>
      <c r="J1407" s="595">
        <f t="shared" si="116"/>
        <v>2072049.0900900899</v>
      </c>
      <c r="K1407" s="596">
        <f>8123184+1203125+11582550</f>
        <v>20908859</v>
      </c>
      <c r="L1407" s="597"/>
    </row>
    <row r="1408" spans="1:12" x14ac:dyDescent="0.2">
      <c r="A1408" s="316">
        <v>59</v>
      </c>
      <c r="B1408" s="591" t="s">
        <v>4495</v>
      </c>
      <c r="C1408" s="598" t="s">
        <v>5378</v>
      </c>
      <c r="D1408" s="586"/>
      <c r="E1408" s="587" t="s">
        <v>972</v>
      </c>
      <c r="F1408" s="588" t="s">
        <v>966</v>
      </c>
      <c r="G1408" s="761"/>
      <c r="H1408" s="599">
        <v>44777</v>
      </c>
      <c r="I1408" s="595">
        <f t="shared" si="115"/>
        <v>8960810.81081081</v>
      </c>
      <c r="J1408" s="595">
        <f t="shared" si="116"/>
        <v>985689.18918918911</v>
      </c>
      <c r="K1408" s="596">
        <f>1368000+5390700+3187800</f>
        <v>9946500</v>
      </c>
      <c r="L1408" s="597"/>
    </row>
    <row r="1409" spans="1:12" x14ac:dyDescent="0.2">
      <c r="A1409" s="316">
        <v>60</v>
      </c>
      <c r="B1409" s="591" t="s">
        <v>4496</v>
      </c>
      <c r="C1409" s="598" t="s">
        <v>5259</v>
      </c>
      <c r="D1409" s="586"/>
      <c r="E1409" s="587" t="s">
        <v>1773</v>
      </c>
      <c r="F1409" s="588" t="s">
        <v>966</v>
      </c>
      <c r="G1409" s="776"/>
      <c r="H1409" s="599">
        <v>44777</v>
      </c>
      <c r="I1409" s="595">
        <f t="shared" si="115"/>
        <v>5449662.1621621614</v>
      </c>
      <c r="J1409" s="595">
        <f t="shared" si="116"/>
        <v>599462.83783783775</v>
      </c>
      <c r="K1409" s="596">
        <v>6049125</v>
      </c>
      <c r="L1409" s="597"/>
    </row>
    <row r="1410" spans="1:12" x14ac:dyDescent="0.2">
      <c r="A1410" s="316">
        <v>61</v>
      </c>
      <c r="B1410" s="591" t="s">
        <v>4497</v>
      </c>
      <c r="C1410" s="598" t="s">
        <v>5300</v>
      </c>
      <c r="D1410" s="586"/>
      <c r="E1410" s="587" t="s">
        <v>1006</v>
      </c>
      <c r="F1410" s="588" t="s">
        <v>984</v>
      </c>
      <c r="G1410" s="776"/>
      <c r="H1410" s="599">
        <v>44777</v>
      </c>
      <c r="I1410" s="595">
        <f t="shared" si="115"/>
        <v>10343392.792792792</v>
      </c>
      <c r="J1410" s="595">
        <f t="shared" si="116"/>
        <v>1137773.2072072071</v>
      </c>
      <c r="K1410" s="596">
        <f>4842891+6234025+404250</f>
        <v>11481166</v>
      </c>
      <c r="L1410" s="597"/>
    </row>
    <row r="1411" spans="1:12" x14ac:dyDescent="0.2">
      <c r="A1411" s="316">
        <v>62</v>
      </c>
      <c r="B1411" s="591" t="s">
        <v>4499</v>
      </c>
      <c r="C1411" s="598" t="s">
        <v>5282</v>
      </c>
      <c r="D1411" s="586"/>
      <c r="E1411" s="587" t="s">
        <v>976</v>
      </c>
      <c r="F1411" s="588" t="s">
        <v>977</v>
      </c>
      <c r="G1411" s="776"/>
      <c r="H1411" s="599">
        <v>44777</v>
      </c>
      <c r="I1411" s="595">
        <f t="shared" si="115"/>
        <v>16820854.054054052</v>
      </c>
      <c r="J1411" s="595">
        <f t="shared" si="116"/>
        <v>1850293.9459459458</v>
      </c>
      <c r="K1411" s="596">
        <f>6648480+3878280+8144388</f>
        <v>18671148</v>
      </c>
      <c r="L1411" s="597"/>
    </row>
    <row r="1412" spans="1:12" x14ac:dyDescent="0.2">
      <c r="A1412" s="316">
        <v>63</v>
      </c>
      <c r="B1412" s="591" t="s">
        <v>4500</v>
      </c>
      <c r="C1412" s="598" t="s">
        <v>5500</v>
      </c>
      <c r="D1412" s="586"/>
      <c r="E1412" s="587" t="s">
        <v>1043</v>
      </c>
      <c r="F1412" s="588" t="s">
        <v>620</v>
      </c>
      <c r="G1412" s="776"/>
      <c r="H1412" s="599">
        <v>44777</v>
      </c>
      <c r="I1412" s="595">
        <f t="shared" si="115"/>
        <v>1454347.7477477477</v>
      </c>
      <c r="J1412" s="595">
        <f t="shared" si="116"/>
        <v>159978.25225225225</v>
      </c>
      <c r="K1412" s="596">
        <f>1218888+273338+122100</f>
        <v>1614326</v>
      </c>
      <c r="L1412" s="597"/>
    </row>
    <row r="1413" spans="1:12" x14ac:dyDescent="0.2">
      <c r="A1413" s="316">
        <v>64</v>
      </c>
      <c r="B1413" s="591" t="s">
        <v>4501</v>
      </c>
      <c r="C1413" s="598" t="s">
        <v>5522</v>
      </c>
      <c r="D1413" s="586"/>
      <c r="E1413" s="587" t="s">
        <v>1060</v>
      </c>
      <c r="F1413" s="588" t="s">
        <v>1061</v>
      </c>
      <c r="G1413" s="761"/>
      <c r="H1413" s="599">
        <v>44777</v>
      </c>
      <c r="I1413" s="595">
        <f t="shared" ref="I1413:I1476" si="117">K1413/1.11</f>
        <v>3112463.9639639636</v>
      </c>
      <c r="J1413" s="595">
        <f t="shared" ref="J1413:J1476" si="118">I1413*11%</f>
        <v>342371.03603603598</v>
      </c>
      <c r="K1413" s="596">
        <f>338580+2613980+502275</f>
        <v>3454835</v>
      </c>
      <c r="L1413" s="597"/>
    </row>
    <row r="1414" spans="1:12" x14ac:dyDescent="0.2">
      <c r="A1414" s="316">
        <v>65</v>
      </c>
      <c r="B1414" s="591" t="s">
        <v>4502</v>
      </c>
      <c r="C1414" s="598" t="s">
        <v>5306</v>
      </c>
      <c r="D1414" s="586"/>
      <c r="E1414" s="587" t="s">
        <v>992</v>
      </c>
      <c r="F1414" s="588" t="s">
        <v>993</v>
      </c>
      <c r="G1414" s="776"/>
      <c r="H1414" s="599">
        <v>44776</v>
      </c>
      <c r="I1414" s="595">
        <f t="shared" si="117"/>
        <v>29928944.14414414</v>
      </c>
      <c r="J1414" s="595">
        <f t="shared" si="118"/>
        <v>3292183.8558558556</v>
      </c>
      <c r="K1414" s="596">
        <f>4175820+4914000+24131308</f>
        <v>33221128</v>
      </c>
      <c r="L1414" s="597"/>
    </row>
    <row r="1415" spans="1:12" x14ac:dyDescent="0.2">
      <c r="A1415" s="316">
        <v>66</v>
      </c>
      <c r="B1415" s="591" t="s">
        <v>4503</v>
      </c>
      <c r="C1415" s="598" t="s">
        <v>5327</v>
      </c>
      <c r="D1415" s="586"/>
      <c r="E1415" s="587" t="s">
        <v>992</v>
      </c>
      <c r="F1415" s="588" t="s">
        <v>1075</v>
      </c>
      <c r="G1415" s="776"/>
      <c r="H1415" s="599">
        <v>44777</v>
      </c>
      <c r="I1415" s="595">
        <f t="shared" si="117"/>
        <v>8415740.5405405406</v>
      </c>
      <c r="J1415" s="595">
        <f t="shared" si="118"/>
        <v>925731.45945945953</v>
      </c>
      <c r="K1415" s="596">
        <f>6209352+903000+2229120</f>
        <v>9341472</v>
      </c>
      <c r="L1415" s="597"/>
    </row>
    <row r="1416" spans="1:12" x14ac:dyDescent="0.2">
      <c r="A1416" s="316">
        <v>67</v>
      </c>
      <c r="B1416" s="591" t="s">
        <v>4504</v>
      </c>
      <c r="C1416" s="598" t="s">
        <v>5307</v>
      </c>
      <c r="D1416" s="586"/>
      <c r="E1416" s="587" t="s">
        <v>1016</v>
      </c>
      <c r="F1416" s="588" t="s">
        <v>1017</v>
      </c>
      <c r="G1416" s="761"/>
      <c r="H1416" s="599">
        <v>44777</v>
      </c>
      <c r="I1416" s="595">
        <f t="shared" si="117"/>
        <v>7341233.333333333</v>
      </c>
      <c r="J1416" s="595">
        <f t="shared" si="118"/>
        <v>807535.66666666663</v>
      </c>
      <c r="K1416" s="596">
        <f>6083154+1553740+511875</f>
        <v>8148769</v>
      </c>
      <c r="L1416" s="597"/>
    </row>
    <row r="1417" spans="1:12" x14ac:dyDescent="0.2">
      <c r="A1417" s="316">
        <v>68</v>
      </c>
      <c r="B1417" s="591" t="s">
        <v>4505</v>
      </c>
      <c r="C1417" s="598" t="s">
        <v>5293</v>
      </c>
      <c r="D1417" s="586"/>
      <c r="E1417" s="587" t="s">
        <v>992</v>
      </c>
      <c r="F1417" s="588" t="s">
        <v>673</v>
      </c>
      <c r="G1417" s="776"/>
      <c r="H1417" s="599">
        <v>44777</v>
      </c>
      <c r="I1417" s="595">
        <f t="shared" si="117"/>
        <v>18294108.108108107</v>
      </c>
      <c r="J1417" s="595">
        <f t="shared" si="118"/>
        <v>2012351.8918918918</v>
      </c>
      <c r="K1417" s="596">
        <f>4288680+4801680+11216100</f>
        <v>20306460</v>
      </c>
      <c r="L1417" s="597"/>
    </row>
    <row r="1418" spans="1:12" x14ac:dyDescent="0.2">
      <c r="A1418" s="316">
        <v>69</v>
      </c>
      <c r="B1418" s="591" t="s">
        <v>4506</v>
      </c>
      <c r="C1418" s="598" t="s">
        <v>5326</v>
      </c>
      <c r="D1418" s="586"/>
      <c r="E1418" s="587" t="s">
        <v>978</v>
      </c>
      <c r="F1418" s="588" t="s">
        <v>590</v>
      </c>
      <c r="G1418" s="776"/>
      <c r="H1418" s="599">
        <v>44777</v>
      </c>
      <c r="I1418" s="595">
        <f t="shared" si="117"/>
        <v>7906767.5675675664</v>
      </c>
      <c r="J1418" s="595">
        <f t="shared" si="118"/>
        <v>869744.43243243231</v>
      </c>
      <c r="K1418" s="596">
        <f>4875552+2538720+1362240</f>
        <v>8776512</v>
      </c>
      <c r="L1418" s="597"/>
    </row>
    <row r="1419" spans="1:12" x14ac:dyDescent="0.2">
      <c r="A1419" s="316">
        <v>70</v>
      </c>
      <c r="B1419" s="591" t="s">
        <v>4507</v>
      </c>
      <c r="C1419" s="598" t="s">
        <v>5504</v>
      </c>
      <c r="D1419" s="586"/>
      <c r="E1419" s="587" t="s">
        <v>1068</v>
      </c>
      <c r="F1419" s="588" t="s">
        <v>1058</v>
      </c>
      <c r="G1419" s="761"/>
      <c r="H1419" s="599">
        <v>44777</v>
      </c>
      <c r="I1419" s="595">
        <f t="shared" si="117"/>
        <v>24892389.189189188</v>
      </c>
      <c r="J1419" s="595">
        <f t="shared" si="118"/>
        <v>2738162.8108108109</v>
      </c>
      <c r="K1419" s="596">
        <f>5798952+7628250+14203350</f>
        <v>27630552</v>
      </c>
      <c r="L1419" s="597"/>
    </row>
    <row r="1420" spans="1:12" x14ac:dyDescent="0.2">
      <c r="A1420" s="316">
        <v>71</v>
      </c>
      <c r="B1420" s="591" t="s">
        <v>4508</v>
      </c>
      <c r="C1420" s="598" t="s">
        <v>5281</v>
      </c>
      <c r="D1420" s="586"/>
      <c r="E1420" s="587" t="s">
        <v>1315</v>
      </c>
      <c r="F1420" s="588" t="s">
        <v>966</v>
      </c>
      <c r="G1420" s="776"/>
      <c r="H1420" s="599">
        <v>44777</v>
      </c>
      <c r="I1420" s="595">
        <f t="shared" si="117"/>
        <v>8442162.1621621605</v>
      </c>
      <c r="J1420" s="595">
        <f t="shared" si="118"/>
        <v>928637.83783783764</v>
      </c>
      <c r="K1420" s="596">
        <v>9370800</v>
      </c>
      <c r="L1420" s="597"/>
    </row>
    <row r="1421" spans="1:12" x14ac:dyDescent="0.2">
      <c r="A1421" s="316">
        <v>72</v>
      </c>
      <c r="B1421" s="591" t="s">
        <v>4509</v>
      </c>
      <c r="C1421" s="598" t="s">
        <v>5296</v>
      </c>
      <c r="D1421" s="586"/>
      <c r="E1421" s="593" t="s">
        <v>969</v>
      </c>
      <c r="F1421" s="593" t="s">
        <v>966</v>
      </c>
      <c r="G1421" s="776"/>
      <c r="H1421" s="594">
        <v>44778</v>
      </c>
      <c r="I1421" s="595">
        <f t="shared" si="117"/>
        <v>43214391.891891889</v>
      </c>
      <c r="J1421" s="595">
        <f t="shared" si="118"/>
        <v>4753583.1081081079</v>
      </c>
      <c r="K1421" s="596">
        <f>17717650+13702500+16547825</f>
        <v>47967975</v>
      </c>
      <c r="L1421" s="597"/>
    </row>
    <row r="1422" spans="1:12" x14ac:dyDescent="0.2">
      <c r="A1422" s="316">
        <v>73</v>
      </c>
      <c r="B1422" s="591" t="s">
        <v>4510</v>
      </c>
      <c r="C1422" s="598" t="s">
        <v>5325</v>
      </c>
      <c r="D1422" s="586"/>
      <c r="E1422" s="587" t="s">
        <v>985</v>
      </c>
      <c r="F1422" s="588" t="s">
        <v>426</v>
      </c>
      <c r="G1422" s="761"/>
      <c r="H1422" s="599">
        <v>44778</v>
      </c>
      <c r="I1422" s="595">
        <f t="shared" si="117"/>
        <v>37095202.702702701</v>
      </c>
      <c r="J1422" s="595">
        <f t="shared" si="118"/>
        <v>4080472.297297297</v>
      </c>
      <c r="K1422" s="596">
        <f>4125375+4914000+32136300</f>
        <v>41175675</v>
      </c>
      <c r="L1422" s="597"/>
    </row>
    <row r="1423" spans="1:12" x14ac:dyDescent="0.2">
      <c r="A1423" s="316">
        <v>74</v>
      </c>
      <c r="B1423" s="591" t="s">
        <v>4511</v>
      </c>
      <c r="C1423" s="598" t="s">
        <v>5319</v>
      </c>
      <c r="D1423" s="586"/>
      <c r="E1423" s="587" t="s">
        <v>1793</v>
      </c>
      <c r="F1423" s="588" t="s">
        <v>1015</v>
      </c>
      <c r="G1423" s="776"/>
      <c r="H1423" s="599">
        <v>44778</v>
      </c>
      <c r="I1423" s="595">
        <f t="shared" si="117"/>
        <v>5345124.3243243238</v>
      </c>
      <c r="J1423" s="595">
        <f t="shared" si="118"/>
        <v>587963.67567567562</v>
      </c>
      <c r="K1423" s="596">
        <f>3250368+2682720</f>
        <v>5933088</v>
      </c>
      <c r="L1423" s="597"/>
    </row>
    <row r="1424" spans="1:12" x14ac:dyDescent="0.2">
      <c r="A1424" s="316">
        <v>75</v>
      </c>
      <c r="B1424" s="591" t="s">
        <v>4512</v>
      </c>
      <c r="C1424" s="598" t="s">
        <v>5403</v>
      </c>
      <c r="D1424" s="586"/>
      <c r="E1424" s="587" t="s">
        <v>1095</v>
      </c>
      <c r="F1424" s="588" t="s">
        <v>1096</v>
      </c>
      <c r="G1424" s="776"/>
      <c r="H1424" s="599">
        <v>44778</v>
      </c>
      <c r="I1424" s="595">
        <f t="shared" si="117"/>
        <v>11466313.513513513</v>
      </c>
      <c r="J1424" s="595">
        <f t="shared" si="118"/>
        <v>1261294.4864864864</v>
      </c>
      <c r="K1424" s="596">
        <f>3342708+9384900</f>
        <v>12727608</v>
      </c>
      <c r="L1424" s="597"/>
    </row>
    <row r="1425" spans="1:12" x14ac:dyDescent="0.2">
      <c r="A1425" s="316">
        <v>76</v>
      </c>
      <c r="B1425" s="591" t="s">
        <v>4513</v>
      </c>
      <c r="C1425" s="598" t="s">
        <v>5284</v>
      </c>
      <c r="D1425" s="586"/>
      <c r="E1425" s="587" t="s">
        <v>5283</v>
      </c>
      <c r="F1425" s="588" t="s">
        <v>620</v>
      </c>
      <c r="G1425" s="761"/>
      <c r="H1425" s="599">
        <v>44778</v>
      </c>
      <c r="I1425" s="595">
        <f t="shared" si="117"/>
        <v>1009824.3243243243</v>
      </c>
      <c r="J1425" s="595">
        <f t="shared" si="118"/>
        <v>111080.67567567567</v>
      </c>
      <c r="K1425" s="596">
        <f>643815+477090</f>
        <v>1120905</v>
      </c>
      <c r="L1425" s="597"/>
    </row>
    <row r="1426" spans="1:12" x14ac:dyDescent="0.2">
      <c r="A1426" s="316">
        <v>77</v>
      </c>
      <c r="B1426" s="591" t="s">
        <v>4514</v>
      </c>
      <c r="C1426" s="598" t="s">
        <v>5301</v>
      </c>
      <c r="D1426" s="586"/>
      <c r="E1426" s="587" t="s">
        <v>1063</v>
      </c>
      <c r="F1426" s="588" t="s">
        <v>993</v>
      </c>
      <c r="G1426" s="776"/>
      <c r="H1426" s="599">
        <v>44778</v>
      </c>
      <c r="I1426" s="595">
        <f t="shared" si="117"/>
        <v>10500972.972972972</v>
      </c>
      <c r="J1426" s="595">
        <f t="shared" si="118"/>
        <v>1155107.027027027</v>
      </c>
      <c r="K1426" s="596">
        <f>4801680+5216400+1638000</f>
        <v>11656080</v>
      </c>
      <c r="L1426" s="597"/>
    </row>
    <row r="1427" spans="1:12" x14ac:dyDescent="0.2">
      <c r="A1427" s="316">
        <v>78</v>
      </c>
      <c r="B1427" s="591" t="s">
        <v>4515</v>
      </c>
      <c r="C1427" s="598" t="s">
        <v>5315</v>
      </c>
      <c r="D1427" s="586"/>
      <c r="E1427" s="587" t="s">
        <v>1009</v>
      </c>
      <c r="F1427" s="588" t="s">
        <v>1008</v>
      </c>
      <c r="G1427" s="776"/>
      <c r="H1427" s="599">
        <v>44778</v>
      </c>
      <c r="I1427" s="595">
        <f t="shared" si="117"/>
        <v>4166459.4594594589</v>
      </c>
      <c r="J1427" s="595">
        <f t="shared" si="118"/>
        <v>458310.54054054047</v>
      </c>
      <c r="K1427" s="596">
        <f>1523610+2327160+774000</f>
        <v>4624770</v>
      </c>
      <c r="L1427" s="597"/>
    </row>
    <row r="1428" spans="1:12" x14ac:dyDescent="0.2">
      <c r="A1428" s="316">
        <v>79</v>
      </c>
      <c r="B1428" s="591" t="s">
        <v>4516</v>
      </c>
      <c r="C1428" s="598" t="s">
        <v>5302</v>
      </c>
      <c r="D1428" s="586"/>
      <c r="E1428" s="587" t="s">
        <v>1054</v>
      </c>
      <c r="F1428" s="588" t="s">
        <v>1055</v>
      </c>
      <c r="G1428" s="761"/>
      <c r="H1428" s="599">
        <v>44778</v>
      </c>
      <c r="I1428" s="595">
        <f t="shared" si="117"/>
        <v>7828383.7837837832</v>
      </c>
      <c r="J1428" s="595">
        <f t="shared" si="118"/>
        <v>861122.21621621621</v>
      </c>
      <c r="K1428" s="596">
        <f>385776+7497330+806400</f>
        <v>8689506</v>
      </c>
      <c r="L1428" s="597"/>
    </row>
    <row r="1429" spans="1:12" x14ac:dyDescent="0.2">
      <c r="A1429" s="316">
        <v>80</v>
      </c>
      <c r="B1429" s="591" t="s">
        <v>4517</v>
      </c>
      <c r="C1429" s="598" t="s">
        <v>5285</v>
      </c>
      <c r="D1429" s="586"/>
      <c r="E1429" s="587" t="s">
        <v>1756</v>
      </c>
      <c r="F1429" s="588" t="s">
        <v>673</v>
      </c>
      <c r="G1429" s="776"/>
      <c r="H1429" s="599">
        <v>44778</v>
      </c>
      <c r="I1429" s="595">
        <f t="shared" si="117"/>
        <v>522162.16216216213</v>
      </c>
      <c r="J1429" s="595">
        <f t="shared" si="118"/>
        <v>57437.837837837833</v>
      </c>
      <c r="K1429" s="596">
        <v>579600</v>
      </c>
      <c r="L1429" s="597"/>
    </row>
    <row r="1430" spans="1:12" x14ac:dyDescent="0.2">
      <c r="A1430" s="316">
        <v>81</v>
      </c>
      <c r="B1430" s="591" t="s">
        <v>4518</v>
      </c>
      <c r="C1430" s="598" t="s">
        <v>5495</v>
      </c>
      <c r="D1430" s="586"/>
      <c r="E1430" s="587" t="s">
        <v>976</v>
      </c>
      <c r="F1430" s="588" t="s">
        <v>977</v>
      </c>
      <c r="G1430" s="776"/>
      <c r="H1430" s="599">
        <v>44778</v>
      </c>
      <c r="I1430" s="595">
        <f t="shared" si="117"/>
        <v>6559135.1351351347</v>
      </c>
      <c r="J1430" s="595">
        <f t="shared" si="118"/>
        <v>721504.86486486485</v>
      </c>
      <c r="K1430" s="596">
        <f>1332000+3518640+2430000</f>
        <v>7280640</v>
      </c>
      <c r="L1430" s="597"/>
    </row>
    <row r="1431" spans="1:12" x14ac:dyDescent="0.2">
      <c r="A1431" s="316">
        <v>82</v>
      </c>
      <c r="B1431" s="591" t="s">
        <v>4519</v>
      </c>
      <c r="C1431" s="598" t="s">
        <v>5511</v>
      </c>
      <c r="D1431" s="586"/>
      <c r="E1431" s="587" t="s">
        <v>1023</v>
      </c>
      <c r="F1431" s="588" t="s">
        <v>1025</v>
      </c>
      <c r="G1431" s="761"/>
      <c r="H1431" s="599">
        <v>44778</v>
      </c>
      <c r="I1431" s="595">
        <f t="shared" si="117"/>
        <v>24980090.090090089</v>
      </c>
      <c r="J1431" s="595">
        <f t="shared" si="118"/>
        <v>2747809.9099099096</v>
      </c>
      <c r="K1431" s="596">
        <f>12305500+7087500+8334900</f>
        <v>27727900</v>
      </c>
      <c r="L1431" s="597"/>
    </row>
    <row r="1432" spans="1:12" x14ac:dyDescent="0.2">
      <c r="A1432" s="316">
        <v>83</v>
      </c>
      <c r="B1432" s="591" t="s">
        <v>4520</v>
      </c>
      <c r="C1432" s="598" t="s">
        <v>5286</v>
      </c>
      <c r="D1432" s="586"/>
      <c r="E1432" s="593" t="s">
        <v>1246</v>
      </c>
      <c r="F1432" s="593" t="s">
        <v>579</v>
      </c>
      <c r="G1432" s="776"/>
      <c r="H1432" s="594">
        <v>44779</v>
      </c>
      <c r="I1432" s="595">
        <f t="shared" si="117"/>
        <v>2276756.7567567565</v>
      </c>
      <c r="J1432" s="595">
        <f t="shared" si="118"/>
        <v>250443.24324324323</v>
      </c>
      <c r="K1432" s="596">
        <v>2527200</v>
      </c>
      <c r="L1432" s="597"/>
    </row>
    <row r="1433" spans="1:12" x14ac:dyDescent="0.2">
      <c r="A1433" s="316">
        <v>84</v>
      </c>
      <c r="B1433" s="591" t="s">
        <v>4521</v>
      </c>
      <c r="C1433" s="598" t="s">
        <v>5287</v>
      </c>
      <c r="D1433" s="586"/>
      <c r="E1433" s="593" t="s">
        <v>992</v>
      </c>
      <c r="F1433" s="593" t="s">
        <v>1033</v>
      </c>
      <c r="G1433" s="776"/>
      <c r="H1433" s="594">
        <v>44779</v>
      </c>
      <c r="I1433" s="595">
        <f t="shared" si="117"/>
        <v>2828918.9189189188</v>
      </c>
      <c r="J1433" s="595">
        <f t="shared" si="118"/>
        <v>311181.08108108107</v>
      </c>
      <c r="K1433" s="596">
        <v>3140100</v>
      </c>
      <c r="L1433" s="597"/>
    </row>
    <row r="1434" spans="1:12" x14ac:dyDescent="0.2">
      <c r="A1434" s="316">
        <v>85</v>
      </c>
      <c r="B1434" s="591" t="s">
        <v>4522</v>
      </c>
      <c r="C1434" s="598" t="s">
        <v>5288</v>
      </c>
      <c r="D1434" s="586"/>
      <c r="E1434" s="587" t="s">
        <v>1797</v>
      </c>
      <c r="F1434" s="588" t="s">
        <v>1798</v>
      </c>
      <c r="G1434" s="761"/>
      <c r="H1434" s="599">
        <v>44779</v>
      </c>
      <c r="I1434" s="595">
        <f t="shared" si="117"/>
        <v>681081.08108108107</v>
      </c>
      <c r="J1434" s="595">
        <f t="shared" si="118"/>
        <v>74918.91891891892</v>
      </c>
      <c r="K1434" s="596">
        <v>756000</v>
      </c>
      <c r="L1434" s="597"/>
    </row>
    <row r="1435" spans="1:12" x14ac:dyDescent="0.2">
      <c r="A1435" s="316">
        <v>86</v>
      </c>
      <c r="B1435" s="591" t="s">
        <v>4523</v>
      </c>
      <c r="C1435" s="598" t="s">
        <v>5299</v>
      </c>
      <c r="D1435" s="586"/>
      <c r="E1435" s="587" t="s">
        <v>1007</v>
      </c>
      <c r="F1435" s="588" t="s">
        <v>1008</v>
      </c>
      <c r="G1435" s="776"/>
      <c r="H1435" s="599">
        <v>44779</v>
      </c>
      <c r="I1435" s="595">
        <f t="shared" si="117"/>
        <v>3931783.7837837832</v>
      </c>
      <c r="J1435" s="595">
        <f t="shared" si="118"/>
        <v>432496.21621621615</v>
      </c>
      <c r="K1435" s="596">
        <f>2786400+773820+804060</f>
        <v>4364280</v>
      </c>
      <c r="L1435" s="597"/>
    </row>
    <row r="1436" spans="1:12" x14ac:dyDescent="0.2">
      <c r="A1436" s="316">
        <v>87</v>
      </c>
      <c r="B1436" s="591" t="s">
        <v>4524</v>
      </c>
      <c r="C1436" s="598" t="s">
        <v>5289</v>
      </c>
      <c r="D1436" s="586"/>
      <c r="E1436" s="587" t="s">
        <v>1194</v>
      </c>
      <c r="F1436" s="588" t="s">
        <v>620</v>
      </c>
      <c r="G1436" s="776"/>
      <c r="H1436" s="599">
        <v>44779</v>
      </c>
      <c r="I1436" s="595">
        <f t="shared" si="117"/>
        <v>356756.75675675675</v>
      </c>
      <c r="J1436" s="595">
        <f t="shared" si="118"/>
        <v>39243.24324324324</v>
      </c>
      <c r="K1436" s="596">
        <v>396000</v>
      </c>
      <c r="L1436" s="597"/>
    </row>
    <row r="1437" spans="1:12" s="667" customFormat="1" x14ac:dyDescent="0.2">
      <c r="A1437" s="663">
        <v>88</v>
      </c>
      <c r="B1437" s="591" t="s">
        <v>4525</v>
      </c>
      <c r="C1437" s="598" t="s">
        <v>5570</v>
      </c>
      <c r="D1437" s="586"/>
      <c r="E1437" s="587" t="s">
        <v>1021</v>
      </c>
      <c r="F1437" s="588" t="s">
        <v>1022</v>
      </c>
      <c r="G1437" s="780"/>
      <c r="H1437" s="599">
        <v>44781</v>
      </c>
      <c r="I1437" s="595">
        <f t="shared" si="117"/>
        <v>1364108.1081081079</v>
      </c>
      <c r="J1437" s="595">
        <f t="shared" si="118"/>
        <v>150051.89189189186</v>
      </c>
      <c r="K1437" s="596">
        <f>280800+664200+569160</f>
        <v>1514160</v>
      </c>
      <c r="L1437" s="597"/>
    </row>
    <row r="1438" spans="1:12" x14ac:dyDescent="0.2">
      <c r="A1438" s="316">
        <v>89</v>
      </c>
      <c r="B1438" s="591" t="s">
        <v>4526</v>
      </c>
      <c r="C1438" s="598" t="s">
        <v>5308</v>
      </c>
      <c r="D1438" s="586"/>
      <c r="E1438" s="587" t="s">
        <v>1040</v>
      </c>
      <c r="F1438" s="588" t="s">
        <v>1019</v>
      </c>
      <c r="G1438" s="776"/>
      <c r="H1438" s="599">
        <v>44781</v>
      </c>
      <c r="I1438" s="595">
        <f t="shared" si="117"/>
        <v>4378738.738738738</v>
      </c>
      <c r="J1438" s="595">
        <f t="shared" si="118"/>
        <v>481661.26126126118</v>
      </c>
      <c r="K1438" s="596">
        <f>1450000+2200800+1209600</f>
        <v>4860400</v>
      </c>
      <c r="L1438" s="597"/>
    </row>
    <row r="1439" spans="1:12" x14ac:dyDescent="0.2">
      <c r="A1439" s="316">
        <v>90</v>
      </c>
      <c r="B1439" s="591" t="s">
        <v>4527</v>
      </c>
      <c r="C1439" s="598" t="s">
        <v>5519</v>
      </c>
      <c r="D1439" s="586"/>
      <c r="E1439" s="587" t="s">
        <v>1018</v>
      </c>
      <c r="F1439" s="588" t="s">
        <v>1019</v>
      </c>
      <c r="G1439" s="776"/>
      <c r="H1439" s="599">
        <v>44781</v>
      </c>
      <c r="I1439" s="595">
        <f t="shared" si="117"/>
        <v>6830270.2702702694</v>
      </c>
      <c r="J1439" s="595">
        <f t="shared" si="118"/>
        <v>751329.72972972959</v>
      </c>
      <c r="K1439" s="596">
        <f>5054400+2527200</f>
        <v>7581600</v>
      </c>
      <c r="L1439" s="597"/>
    </row>
    <row r="1440" spans="1:12" x14ac:dyDescent="0.2">
      <c r="A1440" s="316">
        <v>91</v>
      </c>
      <c r="B1440" s="591" t="s">
        <v>4528</v>
      </c>
      <c r="C1440" s="598" t="s">
        <v>5290</v>
      </c>
      <c r="D1440" s="586"/>
      <c r="E1440" s="587" t="s">
        <v>1277</v>
      </c>
      <c r="F1440" s="588" t="s">
        <v>1019</v>
      </c>
      <c r="G1440" s="761"/>
      <c r="H1440" s="599">
        <v>44781</v>
      </c>
      <c r="I1440" s="595">
        <f t="shared" si="117"/>
        <v>762810.81081081077</v>
      </c>
      <c r="J1440" s="595">
        <f t="shared" si="118"/>
        <v>83909.189189189186</v>
      </c>
      <c r="K1440" s="596">
        <v>846720</v>
      </c>
      <c r="L1440" s="597"/>
    </row>
    <row r="1441" spans="1:12" x14ac:dyDescent="0.2">
      <c r="A1441" s="316">
        <v>92</v>
      </c>
      <c r="B1441" s="591" t="s">
        <v>4529</v>
      </c>
      <c r="C1441" s="598" t="s">
        <v>5291</v>
      </c>
      <c r="D1441" s="586"/>
      <c r="E1441" s="587" t="s">
        <v>5292</v>
      </c>
      <c r="F1441" s="588" t="s">
        <v>1033</v>
      </c>
      <c r="G1441" s="776"/>
      <c r="H1441" s="599">
        <v>44781</v>
      </c>
      <c r="I1441" s="595">
        <f t="shared" si="117"/>
        <v>1475675.6756756755</v>
      </c>
      <c r="J1441" s="595">
        <f t="shared" si="118"/>
        <v>162324.32432432432</v>
      </c>
      <c r="K1441" s="596">
        <v>1638000</v>
      </c>
      <c r="L1441" s="597"/>
    </row>
    <row r="1442" spans="1:12" x14ac:dyDescent="0.2">
      <c r="A1442" s="316">
        <v>93</v>
      </c>
      <c r="B1442" s="591" t="s">
        <v>4530</v>
      </c>
      <c r="C1442" s="598" t="s">
        <v>5313</v>
      </c>
      <c r="D1442" s="586"/>
      <c r="E1442" s="587" t="s">
        <v>1288</v>
      </c>
      <c r="F1442" s="588" t="s">
        <v>1221</v>
      </c>
      <c r="G1442" s="776"/>
      <c r="H1442" s="599">
        <v>44781</v>
      </c>
      <c r="I1442" s="595">
        <f t="shared" si="117"/>
        <v>7013675.6756756753</v>
      </c>
      <c r="J1442" s="595">
        <f t="shared" si="118"/>
        <v>771504.32432432426</v>
      </c>
      <c r="K1442" s="596">
        <f>1263600+3084480+3437100</f>
        <v>7785180</v>
      </c>
      <c r="L1442" s="597"/>
    </row>
    <row r="1443" spans="1:12" x14ac:dyDescent="0.2">
      <c r="A1443" s="316">
        <v>94</v>
      </c>
      <c r="B1443" s="591" t="s">
        <v>4531</v>
      </c>
      <c r="C1443" s="598" t="s">
        <v>5312</v>
      </c>
      <c r="D1443" s="586"/>
      <c r="E1443" s="587" t="s">
        <v>1029</v>
      </c>
      <c r="F1443" s="588" t="s">
        <v>966</v>
      </c>
      <c r="G1443" s="761"/>
      <c r="H1443" s="599">
        <v>44782</v>
      </c>
      <c r="I1443" s="595">
        <f t="shared" si="117"/>
        <v>31157297.297297295</v>
      </c>
      <c r="J1443" s="595">
        <f t="shared" si="118"/>
        <v>3427302.7027027025</v>
      </c>
      <c r="K1443" s="596">
        <f>16930200+12312000+5342400</f>
        <v>34584600</v>
      </c>
      <c r="L1443" s="597"/>
    </row>
    <row r="1444" spans="1:12" x14ac:dyDescent="0.2">
      <c r="A1444" s="316">
        <v>95</v>
      </c>
      <c r="B1444" s="591" t="s">
        <v>4532</v>
      </c>
      <c r="C1444" s="602" t="s">
        <v>5322</v>
      </c>
      <c r="D1444" s="603"/>
      <c r="E1444" s="604" t="s">
        <v>1082</v>
      </c>
      <c r="F1444" s="605" t="s">
        <v>1058</v>
      </c>
      <c r="G1444" s="776"/>
      <c r="H1444" s="606">
        <v>44782</v>
      </c>
      <c r="I1444" s="595">
        <f t="shared" si="117"/>
        <v>6290540.5405405397</v>
      </c>
      <c r="J1444" s="595">
        <f t="shared" si="118"/>
        <v>691959.45945945941</v>
      </c>
      <c r="K1444" s="596">
        <f>1281000+787500+4914000</f>
        <v>6982500</v>
      </c>
      <c r="L1444" s="597"/>
    </row>
    <row r="1445" spans="1:12" x14ac:dyDescent="0.2">
      <c r="A1445" s="316">
        <v>96</v>
      </c>
      <c r="B1445" s="591" t="s">
        <v>4533</v>
      </c>
      <c r="C1445" s="598" t="s">
        <v>5323</v>
      </c>
      <c r="D1445" s="586"/>
      <c r="E1445" s="593" t="s">
        <v>1193</v>
      </c>
      <c r="F1445" s="593" t="s">
        <v>620</v>
      </c>
      <c r="G1445" s="776"/>
      <c r="H1445" s="599">
        <v>44782</v>
      </c>
      <c r="I1445" s="595">
        <f t="shared" si="117"/>
        <v>2281621.6216216213</v>
      </c>
      <c r="J1445" s="595">
        <f t="shared" si="118"/>
        <v>250978.37837837834</v>
      </c>
      <c r="K1445" s="596">
        <f>822150+1710450</f>
        <v>2532600</v>
      </c>
      <c r="L1445" s="597"/>
    </row>
    <row r="1446" spans="1:12" x14ac:dyDescent="0.2">
      <c r="A1446" s="316">
        <v>97</v>
      </c>
      <c r="B1446" s="591" t="s">
        <v>4534</v>
      </c>
      <c r="C1446" s="598" t="s">
        <v>5297</v>
      </c>
      <c r="D1446" s="586"/>
      <c r="E1446" s="587" t="s">
        <v>5298</v>
      </c>
      <c r="F1446" s="588" t="s">
        <v>1008</v>
      </c>
      <c r="G1446" s="761"/>
      <c r="H1446" s="599">
        <v>44782</v>
      </c>
      <c r="I1446" s="595">
        <f t="shared" si="117"/>
        <v>427927.92792792787</v>
      </c>
      <c r="J1446" s="595">
        <f t="shared" si="118"/>
        <v>47072.072072072064</v>
      </c>
      <c r="K1446" s="596">
        <v>475000</v>
      </c>
      <c r="L1446" s="597"/>
    </row>
    <row r="1447" spans="1:12" x14ac:dyDescent="0.2">
      <c r="A1447" s="316">
        <v>98</v>
      </c>
      <c r="B1447" s="591" t="s">
        <v>4535</v>
      </c>
      <c r="C1447" s="598" t="s">
        <v>5512</v>
      </c>
      <c r="D1447" s="586"/>
      <c r="E1447" s="587" t="s">
        <v>1791</v>
      </c>
      <c r="F1447" s="588" t="s">
        <v>1015</v>
      </c>
      <c r="G1447" s="776"/>
      <c r="H1447" s="599">
        <v>44782</v>
      </c>
      <c r="I1447" s="595">
        <f t="shared" si="117"/>
        <v>12429729.729729729</v>
      </c>
      <c r="J1447" s="595">
        <f t="shared" si="118"/>
        <v>1367270.2702702701</v>
      </c>
      <c r="K1447" s="596">
        <f>3969000+4914000+4914000</f>
        <v>13797000</v>
      </c>
      <c r="L1447" s="597"/>
    </row>
    <row r="1448" spans="1:12" x14ac:dyDescent="0.2">
      <c r="A1448" s="316">
        <v>99</v>
      </c>
      <c r="B1448" s="591" t="s">
        <v>4536</v>
      </c>
      <c r="C1448" s="598" t="s">
        <v>5311</v>
      </c>
      <c r="D1448" s="586"/>
      <c r="E1448" s="587" t="s">
        <v>1755</v>
      </c>
      <c r="F1448" s="588" t="s">
        <v>1104</v>
      </c>
      <c r="G1448" s="776"/>
      <c r="H1448" s="599">
        <v>44782</v>
      </c>
      <c r="I1448" s="595">
        <f t="shared" si="117"/>
        <v>4640810.81081081</v>
      </c>
      <c r="J1448" s="595">
        <f t="shared" si="118"/>
        <v>510489.18918918911</v>
      </c>
      <c r="K1448" s="596">
        <f>3420900+1730400</f>
        <v>5151300</v>
      </c>
      <c r="L1448" s="597"/>
    </row>
    <row r="1449" spans="1:12" x14ac:dyDescent="0.2">
      <c r="A1449" s="316">
        <v>100</v>
      </c>
      <c r="B1449" s="591" t="s">
        <v>5008</v>
      </c>
      <c r="C1449" s="598" t="s">
        <v>5320</v>
      </c>
      <c r="D1449" s="586"/>
      <c r="E1449" s="587" t="s">
        <v>1014</v>
      </c>
      <c r="F1449" s="588" t="s">
        <v>1015</v>
      </c>
      <c r="G1449" s="761"/>
      <c r="H1449" s="599">
        <v>44782</v>
      </c>
      <c r="I1449" s="595">
        <f t="shared" si="117"/>
        <v>22305891.891891889</v>
      </c>
      <c r="J1449" s="595">
        <f t="shared" si="118"/>
        <v>2453648.1081081079</v>
      </c>
      <c r="K1449" s="596">
        <f>5365440+769500+18624600</f>
        <v>24759540</v>
      </c>
      <c r="L1449" s="597"/>
    </row>
    <row r="1450" spans="1:12" x14ac:dyDescent="0.2">
      <c r="A1450" s="316">
        <v>101</v>
      </c>
      <c r="B1450" s="591" t="s">
        <v>5009</v>
      </c>
      <c r="C1450" s="598" t="s">
        <v>5402</v>
      </c>
      <c r="D1450" s="586"/>
      <c r="E1450" s="587" t="s">
        <v>1744</v>
      </c>
      <c r="F1450" s="588" t="s">
        <v>1745</v>
      </c>
      <c r="G1450" s="776"/>
      <c r="H1450" s="599">
        <v>44782</v>
      </c>
      <c r="I1450" s="595">
        <f t="shared" si="117"/>
        <v>4311405.405405405</v>
      </c>
      <c r="J1450" s="595">
        <f t="shared" si="118"/>
        <v>474254.59459459456</v>
      </c>
      <c r="K1450" s="596">
        <f>2608200+1387260+790200</f>
        <v>4785660</v>
      </c>
      <c r="L1450" s="597"/>
    </row>
    <row r="1451" spans="1:12" x14ac:dyDescent="0.2">
      <c r="A1451" s="316">
        <v>102</v>
      </c>
      <c r="B1451" s="591" t="s">
        <v>5010</v>
      </c>
      <c r="C1451" s="598" t="s">
        <v>5518</v>
      </c>
      <c r="D1451" s="586"/>
      <c r="E1451" s="587" t="s">
        <v>995</v>
      </c>
      <c r="F1451" s="588" t="s">
        <v>996</v>
      </c>
      <c r="G1451" s="776"/>
      <c r="H1451" s="599">
        <v>44782</v>
      </c>
      <c r="I1451" s="595">
        <f t="shared" si="117"/>
        <v>7191216.2162162159</v>
      </c>
      <c r="J1451" s="595">
        <f t="shared" si="118"/>
        <v>791033.78378378379</v>
      </c>
      <c r="K1451" s="596">
        <f>4079250+735000+3168000</f>
        <v>7982250</v>
      </c>
      <c r="L1451" s="597"/>
    </row>
    <row r="1452" spans="1:12" x14ac:dyDescent="0.2">
      <c r="A1452" s="316">
        <v>103</v>
      </c>
      <c r="B1452" s="591" t="s">
        <v>5011</v>
      </c>
      <c r="C1452" s="598" t="s">
        <v>5527</v>
      </c>
      <c r="D1452" s="586"/>
      <c r="E1452" s="587" t="s">
        <v>981</v>
      </c>
      <c r="F1452" s="588" t="s">
        <v>980</v>
      </c>
      <c r="G1452" s="586"/>
      <c r="H1452" s="599">
        <v>44782</v>
      </c>
      <c r="I1452" s="595">
        <f t="shared" si="117"/>
        <v>13388237.837837836</v>
      </c>
      <c r="J1452" s="595">
        <f t="shared" si="118"/>
        <v>1472706.1621621619</v>
      </c>
      <c r="K1452" s="596">
        <f>681120+4829760+9350064</f>
        <v>14860944</v>
      </c>
      <c r="L1452" s="597"/>
    </row>
    <row r="1453" spans="1:12" x14ac:dyDescent="0.2">
      <c r="A1453" s="316">
        <v>104</v>
      </c>
      <c r="B1453" s="591" t="s">
        <v>5012</v>
      </c>
      <c r="C1453" s="598" t="s">
        <v>5317</v>
      </c>
      <c r="D1453" s="586"/>
      <c r="E1453" s="587" t="s">
        <v>1220</v>
      </c>
      <c r="F1453" s="588" t="s">
        <v>1221</v>
      </c>
      <c r="G1453" s="586"/>
      <c r="H1453" s="599">
        <v>44782</v>
      </c>
      <c r="I1453" s="595">
        <f t="shared" si="117"/>
        <v>8330594.5945945941</v>
      </c>
      <c r="J1453" s="595">
        <f t="shared" si="118"/>
        <v>916365.40540540533</v>
      </c>
      <c r="K1453" s="596">
        <f>712800+4685040+3849120</f>
        <v>9246960</v>
      </c>
      <c r="L1453" s="597"/>
    </row>
    <row r="1454" spans="1:12" x14ac:dyDescent="0.2">
      <c r="A1454" s="316">
        <v>105</v>
      </c>
      <c r="B1454" s="591" t="s">
        <v>5013</v>
      </c>
      <c r="C1454" s="598" t="s">
        <v>5534</v>
      </c>
      <c r="D1454" s="586"/>
      <c r="E1454" s="587" t="s">
        <v>1063</v>
      </c>
      <c r="F1454" s="588" t="s">
        <v>993</v>
      </c>
      <c r="G1454" s="586"/>
      <c r="H1454" s="599">
        <v>44782</v>
      </c>
      <c r="I1454" s="595">
        <f t="shared" si="117"/>
        <v>6623513.5135135129</v>
      </c>
      <c r="J1454" s="595">
        <f t="shared" si="118"/>
        <v>728586.48648648639</v>
      </c>
      <c r="K1454" s="596">
        <f>3420900+2721600+1209600</f>
        <v>7352100</v>
      </c>
      <c r="L1454" s="597"/>
    </row>
    <row r="1455" spans="1:12" x14ac:dyDescent="0.2">
      <c r="A1455" s="316">
        <v>106</v>
      </c>
      <c r="B1455" s="591" t="s">
        <v>5014</v>
      </c>
      <c r="C1455" s="602" t="s">
        <v>5517</v>
      </c>
      <c r="D1455" s="603"/>
      <c r="E1455" s="604" t="s">
        <v>1057</v>
      </c>
      <c r="F1455" s="605" t="s">
        <v>1058</v>
      </c>
      <c r="G1455" s="654"/>
      <c r="H1455" s="606">
        <v>44782</v>
      </c>
      <c r="I1455" s="595">
        <f t="shared" si="117"/>
        <v>9600090.0900900885</v>
      </c>
      <c r="J1455" s="595">
        <f t="shared" si="118"/>
        <v>1056009.9099099098</v>
      </c>
      <c r="K1455" s="596">
        <f>4989600+4914000+752500</f>
        <v>10656100</v>
      </c>
      <c r="L1455" s="597"/>
    </row>
    <row r="1456" spans="1:12" x14ac:dyDescent="0.2">
      <c r="A1456" s="316">
        <v>107</v>
      </c>
      <c r="B1456" s="591" t="s">
        <v>5015</v>
      </c>
      <c r="C1456" s="598" t="s">
        <v>5384</v>
      </c>
      <c r="D1456" s="586"/>
      <c r="E1456" s="593" t="s">
        <v>1217</v>
      </c>
      <c r="F1456" s="593" t="s">
        <v>1218</v>
      </c>
      <c r="G1456" s="586"/>
      <c r="H1456" s="599">
        <v>44782</v>
      </c>
      <c r="I1456" s="595">
        <f t="shared" si="117"/>
        <v>5880315.3153153146</v>
      </c>
      <c r="J1456" s="595">
        <f t="shared" si="118"/>
        <v>646834.68468468462</v>
      </c>
      <c r="K1456" s="596">
        <f>3420900+3106250</f>
        <v>6527150</v>
      </c>
      <c r="L1456" s="597"/>
    </row>
    <row r="1457" spans="1:12" x14ac:dyDescent="0.2">
      <c r="A1457" s="316">
        <v>108</v>
      </c>
      <c r="B1457" s="591" t="s">
        <v>5016</v>
      </c>
      <c r="C1457" s="598" t="s">
        <v>5303</v>
      </c>
      <c r="D1457" s="586"/>
      <c r="E1457" s="587" t="s">
        <v>983</v>
      </c>
      <c r="F1457" s="588" t="s">
        <v>1096</v>
      </c>
      <c r="G1457" s="586"/>
      <c r="H1457" s="599">
        <v>44781</v>
      </c>
      <c r="I1457" s="595">
        <f t="shared" si="117"/>
        <v>227027.02702702701</v>
      </c>
      <c r="J1457" s="595">
        <f t="shared" si="118"/>
        <v>24972.97297297297</v>
      </c>
      <c r="K1457" s="596">
        <v>252000</v>
      </c>
      <c r="L1457" s="597"/>
    </row>
    <row r="1458" spans="1:12" x14ac:dyDescent="0.2">
      <c r="A1458" s="316">
        <v>109</v>
      </c>
      <c r="B1458" s="591" t="s">
        <v>5017</v>
      </c>
      <c r="C1458" s="598" t="s">
        <v>5318</v>
      </c>
      <c r="D1458" s="586"/>
      <c r="E1458" s="587" t="s">
        <v>1036</v>
      </c>
      <c r="F1458" s="588" t="s">
        <v>1008</v>
      </c>
      <c r="G1458" s="586"/>
      <c r="H1458" s="599">
        <v>44782</v>
      </c>
      <c r="I1458" s="595">
        <f t="shared" si="117"/>
        <v>4749989.1891891891</v>
      </c>
      <c r="J1458" s="595">
        <f t="shared" si="118"/>
        <v>522498.81081081083</v>
      </c>
      <c r="K1458" s="596">
        <f>1320960+1388040+2563488</f>
        <v>5272488</v>
      </c>
      <c r="L1458" s="597"/>
    </row>
    <row r="1459" spans="1:12" x14ac:dyDescent="0.2">
      <c r="A1459" s="316">
        <v>110</v>
      </c>
      <c r="B1459" s="591" t="s">
        <v>5018</v>
      </c>
      <c r="C1459" s="598" t="s">
        <v>5316</v>
      </c>
      <c r="D1459" s="586"/>
      <c r="E1459" s="587" t="s">
        <v>970</v>
      </c>
      <c r="F1459" s="588" t="s">
        <v>971</v>
      </c>
      <c r="G1459" s="586"/>
      <c r="H1459" s="599">
        <v>44783</v>
      </c>
      <c r="I1459" s="595">
        <f t="shared" si="117"/>
        <v>11013648.648648648</v>
      </c>
      <c r="J1459" s="595">
        <f t="shared" si="118"/>
        <v>1211501.3513513512</v>
      </c>
      <c r="K1459" s="596">
        <f>6519450+2083200+3622500</f>
        <v>12225150</v>
      </c>
      <c r="L1459" s="597"/>
    </row>
    <row r="1460" spans="1:12" x14ac:dyDescent="0.2">
      <c r="A1460" s="316">
        <v>111</v>
      </c>
      <c r="B1460" s="591" t="s">
        <v>5019</v>
      </c>
      <c r="C1460" s="598" t="s">
        <v>5566</v>
      </c>
      <c r="D1460" s="586"/>
      <c r="E1460" s="587" t="s">
        <v>1046</v>
      </c>
      <c r="F1460" s="588" t="s">
        <v>1047</v>
      </c>
      <c r="G1460" s="586"/>
      <c r="H1460" s="599">
        <v>44782</v>
      </c>
      <c r="I1460" s="595">
        <f t="shared" si="117"/>
        <v>15381081.081081079</v>
      </c>
      <c r="J1460" s="595">
        <f t="shared" si="118"/>
        <v>1691918.9189189188</v>
      </c>
      <c r="K1460" s="596">
        <f>7528500+6577200+2967300</f>
        <v>17073000</v>
      </c>
      <c r="L1460" s="597"/>
    </row>
    <row r="1461" spans="1:12" x14ac:dyDescent="0.2">
      <c r="A1461" s="316">
        <v>112</v>
      </c>
      <c r="B1461" s="591" t="s">
        <v>5020</v>
      </c>
      <c r="C1461" s="598" t="s">
        <v>5310</v>
      </c>
      <c r="D1461" s="586"/>
      <c r="E1461" s="587" t="s">
        <v>2715</v>
      </c>
      <c r="F1461" s="588" t="s">
        <v>1711</v>
      </c>
      <c r="G1461" s="586"/>
      <c r="H1461" s="599">
        <v>44783</v>
      </c>
      <c r="I1461" s="595">
        <f t="shared" si="117"/>
        <v>13916756.756756756</v>
      </c>
      <c r="J1461" s="595">
        <f t="shared" si="118"/>
        <v>1530843.2432432433</v>
      </c>
      <c r="K1461" s="596">
        <f>10497600+4950000</f>
        <v>15447600</v>
      </c>
      <c r="L1461" s="597"/>
    </row>
    <row r="1462" spans="1:12" x14ac:dyDescent="0.2">
      <c r="A1462" s="316">
        <v>113</v>
      </c>
      <c r="B1462" s="591" t="s">
        <v>5021</v>
      </c>
      <c r="C1462" s="598" t="s">
        <v>5305</v>
      </c>
      <c r="D1462" s="586"/>
      <c r="E1462" s="587" t="s">
        <v>1864</v>
      </c>
      <c r="F1462" s="588" t="s">
        <v>1042</v>
      </c>
      <c r="G1462" s="586"/>
      <c r="H1462" s="599">
        <v>44783</v>
      </c>
      <c r="I1462" s="595">
        <f t="shared" si="117"/>
        <v>751340.54054054047</v>
      </c>
      <c r="J1462" s="595">
        <f t="shared" si="118"/>
        <v>82647.459459459453</v>
      </c>
      <c r="K1462" s="596">
        <v>833988</v>
      </c>
      <c r="L1462" s="597"/>
    </row>
    <row r="1463" spans="1:12" x14ac:dyDescent="0.2">
      <c r="A1463" s="316">
        <v>114</v>
      </c>
      <c r="B1463" s="591" t="s">
        <v>5022</v>
      </c>
      <c r="C1463" s="598" t="s">
        <v>2322</v>
      </c>
      <c r="D1463" s="586"/>
      <c r="E1463" s="587" t="s">
        <v>1298</v>
      </c>
      <c r="F1463" s="588" t="s">
        <v>426</v>
      </c>
      <c r="G1463" s="586"/>
      <c r="H1463" s="599">
        <v>44783</v>
      </c>
      <c r="I1463" s="595">
        <f t="shared" si="117"/>
        <v>270000</v>
      </c>
      <c r="J1463" s="595">
        <f t="shared" si="118"/>
        <v>29700</v>
      </c>
      <c r="K1463" s="596">
        <v>299700</v>
      </c>
      <c r="L1463" s="597"/>
    </row>
    <row r="1464" spans="1:12" x14ac:dyDescent="0.2">
      <c r="A1464" s="316">
        <v>115</v>
      </c>
      <c r="B1464" s="591" t="s">
        <v>5023</v>
      </c>
      <c r="C1464" s="598" t="s">
        <v>5469</v>
      </c>
      <c r="D1464" s="586"/>
      <c r="E1464" s="587" t="s">
        <v>1034</v>
      </c>
      <c r="F1464" s="588" t="s">
        <v>984</v>
      </c>
      <c r="G1464" s="586"/>
      <c r="H1464" s="599">
        <v>44783</v>
      </c>
      <c r="I1464" s="595">
        <f t="shared" si="117"/>
        <v>5793121.6216216208</v>
      </c>
      <c r="J1464" s="595">
        <f t="shared" si="118"/>
        <v>637243.37837837834</v>
      </c>
      <c r="K1464" s="596">
        <f>4183965+207360+2039040</f>
        <v>6430365</v>
      </c>
      <c r="L1464" s="597"/>
    </row>
    <row r="1465" spans="1:12" x14ac:dyDescent="0.2">
      <c r="A1465" s="316">
        <v>116</v>
      </c>
      <c r="B1465" s="591" t="s">
        <v>5024</v>
      </c>
      <c r="C1465" s="598" t="s">
        <v>5497</v>
      </c>
      <c r="D1465" s="586"/>
      <c r="E1465" s="587" t="s">
        <v>1006</v>
      </c>
      <c r="F1465" s="588" t="s">
        <v>984</v>
      </c>
      <c r="G1465" s="586"/>
      <c r="H1465" s="599">
        <v>44784</v>
      </c>
      <c r="I1465" s="595">
        <f t="shared" si="117"/>
        <v>2426430.6306306305</v>
      </c>
      <c r="J1465" s="595">
        <f t="shared" si="118"/>
        <v>266907.36936936935</v>
      </c>
      <c r="K1465" s="596">
        <f>1682100+441000+570238</f>
        <v>2693338</v>
      </c>
      <c r="L1465" s="597"/>
    </row>
    <row r="1466" spans="1:12" x14ac:dyDescent="0.2">
      <c r="A1466" s="316">
        <v>117</v>
      </c>
      <c r="B1466" s="591" t="s">
        <v>5025</v>
      </c>
      <c r="C1466" s="602" t="s">
        <v>5541</v>
      </c>
      <c r="D1466" s="603"/>
      <c r="E1466" s="604" t="s">
        <v>974</v>
      </c>
      <c r="F1466" s="605" t="s">
        <v>975</v>
      </c>
      <c r="G1466" s="654"/>
      <c r="H1466" s="606">
        <v>44784</v>
      </c>
      <c r="I1466" s="595">
        <f t="shared" si="117"/>
        <v>2238468.4684684682</v>
      </c>
      <c r="J1466" s="595">
        <f t="shared" si="118"/>
        <v>246231.53153153151</v>
      </c>
      <c r="K1466" s="596">
        <f>224700+115000+2145000</f>
        <v>2484700</v>
      </c>
      <c r="L1466" s="597"/>
    </row>
    <row r="1467" spans="1:12" x14ac:dyDescent="0.2">
      <c r="A1467" s="316">
        <v>118</v>
      </c>
      <c r="B1467" s="591" t="s">
        <v>5026</v>
      </c>
      <c r="C1467" s="598" t="s">
        <v>5379</v>
      </c>
      <c r="D1467" s="586"/>
      <c r="E1467" s="593" t="s">
        <v>965</v>
      </c>
      <c r="F1467" s="593" t="s">
        <v>966</v>
      </c>
      <c r="G1467" s="586"/>
      <c r="H1467" s="599">
        <v>44784</v>
      </c>
      <c r="I1467" s="595">
        <f t="shared" si="117"/>
        <v>14317345.945945945</v>
      </c>
      <c r="J1467" s="595">
        <f t="shared" si="118"/>
        <v>1574908.054054054</v>
      </c>
      <c r="K1467" s="596">
        <f>2003904+2066400+11821950</f>
        <v>15892254</v>
      </c>
      <c r="L1467" s="597"/>
    </row>
    <row r="1468" spans="1:12" x14ac:dyDescent="0.2">
      <c r="A1468" s="316">
        <v>119</v>
      </c>
      <c r="B1468" s="591" t="s">
        <v>5027</v>
      </c>
      <c r="C1468" s="598" t="s">
        <v>5492</v>
      </c>
      <c r="D1468" s="586"/>
      <c r="E1468" s="587" t="s">
        <v>1072</v>
      </c>
      <c r="F1468" s="588" t="s">
        <v>1058</v>
      </c>
      <c r="G1468" s="586"/>
      <c r="H1468" s="599">
        <v>44784</v>
      </c>
      <c r="I1468" s="595">
        <f t="shared" si="117"/>
        <v>7339594.5945945941</v>
      </c>
      <c r="J1468" s="595">
        <f t="shared" si="118"/>
        <v>807355.40540540533</v>
      </c>
      <c r="K1468" s="596">
        <f>1710450+4914000+1522500</f>
        <v>8146950</v>
      </c>
      <c r="L1468" s="597"/>
    </row>
    <row r="1469" spans="1:12" x14ac:dyDescent="0.2">
      <c r="A1469" s="316">
        <v>120</v>
      </c>
      <c r="B1469" s="591" t="s">
        <v>5028</v>
      </c>
      <c r="C1469" s="598" t="s">
        <v>5309</v>
      </c>
      <c r="D1469" s="586"/>
      <c r="E1469" s="587" t="s">
        <v>1813</v>
      </c>
      <c r="F1469" s="588" t="s">
        <v>1123</v>
      </c>
      <c r="G1469" s="586"/>
      <c r="H1469" s="599">
        <v>44784</v>
      </c>
      <c r="I1469" s="595">
        <f t="shared" si="117"/>
        <v>270000</v>
      </c>
      <c r="J1469" s="595">
        <f t="shared" si="118"/>
        <v>29700</v>
      </c>
      <c r="K1469" s="596">
        <v>299700</v>
      </c>
      <c r="L1469" s="597"/>
    </row>
    <row r="1470" spans="1:12" x14ac:dyDescent="0.2">
      <c r="A1470" s="316">
        <v>121</v>
      </c>
      <c r="B1470" s="591" t="s">
        <v>5029</v>
      </c>
      <c r="C1470" s="598" t="s">
        <v>5498</v>
      </c>
      <c r="D1470" s="586"/>
      <c r="E1470" s="587" t="s">
        <v>1120</v>
      </c>
      <c r="F1470" s="588" t="s">
        <v>1099</v>
      </c>
      <c r="G1470" s="586"/>
      <c r="H1470" s="599">
        <v>44785</v>
      </c>
      <c r="I1470" s="595">
        <f t="shared" si="117"/>
        <v>11734459.459459458</v>
      </c>
      <c r="J1470" s="595">
        <f t="shared" si="118"/>
        <v>1290790.5405405404</v>
      </c>
      <c r="K1470" s="596">
        <f>5654250+7371000</f>
        <v>13025250</v>
      </c>
      <c r="L1470" s="597"/>
    </row>
    <row r="1471" spans="1:12" x14ac:dyDescent="0.2">
      <c r="A1471" s="316">
        <v>122</v>
      </c>
      <c r="B1471" s="591" t="s">
        <v>5030</v>
      </c>
      <c r="C1471" s="598" t="s">
        <v>2553</v>
      </c>
      <c r="D1471" s="586"/>
      <c r="E1471" s="587" t="s">
        <v>1200</v>
      </c>
      <c r="F1471" s="588" t="s">
        <v>971</v>
      </c>
      <c r="G1471" s="586"/>
      <c r="H1471" s="599">
        <v>44785</v>
      </c>
      <c r="I1471" s="595">
        <f t="shared" si="117"/>
        <v>378918.91891891888</v>
      </c>
      <c r="J1471" s="595">
        <f t="shared" si="118"/>
        <v>41681.08108108108</v>
      </c>
      <c r="K1471" s="596">
        <v>420600</v>
      </c>
      <c r="L1471" s="597"/>
    </row>
    <row r="1472" spans="1:12" x14ac:dyDescent="0.2">
      <c r="A1472" s="316">
        <v>123</v>
      </c>
      <c r="B1472" s="591" t="s">
        <v>5031</v>
      </c>
      <c r="C1472" s="598" t="s">
        <v>5390</v>
      </c>
      <c r="D1472" s="586"/>
      <c r="E1472" s="587" t="s">
        <v>992</v>
      </c>
      <c r="F1472" s="588" t="s">
        <v>673</v>
      </c>
      <c r="G1472" s="586"/>
      <c r="H1472" s="599">
        <v>44785</v>
      </c>
      <c r="I1472" s="595">
        <f t="shared" si="117"/>
        <v>24689189.189189188</v>
      </c>
      <c r="J1472" s="595">
        <f t="shared" si="118"/>
        <v>2715810.8108108109</v>
      </c>
      <c r="K1472" s="596">
        <f>3465000+10899000+13041000</f>
        <v>27405000</v>
      </c>
      <c r="L1472" s="597"/>
    </row>
    <row r="1473" spans="1:12" x14ac:dyDescent="0.2">
      <c r="A1473" s="316">
        <v>124</v>
      </c>
      <c r="B1473" s="591" t="s">
        <v>5032</v>
      </c>
      <c r="C1473" s="598" t="s">
        <v>5314</v>
      </c>
      <c r="D1473" s="586"/>
      <c r="E1473" s="587" t="s">
        <v>2489</v>
      </c>
      <c r="F1473" s="588" t="s">
        <v>1025</v>
      </c>
      <c r="G1473" s="586"/>
      <c r="H1473" s="599">
        <v>44785</v>
      </c>
      <c r="I1473" s="595">
        <f t="shared" si="117"/>
        <v>1366936.9369369368</v>
      </c>
      <c r="J1473" s="595">
        <f t="shared" si="118"/>
        <v>150363.06306306305</v>
      </c>
      <c r="K1473" s="596">
        <v>1517300</v>
      </c>
      <c r="L1473" s="597"/>
    </row>
    <row r="1474" spans="1:12" x14ac:dyDescent="0.2">
      <c r="A1474" s="316">
        <v>125</v>
      </c>
      <c r="B1474" s="591" t="s">
        <v>5033</v>
      </c>
      <c r="C1474" s="598" t="s">
        <v>5514</v>
      </c>
      <c r="D1474" s="586"/>
      <c r="E1474" s="587" t="s">
        <v>2766</v>
      </c>
      <c r="F1474" s="588" t="s">
        <v>599</v>
      </c>
      <c r="G1474" s="586"/>
      <c r="H1474" s="599">
        <v>44785</v>
      </c>
      <c r="I1474" s="595">
        <f t="shared" si="117"/>
        <v>6887432.4324324317</v>
      </c>
      <c r="J1474" s="595">
        <f t="shared" si="118"/>
        <v>757617.56756756746</v>
      </c>
      <c r="K1474" s="596">
        <f>2608200+1710450+3326400</f>
        <v>7645050</v>
      </c>
      <c r="L1474" s="597"/>
    </row>
    <row r="1475" spans="1:12" x14ac:dyDescent="0.2">
      <c r="A1475" s="316">
        <v>126</v>
      </c>
      <c r="B1475" s="591" t="s">
        <v>5034</v>
      </c>
      <c r="C1475" s="598" t="s">
        <v>5467</v>
      </c>
      <c r="D1475" s="586"/>
      <c r="E1475" s="587" t="s">
        <v>1009</v>
      </c>
      <c r="F1475" s="588" t="s">
        <v>1008</v>
      </c>
      <c r="G1475" s="586"/>
      <c r="H1475" s="599">
        <v>44786</v>
      </c>
      <c r="I1475" s="595">
        <f t="shared" si="117"/>
        <v>4201448.6486486485</v>
      </c>
      <c r="J1475" s="595">
        <f t="shared" si="118"/>
        <v>462159.35135135136</v>
      </c>
      <c r="K1475" s="596">
        <f>2733768+433440+1496400</f>
        <v>4663608</v>
      </c>
      <c r="L1475" s="597"/>
    </row>
    <row r="1476" spans="1:12" x14ac:dyDescent="0.2">
      <c r="A1476" s="316">
        <v>127</v>
      </c>
      <c r="B1476" s="591" t="s">
        <v>5035</v>
      </c>
      <c r="C1476" s="598" t="s">
        <v>5321</v>
      </c>
      <c r="D1476" s="586"/>
      <c r="E1476" s="587" t="s">
        <v>2752</v>
      </c>
      <c r="F1476" s="588" t="s">
        <v>1025</v>
      </c>
      <c r="G1476" s="586"/>
      <c r="H1476" s="599">
        <v>44786</v>
      </c>
      <c r="I1476" s="595">
        <f t="shared" si="117"/>
        <v>320720.72072072071</v>
      </c>
      <c r="J1476" s="595">
        <f t="shared" si="118"/>
        <v>35279.279279279275</v>
      </c>
      <c r="K1476" s="596">
        <v>356000</v>
      </c>
      <c r="L1476" s="597"/>
    </row>
    <row r="1477" spans="1:12" x14ac:dyDescent="0.2">
      <c r="A1477" s="316">
        <v>128</v>
      </c>
      <c r="B1477" s="591" t="s">
        <v>5036</v>
      </c>
      <c r="C1477" s="602" t="s">
        <v>5499</v>
      </c>
      <c r="D1477" s="603"/>
      <c r="E1477" s="604" t="s">
        <v>1014</v>
      </c>
      <c r="F1477" s="605" t="s">
        <v>1015</v>
      </c>
      <c r="G1477" s="654"/>
      <c r="H1477" s="606">
        <v>44786</v>
      </c>
      <c r="I1477" s="595">
        <f t="shared" ref="I1477:I1585" si="119">K1477/1.11</f>
        <v>13205189.189189188</v>
      </c>
      <c r="J1477" s="595">
        <f t="shared" ref="J1477:J1585" si="120">I1477*11%</f>
        <v>1452570.8108108107</v>
      </c>
      <c r="K1477" s="596">
        <f>5054400+3382560+6220800</f>
        <v>14657760</v>
      </c>
      <c r="L1477" s="597"/>
    </row>
    <row r="1478" spans="1:12" x14ac:dyDescent="0.2">
      <c r="A1478" s="316">
        <v>129</v>
      </c>
      <c r="B1478" s="591" t="s">
        <v>5037</v>
      </c>
      <c r="C1478" s="598" t="s">
        <v>5324</v>
      </c>
      <c r="D1478" s="586"/>
      <c r="E1478" s="593" t="s">
        <v>1688</v>
      </c>
      <c r="F1478" s="593" t="s">
        <v>1689</v>
      </c>
      <c r="G1478" s="586"/>
      <c r="H1478" s="599">
        <v>44786</v>
      </c>
      <c r="I1478" s="595">
        <f t="shared" si="119"/>
        <v>1555315.3153153153</v>
      </c>
      <c r="J1478" s="595">
        <f t="shared" si="120"/>
        <v>171084.68468468467</v>
      </c>
      <c r="K1478" s="596">
        <v>1726400</v>
      </c>
      <c r="L1478" s="597"/>
    </row>
    <row r="1479" spans="1:12" x14ac:dyDescent="0.2">
      <c r="A1479" s="316">
        <v>130</v>
      </c>
      <c r="B1479" s="591" t="s">
        <v>5038</v>
      </c>
      <c r="C1479" s="598" t="s">
        <v>5391</v>
      </c>
      <c r="D1479" s="586"/>
      <c r="E1479" s="587" t="s">
        <v>1090</v>
      </c>
      <c r="F1479" s="588" t="s">
        <v>606</v>
      </c>
      <c r="G1479" s="586"/>
      <c r="H1479" s="599">
        <v>44788</v>
      </c>
      <c r="I1479" s="595">
        <f t="shared" si="119"/>
        <v>8430675.6756756753</v>
      </c>
      <c r="J1479" s="595">
        <f t="shared" si="120"/>
        <v>927374.32432432426</v>
      </c>
      <c r="K1479" s="596">
        <f>4100700+2586150+2671200</f>
        <v>9358050</v>
      </c>
      <c r="L1479" s="597"/>
    </row>
    <row r="1480" spans="1:12" x14ac:dyDescent="0.2">
      <c r="A1480" s="316">
        <v>131</v>
      </c>
      <c r="B1480" s="591" t="s">
        <v>5039</v>
      </c>
      <c r="C1480" s="598" t="s">
        <v>5513</v>
      </c>
      <c r="D1480" s="586"/>
      <c r="E1480" s="587" t="s">
        <v>970</v>
      </c>
      <c r="F1480" s="588" t="s">
        <v>971</v>
      </c>
      <c r="G1480" s="586"/>
      <c r="H1480" s="599">
        <v>44788</v>
      </c>
      <c r="I1480" s="595">
        <f t="shared" si="119"/>
        <v>4088378.3783783782</v>
      </c>
      <c r="J1480" s="595">
        <f t="shared" si="120"/>
        <v>449721.6216216216</v>
      </c>
      <c r="K1480" s="596">
        <f>2608200+1499400+430500</f>
        <v>4538100</v>
      </c>
      <c r="L1480" s="597"/>
    </row>
    <row r="1481" spans="1:12" x14ac:dyDescent="0.2">
      <c r="A1481" s="316">
        <v>132</v>
      </c>
      <c r="B1481" s="591" t="s">
        <v>5040</v>
      </c>
      <c r="C1481" s="598" t="s">
        <v>5466</v>
      </c>
      <c r="D1481" s="586"/>
      <c r="E1481" s="587" t="s">
        <v>1220</v>
      </c>
      <c r="F1481" s="588" t="s">
        <v>1221</v>
      </c>
      <c r="G1481" s="586"/>
      <c r="H1481" s="599">
        <v>44788</v>
      </c>
      <c r="I1481" s="595">
        <f t="shared" si="119"/>
        <v>8638054.0540540535</v>
      </c>
      <c r="J1481" s="595">
        <f t="shared" si="120"/>
        <v>950185.94594594592</v>
      </c>
      <c r="K1481" s="596">
        <f>3214080+1425600+4948560</f>
        <v>9588240</v>
      </c>
      <c r="L1481" s="597"/>
    </row>
    <row r="1482" spans="1:12" x14ac:dyDescent="0.2">
      <c r="A1482" s="316">
        <v>133</v>
      </c>
      <c r="B1482" s="591" t="s">
        <v>5041</v>
      </c>
      <c r="C1482" s="598" t="s">
        <v>5396</v>
      </c>
      <c r="D1482" s="586"/>
      <c r="E1482" s="587" t="s">
        <v>1062</v>
      </c>
      <c r="F1482" s="588" t="s">
        <v>966</v>
      </c>
      <c r="G1482" s="586"/>
      <c r="H1482" s="599">
        <v>44788</v>
      </c>
      <c r="I1482" s="595">
        <f t="shared" si="119"/>
        <v>16152184.684684683</v>
      </c>
      <c r="J1482" s="595">
        <f t="shared" si="120"/>
        <v>1776740.315315315</v>
      </c>
      <c r="K1482" s="596">
        <f>6303325+6615000+5010600</f>
        <v>17928925</v>
      </c>
      <c r="L1482" s="597"/>
    </row>
    <row r="1483" spans="1:12" x14ac:dyDescent="0.2">
      <c r="A1483" s="316">
        <v>134</v>
      </c>
      <c r="B1483" s="591" t="s">
        <v>5042</v>
      </c>
      <c r="C1483" s="598" t="s">
        <v>5400</v>
      </c>
      <c r="D1483" s="586"/>
      <c r="E1483" s="587" t="s">
        <v>969</v>
      </c>
      <c r="F1483" s="588" t="s">
        <v>966</v>
      </c>
      <c r="G1483" s="586"/>
      <c r="H1483" s="599">
        <v>44788</v>
      </c>
      <c r="I1483" s="595">
        <f t="shared" si="119"/>
        <v>18009594.594594594</v>
      </c>
      <c r="J1483" s="595">
        <f t="shared" si="120"/>
        <v>1981055.4054054054</v>
      </c>
      <c r="K1483" s="596">
        <f>7711200+5503050+6776400</f>
        <v>19990650</v>
      </c>
      <c r="L1483" s="597"/>
    </row>
    <row r="1484" spans="1:12" x14ac:dyDescent="0.2">
      <c r="A1484" s="316">
        <v>135</v>
      </c>
      <c r="B1484" s="591" t="s">
        <v>5043</v>
      </c>
      <c r="C1484" s="598" t="s">
        <v>5536</v>
      </c>
      <c r="D1484" s="586"/>
      <c r="E1484" s="587" t="s">
        <v>1103</v>
      </c>
      <c r="F1484" s="588" t="s">
        <v>1104</v>
      </c>
      <c r="G1484" s="586"/>
      <c r="H1484" s="599">
        <v>44788</v>
      </c>
      <c r="I1484" s="595">
        <f t="shared" si="119"/>
        <v>17143220.72072072</v>
      </c>
      <c r="J1484" s="595">
        <f t="shared" si="120"/>
        <v>1885754.2792792791</v>
      </c>
      <c r="K1484" s="596">
        <f>7520975+5239500+6268500</f>
        <v>19028975</v>
      </c>
      <c r="L1484" s="597"/>
    </row>
    <row r="1485" spans="1:12" x14ac:dyDescent="0.2">
      <c r="A1485" s="316">
        <v>136</v>
      </c>
      <c r="B1485" s="591" t="s">
        <v>5044</v>
      </c>
      <c r="C1485" s="598" t="s">
        <v>5380</v>
      </c>
      <c r="D1485" s="586"/>
      <c r="E1485" s="587" t="s">
        <v>2576</v>
      </c>
      <c r="F1485" s="588" t="s">
        <v>2368</v>
      </c>
      <c r="G1485" s="586"/>
      <c r="H1485" s="599">
        <v>44789</v>
      </c>
      <c r="I1485" s="595">
        <f t="shared" si="119"/>
        <v>36037221.621621616</v>
      </c>
      <c r="J1485" s="595">
        <f t="shared" si="120"/>
        <v>3964094.3783783778</v>
      </c>
      <c r="K1485" s="596">
        <f>12610152+7007280+3021180+17362704</f>
        <v>40001316</v>
      </c>
      <c r="L1485" s="597"/>
    </row>
    <row r="1486" spans="1:12" s="667" customFormat="1" x14ac:dyDescent="0.2">
      <c r="A1486" s="663">
        <v>137</v>
      </c>
      <c r="B1486" s="591" t="s">
        <v>5045</v>
      </c>
      <c r="C1486" s="598" t="s">
        <v>5501</v>
      </c>
      <c r="D1486" s="586"/>
      <c r="E1486" s="587" t="s">
        <v>992</v>
      </c>
      <c r="F1486" s="588" t="s">
        <v>993</v>
      </c>
      <c r="G1486" s="586"/>
      <c r="H1486" s="599">
        <v>44789</v>
      </c>
      <c r="I1486" s="595">
        <f t="shared" si="119"/>
        <v>5487217.1171171162</v>
      </c>
      <c r="J1486" s="595">
        <f t="shared" si="120"/>
        <v>603593.88288288284</v>
      </c>
      <c r="K1486" s="596">
        <f>934200+4269871+886740</f>
        <v>6090811</v>
      </c>
      <c r="L1486" s="597"/>
    </row>
    <row r="1487" spans="1:12" x14ac:dyDescent="0.2">
      <c r="A1487" s="316">
        <v>138</v>
      </c>
      <c r="B1487" s="591" t="s">
        <v>5046</v>
      </c>
      <c r="C1487" s="598" t="s">
        <v>5478</v>
      </c>
      <c r="D1487" s="586"/>
      <c r="E1487" s="587" t="s">
        <v>1760</v>
      </c>
      <c r="F1487" s="588" t="s">
        <v>606</v>
      </c>
      <c r="G1487" s="586"/>
      <c r="H1487" s="599">
        <v>44786</v>
      </c>
      <c r="I1487" s="595">
        <f t="shared" si="119"/>
        <v>40636216.216216214</v>
      </c>
      <c r="J1487" s="595">
        <f t="shared" si="120"/>
        <v>4469983.7837837832</v>
      </c>
      <c r="K1487" s="596">
        <f>13122000+20355300+11628900</f>
        <v>45106200</v>
      </c>
      <c r="L1487" s="597"/>
    </row>
    <row r="1488" spans="1:12" x14ac:dyDescent="0.2">
      <c r="A1488" s="316">
        <v>139</v>
      </c>
      <c r="B1488" s="591" t="s">
        <v>5047</v>
      </c>
      <c r="C1488" s="602" t="s">
        <v>5398</v>
      </c>
      <c r="D1488" s="603"/>
      <c r="E1488" s="604" t="s">
        <v>992</v>
      </c>
      <c r="F1488" s="605" t="s">
        <v>1127</v>
      </c>
      <c r="G1488" s="654"/>
      <c r="H1488" s="606">
        <v>44786</v>
      </c>
      <c r="I1488" s="595">
        <f t="shared" si="119"/>
        <v>6602918.9189189179</v>
      </c>
      <c r="J1488" s="595">
        <f t="shared" si="120"/>
        <v>726321.08108108095</v>
      </c>
      <c r="K1488" s="596">
        <f>5133240+2196000</f>
        <v>7329240</v>
      </c>
      <c r="L1488" s="597"/>
    </row>
    <row r="1489" spans="1:12" x14ac:dyDescent="0.2">
      <c r="A1489" s="316">
        <v>140</v>
      </c>
      <c r="B1489" s="591" t="s">
        <v>5048</v>
      </c>
      <c r="C1489" s="598" t="s">
        <v>5381</v>
      </c>
      <c r="D1489" s="586"/>
      <c r="E1489" s="587" t="s">
        <v>2494</v>
      </c>
      <c r="F1489" s="588" t="s">
        <v>996</v>
      </c>
      <c r="G1489" s="586"/>
      <c r="H1489" s="599">
        <v>44786</v>
      </c>
      <c r="I1489" s="595">
        <f t="shared" si="119"/>
        <v>1333333.3333333333</v>
      </c>
      <c r="J1489" s="595">
        <f t="shared" si="120"/>
        <v>146666.66666666666</v>
      </c>
      <c r="K1489" s="596">
        <v>1480000</v>
      </c>
      <c r="L1489" s="597"/>
    </row>
    <row r="1490" spans="1:12" x14ac:dyDescent="0.2">
      <c r="A1490" s="316">
        <v>141</v>
      </c>
      <c r="B1490" s="591" t="s">
        <v>5049</v>
      </c>
      <c r="C1490" s="598" t="s">
        <v>5382</v>
      </c>
      <c r="D1490" s="586"/>
      <c r="E1490" s="587" t="s">
        <v>5383</v>
      </c>
      <c r="F1490" s="588" t="s">
        <v>2406</v>
      </c>
      <c r="G1490" s="586"/>
      <c r="H1490" s="599">
        <v>44786</v>
      </c>
      <c r="I1490" s="595">
        <f t="shared" si="119"/>
        <v>567567.56756756757</v>
      </c>
      <c r="J1490" s="595">
        <f t="shared" si="120"/>
        <v>62432.432432432433</v>
      </c>
      <c r="K1490" s="596">
        <v>630000</v>
      </c>
      <c r="L1490" s="597"/>
    </row>
    <row r="1491" spans="1:12" x14ac:dyDescent="0.2">
      <c r="A1491" s="316">
        <v>142</v>
      </c>
      <c r="B1491" s="591" t="s">
        <v>5050</v>
      </c>
      <c r="C1491" s="598" t="s">
        <v>5385</v>
      </c>
      <c r="D1491" s="586"/>
      <c r="E1491" s="587" t="s">
        <v>5386</v>
      </c>
      <c r="F1491" s="588" t="s">
        <v>2406</v>
      </c>
      <c r="G1491" s="586"/>
      <c r="H1491" s="599">
        <v>44786</v>
      </c>
      <c r="I1491" s="595">
        <f t="shared" si="119"/>
        <v>1489864.8648648646</v>
      </c>
      <c r="J1491" s="595">
        <f t="shared" si="120"/>
        <v>163885.13513513512</v>
      </c>
      <c r="K1491" s="596">
        <v>1653750</v>
      </c>
      <c r="L1491" s="597"/>
    </row>
    <row r="1492" spans="1:12" x14ac:dyDescent="0.2">
      <c r="A1492" s="316">
        <v>143</v>
      </c>
      <c r="B1492" s="591" t="s">
        <v>5051</v>
      </c>
      <c r="C1492" s="598" t="s">
        <v>5494</v>
      </c>
      <c r="D1492" s="586"/>
      <c r="E1492" s="587" t="s">
        <v>1205</v>
      </c>
      <c r="F1492" s="588" t="s">
        <v>1206</v>
      </c>
      <c r="G1492" s="586"/>
      <c r="H1492" s="599">
        <v>44788</v>
      </c>
      <c r="I1492" s="595">
        <f t="shared" si="119"/>
        <v>886936.93693693681</v>
      </c>
      <c r="J1492" s="595">
        <f t="shared" si="120"/>
        <v>97563.063063063048</v>
      </c>
      <c r="K1492" s="596">
        <f>672000+312500</f>
        <v>984500</v>
      </c>
      <c r="L1492" s="597"/>
    </row>
    <row r="1493" spans="1:12" x14ac:dyDescent="0.2">
      <c r="A1493" s="316">
        <v>144</v>
      </c>
      <c r="B1493" s="591" t="s">
        <v>5052</v>
      </c>
      <c r="C1493" s="602" t="s">
        <v>5387</v>
      </c>
      <c r="D1493" s="603"/>
      <c r="E1493" s="604" t="s">
        <v>1053</v>
      </c>
      <c r="F1493" s="605" t="s">
        <v>620</v>
      </c>
      <c r="G1493" s="654"/>
      <c r="H1493" s="606">
        <v>44788</v>
      </c>
      <c r="I1493" s="595">
        <f t="shared" si="119"/>
        <v>1868108.1081081079</v>
      </c>
      <c r="J1493" s="595">
        <f t="shared" si="120"/>
        <v>205491.89189189186</v>
      </c>
      <c r="K1493" s="596">
        <v>2073600</v>
      </c>
      <c r="L1493" s="597"/>
    </row>
    <row r="1494" spans="1:12" x14ac:dyDescent="0.2">
      <c r="A1494" s="316">
        <v>145</v>
      </c>
      <c r="B1494" s="591" t="s">
        <v>5053</v>
      </c>
      <c r="C1494" s="598" t="s">
        <v>5388</v>
      </c>
      <c r="D1494" s="586"/>
      <c r="E1494" s="587" t="s">
        <v>3936</v>
      </c>
      <c r="F1494" s="588" t="s">
        <v>996</v>
      </c>
      <c r="G1494" s="586"/>
      <c r="H1494" s="599">
        <v>44788</v>
      </c>
      <c r="I1494" s="595">
        <f t="shared" si="119"/>
        <v>1801801.8018018017</v>
      </c>
      <c r="J1494" s="595">
        <f t="shared" si="120"/>
        <v>198198.1981981982</v>
      </c>
      <c r="K1494" s="596">
        <v>2000000</v>
      </c>
      <c r="L1494" s="597"/>
    </row>
    <row r="1495" spans="1:12" x14ac:dyDescent="0.2">
      <c r="A1495" s="316">
        <v>146</v>
      </c>
      <c r="B1495" s="591" t="s">
        <v>5054</v>
      </c>
      <c r="C1495" s="598" t="s">
        <v>5389</v>
      </c>
      <c r="D1495" s="586"/>
      <c r="E1495" s="587" t="s">
        <v>1317</v>
      </c>
      <c r="F1495" s="588" t="s">
        <v>966</v>
      </c>
      <c r="G1495" s="586"/>
      <c r="H1495" s="599">
        <v>44789</v>
      </c>
      <c r="I1495" s="595">
        <f t="shared" si="119"/>
        <v>2784076.5765765761</v>
      </c>
      <c r="J1495" s="595">
        <f t="shared" si="120"/>
        <v>306248.42342342337</v>
      </c>
      <c r="K1495" s="596">
        <v>3090325</v>
      </c>
      <c r="L1495" s="597"/>
    </row>
    <row r="1496" spans="1:12" x14ac:dyDescent="0.2">
      <c r="A1496" s="316">
        <v>147</v>
      </c>
      <c r="B1496" s="591" t="s">
        <v>5055</v>
      </c>
      <c r="C1496" s="598" t="s">
        <v>5406</v>
      </c>
      <c r="D1496" s="586"/>
      <c r="E1496" s="587" t="s">
        <v>1082</v>
      </c>
      <c r="F1496" s="588" t="s">
        <v>1058</v>
      </c>
      <c r="G1496" s="586"/>
      <c r="H1496" s="599">
        <v>44789</v>
      </c>
      <c r="I1496" s="595">
        <f t="shared" si="119"/>
        <v>7057702.702702702</v>
      </c>
      <c r="J1496" s="595">
        <f t="shared" si="120"/>
        <v>776347.29729729728</v>
      </c>
      <c r="K1496" s="596">
        <f>5112450+2721600</f>
        <v>7834050</v>
      </c>
      <c r="L1496" s="597"/>
    </row>
    <row r="1497" spans="1:12" x14ac:dyDescent="0.2">
      <c r="A1497" s="316">
        <v>148</v>
      </c>
      <c r="B1497" s="591" t="s">
        <v>5056</v>
      </c>
      <c r="C1497" s="598" t="s">
        <v>5405</v>
      </c>
      <c r="D1497" s="586"/>
      <c r="E1497" s="587" t="s">
        <v>978</v>
      </c>
      <c r="F1497" s="588" t="s">
        <v>590</v>
      </c>
      <c r="G1497" s="586"/>
      <c r="H1497" s="599">
        <v>44789</v>
      </c>
      <c r="I1497" s="595">
        <f t="shared" si="119"/>
        <v>6827005.405405405</v>
      </c>
      <c r="J1497" s="595">
        <f t="shared" si="120"/>
        <v>750970.59459459456</v>
      </c>
      <c r="K1497" s="596">
        <f>1212600+1238400+5126976</f>
        <v>7577976</v>
      </c>
      <c r="L1497" s="597"/>
    </row>
    <row r="1498" spans="1:12" x14ac:dyDescent="0.2">
      <c r="A1498" s="316">
        <v>149</v>
      </c>
      <c r="B1498" s="591" t="s">
        <v>5057</v>
      </c>
      <c r="C1498" s="598" t="s">
        <v>2714</v>
      </c>
      <c r="D1498" s="586"/>
      <c r="E1498" s="587" t="s">
        <v>1226</v>
      </c>
      <c r="F1498" s="588" t="s">
        <v>1127</v>
      </c>
      <c r="G1498" s="586"/>
      <c r="H1498" s="599">
        <v>44789</v>
      </c>
      <c r="I1498" s="595">
        <f t="shared" si="119"/>
        <v>639189.18918918911</v>
      </c>
      <c r="J1498" s="595">
        <f t="shared" si="120"/>
        <v>70310.810810810799</v>
      </c>
      <c r="K1498" s="596">
        <v>709500</v>
      </c>
      <c r="L1498" s="597"/>
    </row>
    <row r="1499" spans="1:12" x14ac:dyDescent="0.2">
      <c r="A1499" s="316">
        <v>150</v>
      </c>
      <c r="B1499" s="591" t="s">
        <v>5328</v>
      </c>
      <c r="C1499" s="598" t="s">
        <v>5392</v>
      </c>
      <c r="D1499" s="586"/>
      <c r="E1499" s="587" t="s">
        <v>2405</v>
      </c>
      <c r="F1499" s="588" t="s">
        <v>2406</v>
      </c>
      <c r="G1499" s="586"/>
      <c r="H1499" s="599">
        <v>44791</v>
      </c>
      <c r="I1499" s="595">
        <f t="shared" ref="I1499:I1568" si="121">K1499/1.11</f>
        <v>1862522.5225225224</v>
      </c>
      <c r="J1499" s="595">
        <f t="shared" ref="J1499:J1568" si="122">I1499*11%</f>
        <v>204877.47747747746</v>
      </c>
      <c r="K1499" s="596">
        <v>2067400</v>
      </c>
      <c r="L1499" s="597"/>
    </row>
    <row r="1500" spans="1:12" x14ac:dyDescent="0.2">
      <c r="A1500" s="316">
        <v>151</v>
      </c>
      <c r="B1500" s="591" t="s">
        <v>5329</v>
      </c>
      <c r="C1500" s="598" t="s">
        <v>5485</v>
      </c>
      <c r="D1500" s="586"/>
      <c r="E1500" s="587" t="s">
        <v>1036</v>
      </c>
      <c r="F1500" s="588" t="s">
        <v>1008</v>
      </c>
      <c r="G1500" s="586"/>
      <c r="H1500" s="599">
        <v>44791</v>
      </c>
      <c r="I1500" s="595">
        <f t="shared" si="121"/>
        <v>5623005.405405405</v>
      </c>
      <c r="J1500" s="595">
        <f t="shared" si="122"/>
        <v>618530.59459459456</v>
      </c>
      <c r="K1500" s="596">
        <f>3461328+1680096+1100112</f>
        <v>6241536</v>
      </c>
      <c r="L1500" s="597"/>
    </row>
    <row r="1501" spans="1:12" x14ac:dyDescent="0.2">
      <c r="A1501" s="316">
        <v>152</v>
      </c>
      <c r="B1501" s="591" t="s">
        <v>5330</v>
      </c>
      <c r="C1501" s="598" t="s">
        <v>5393</v>
      </c>
      <c r="D1501" s="586"/>
      <c r="E1501" s="587" t="s">
        <v>3943</v>
      </c>
      <c r="F1501" s="588" t="s">
        <v>4033</v>
      </c>
      <c r="G1501" s="586"/>
      <c r="H1501" s="599">
        <v>44791</v>
      </c>
      <c r="I1501" s="595">
        <f t="shared" si="121"/>
        <v>7394594.5945945941</v>
      </c>
      <c r="J1501" s="595">
        <f t="shared" si="122"/>
        <v>813405.40540540533</v>
      </c>
      <c r="K1501" s="596">
        <v>8208000</v>
      </c>
      <c r="L1501" s="597"/>
    </row>
    <row r="1502" spans="1:12" x14ac:dyDescent="0.2">
      <c r="A1502" s="316">
        <v>153</v>
      </c>
      <c r="B1502" s="591" t="s">
        <v>5331</v>
      </c>
      <c r="C1502" s="598" t="s">
        <v>5394</v>
      </c>
      <c r="D1502" s="586"/>
      <c r="E1502" s="587" t="s">
        <v>4703</v>
      </c>
      <c r="F1502" s="588" t="s">
        <v>984</v>
      </c>
      <c r="G1502" s="586"/>
      <c r="H1502" s="599">
        <v>44791</v>
      </c>
      <c r="I1502" s="595">
        <f t="shared" si="121"/>
        <v>293513.51351351349</v>
      </c>
      <c r="J1502" s="595">
        <f t="shared" si="122"/>
        <v>32286.486486486483</v>
      </c>
      <c r="K1502" s="596">
        <v>325800</v>
      </c>
      <c r="L1502" s="597"/>
    </row>
    <row r="1503" spans="1:12" x14ac:dyDescent="0.2">
      <c r="A1503" s="316">
        <v>154</v>
      </c>
      <c r="B1503" s="591" t="s">
        <v>5332</v>
      </c>
      <c r="C1503" s="602" t="s">
        <v>5464</v>
      </c>
      <c r="D1503" s="603"/>
      <c r="E1503" s="604" t="s">
        <v>1054</v>
      </c>
      <c r="F1503" s="605" t="s">
        <v>1055</v>
      </c>
      <c r="G1503" s="654"/>
      <c r="H1503" s="606">
        <v>44791</v>
      </c>
      <c r="I1503" s="595">
        <f t="shared" si="121"/>
        <v>7446270.2702702694</v>
      </c>
      <c r="J1503" s="595">
        <f t="shared" si="122"/>
        <v>819089.72972972959</v>
      </c>
      <c r="K1503" s="596">
        <f>4291860+3280500+693000</f>
        <v>8265360</v>
      </c>
      <c r="L1503" s="597"/>
    </row>
    <row r="1504" spans="1:12" x14ac:dyDescent="0.2">
      <c r="A1504" s="316">
        <v>155</v>
      </c>
      <c r="B1504" s="591" t="s">
        <v>5333</v>
      </c>
      <c r="C1504" s="598" t="s">
        <v>5404</v>
      </c>
      <c r="D1504" s="586"/>
      <c r="E1504" s="587" t="s">
        <v>1296</v>
      </c>
      <c r="F1504" s="588" t="s">
        <v>1033</v>
      </c>
      <c r="G1504" s="586"/>
      <c r="H1504" s="599">
        <v>44791</v>
      </c>
      <c r="I1504" s="595">
        <f t="shared" si="121"/>
        <v>4903711.7117117113</v>
      </c>
      <c r="J1504" s="595">
        <f t="shared" si="122"/>
        <v>539408.28828828828</v>
      </c>
      <c r="K1504" s="596">
        <f>1239200+2046200+2157720</f>
        <v>5443120</v>
      </c>
      <c r="L1504" s="597"/>
    </row>
    <row r="1505" spans="1:12" x14ac:dyDescent="0.2">
      <c r="A1505" s="316">
        <v>156</v>
      </c>
      <c r="B1505" s="591" t="s">
        <v>5334</v>
      </c>
      <c r="C1505" s="598" t="s">
        <v>5468</v>
      </c>
      <c r="D1505" s="586"/>
      <c r="E1505" s="587" t="s">
        <v>992</v>
      </c>
      <c r="F1505" s="588" t="s">
        <v>673</v>
      </c>
      <c r="G1505" s="586"/>
      <c r="H1505" s="599">
        <v>44792</v>
      </c>
      <c r="I1505" s="595">
        <f t="shared" si="121"/>
        <v>10991891.891891891</v>
      </c>
      <c r="J1505" s="595">
        <f t="shared" si="122"/>
        <v>1209108.1081081079</v>
      </c>
      <c r="K1505" s="596">
        <f>3024000+2142000+7035000</f>
        <v>12201000</v>
      </c>
      <c r="L1505" s="597"/>
    </row>
    <row r="1506" spans="1:12" x14ac:dyDescent="0.2">
      <c r="A1506" s="316">
        <v>157</v>
      </c>
      <c r="B1506" s="591" t="s">
        <v>5335</v>
      </c>
      <c r="C1506" s="598" t="s">
        <v>5395</v>
      </c>
      <c r="D1506" s="586"/>
      <c r="E1506" s="587" t="s">
        <v>2583</v>
      </c>
      <c r="F1506" s="588" t="s">
        <v>966</v>
      </c>
      <c r="G1506" s="586"/>
      <c r="H1506" s="599">
        <v>44792</v>
      </c>
      <c r="I1506" s="595">
        <f t="shared" si="121"/>
        <v>3234189.1891891891</v>
      </c>
      <c r="J1506" s="595">
        <f t="shared" si="122"/>
        <v>355760.81081081083</v>
      </c>
      <c r="K1506" s="596">
        <v>3589950</v>
      </c>
      <c r="L1506" s="597"/>
    </row>
    <row r="1507" spans="1:12" x14ac:dyDescent="0.2">
      <c r="A1507" s="316">
        <v>158</v>
      </c>
      <c r="B1507" s="591" t="s">
        <v>5336</v>
      </c>
      <c r="C1507" s="598" t="s">
        <v>5472</v>
      </c>
      <c r="D1507" s="586"/>
      <c r="E1507" s="587" t="s">
        <v>1029</v>
      </c>
      <c r="F1507" s="588" t="s">
        <v>966</v>
      </c>
      <c r="G1507" s="586"/>
      <c r="H1507" s="599">
        <v>44792</v>
      </c>
      <c r="I1507" s="595">
        <f t="shared" si="121"/>
        <v>7394551.3513513505</v>
      </c>
      <c r="J1507" s="595">
        <f t="shared" si="122"/>
        <v>813400.64864864852</v>
      </c>
      <c r="K1507" s="596">
        <f>4259952+1184400+2763600</f>
        <v>8207952</v>
      </c>
      <c r="L1507" s="597"/>
    </row>
    <row r="1508" spans="1:12" x14ac:dyDescent="0.2">
      <c r="A1508" s="316">
        <v>159</v>
      </c>
      <c r="B1508" s="591" t="s">
        <v>5337</v>
      </c>
      <c r="C1508" s="598" t="s">
        <v>5397</v>
      </c>
      <c r="D1508" s="586"/>
      <c r="E1508" s="587" t="s">
        <v>965</v>
      </c>
      <c r="F1508" s="588" t="s">
        <v>966</v>
      </c>
      <c r="G1508" s="586"/>
      <c r="H1508" s="599">
        <v>44792</v>
      </c>
      <c r="I1508" s="595">
        <f t="shared" si="121"/>
        <v>32214819.819819815</v>
      </c>
      <c r="J1508" s="595">
        <f t="shared" si="122"/>
        <v>3543630.1801801799</v>
      </c>
      <c r="K1508" s="596">
        <f>2881200+225750+32651500</f>
        <v>35758450</v>
      </c>
      <c r="L1508" s="597"/>
    </row>
    <row r="1509" spans="1:12" x14ac:dyDescent="0.2">
      <c r="A1509" s="316">
        <v>160</v>
      </c>
      <c r="B1509" s="591" t="s">
        <v>5338</v>
      </c>
      <c r="C1509" s="598" t="s">
        <v>5473</v>
      </c>
      <c r="D1509" s="586"/>
      <c r="E1509" s="587" t="s">
        <v>972</v>
      </c>
      <c r="F1509" s="588" t="s">
        <v>966</v>
      </c>
      <c r="G1509" s="586"/>
      <c r="H1509" s="599">
        <v>44792</v>
      </c>
      <c r="I1509" s="595">
        <f t="shared" si="121"/>
        <v>10124459.459459459</v>
      </c>
      <c r="J1509" s="595">
        <f t="shared" si="122"/>
        <v>1113690.5405405406</v>
      </c>
      <c r="K1509" s="596">
        <f>3024000+6878550+1335600</f>
        <v>11238150</v>
      </c>
      <c r="L1509" s="597"/>
    </row>
    <row r="1510" spans="1:12" x14ac:dyDescent="0.2">
      <c r="A1510" s="316">
        <v>161</v>
      </c>
      <c r="B1510" s="591" t="s">
        <v>5339</v>
      </c>
      <c r="C1510" s="598" t="s">
        <v>5557</v>
      </c>
      <c r="D1510" s="586"/>
      <c r="E1510" s="587" t="s">
        <v>1288</v>
      </c>
      <c r="F1510" s="588" t="s">
        <v>1221</v>
      </c>
      <c r="G1510" s="586"/>
      <c r="H1510" s="599">
        <v>44792</v>
      </c>
      <c r="I1510" s="595">
        <f t="shared" si="121"/>
        <v>4857657.6576576568</v>
      </c>
      <c r="J1510" s="595">
        <f t="shared" si="122"/>
        <v>534342.34234234225</v>
      </c>
      <c r="K1510" s="596">
        <f>1425600+3966400</f>
        <v>5392000</v>
      </c>
      <c r="L1510" s="597"/>
    </row>
    <row r="1511" spans="1:12" x14ac:dyDescent="0.2">
      <c r="A1511" s="316">
        <v>162</v>
      </c>
      <c r="B1511" s="591" t="s">
        <v>5340</v>
      </c>
      <c r="C1511" s="598" t="s">
        <v>5508</v>
      </c>
      <c r="D1511" s="586"/>
      <c r="E1511" s="587" t="s">
        <v>1053</v>
      </c>
      <c r="F1511" s="588" t="s">
        <v>1064</v>
      </c>
      <c r="G1511" s="586"/>
      <c r="H1511" s="599">
        <v>44792</v>
      </c>
      <c r="I1511" s="595">
        <f t="shared" si="121"/>
        <v>8240135.1351351347</v>
      </c>
      <c r="J1511" s="595">
        <f t="shared" si="122"/>
        <v>906414.86486486485</v>
      </c>
      <c r="K1511" s="596">
        <f>2268000+2866500+4012050</f>
        <v>9146550</v>
      </c>
      <c r="L1511" s="597"/>
    </row>
    <row r="1512" spans="1:12" x14ac:dyDescent="0.2">
      <c r="A1512" s="316">
        <v>163</v>
      </c>
      <c r="B1512" s="591" t="s">
        <v>5341</v>
      </c>
      <c r="C1512" s="598" t="s">
        <v>5496</v>
      </c>
      <c r="D1512" s="586"/>
      <c r="E1512" s="587" t="s">
        <v>985</v>
      </c>
      <c r="F1512" s="588" t="s">
        <v>426</v>
      </c>
      <c r="G1512" s="586"/>
      <c r="H1512" s="599">
        <v>44792</v>
      </c>
      <c r="I1512" s="595">
        <f t="shared" si="121"/>
        <v>41358648.648648642</v>
      </c>
      <c r="J1512" s="595">
        <f t="shared" si="122"/>
        <v>4549451.3513513505</v>
      </c>
      <c r="K1512" s="596">
        <f>2268000+43640100</f>
        <v>45908100</v>
      </c>
      <c r="L1512" s="597"/>
    </row>
    <row r="1513" spans="1:12" x14ac:dyDescent="0.2">
      <c r="A1513" s="316">
        <v>164</v>
      </c>
      <c r="B1513" s="591" t="s">
        <v>5342</v>
      </c>
      <c r="C1513" s="602" t="s">
        <v>5476</v>
      </c>
      <c r="D1513" s="603"/>
      <c r="E1513" s="604" t="s">
        <v>1016</v>
      </c>
      <c r="F1513" s="605" t="s">
        <v>1017</v>
      </c>
      <c r="G1513" s="654"/>
      <c r="H1513" s="606">
        <v>44793</v>
      </c>
      <c r="I1513" s="595">
        <f t="shared" si="121"/>
        <v>3671216.2162162159</v>
      </c>
      <c r="J1513" s="595">
        <f t="shared" si="122"/>
        <v>403833.78378378373</v>
      </c>
      <c r="K1513" s="596">
        <f>288750+2998800+787500</f>
        <v>4075050</v>
      </c>
      <c r="L1513" s="597"/>
    </row>
    <row r="1514" spans="1:12" x14ac:dyDescent="0.2">
      <c r="A1514" s="316">
        <v>165</v>
      </c>
      <c r="B1514" s="591" t="s">
        <v>5343</v>
      </c>
      <c r="C1514" s="598" t="s">
        <v>5399</v>
      </c>
      <c r="D1514" s="586"/>
      <c r="E1514" s="587" t="s">
        <v>1738</v>
      </c>
      <c r="F1514" s="588" t="s">
        <v>1055</v>
      </c>
      <c r="G1514" s="586"/>
      <c r="H1514" s="599">
        <v>44793</v>
      </c>
      <c r="I1514" s="595">
        <f t="shared" si="121"/>
        <v>2349729.7297297297</v>
      </c>
      <c r="J1514" s="595">
        <f t="shared" si="122"/>
        <v>258470.27027027027</v>
      </c>
      <c r="K1514" s="596">
        <v>2608200</v>
      </c>
      <c r="L1514" s="597"/>
    </row>
    <row r="1515" spans="1:12" x14ac:dyDescent="0.2">
      <c r="A1515" s="316">
        <v>166</v>
      </c>
      <c r="B1515" s="591" t="s">
        <v>5344</v>
      </c>
      <c r="C1515" s="598" t="s">
        <v>5488</v>
      </c>
      <c r="D1515" s="586"/>
      <c r="E1515" s="587" t="s">
        <v>1062</v>
      </c>
      <c r="F1515" s="588" t="s">
        <v>966</v>
      </c>
      <c r="G1515" s="586"/>
      <c r="H1515" s="599">
        <v>44793</v>
      </c>
      <c r="I1515" s="595">
        <f t="shared" si="121"/>
        <v>19070270.270270269</v>
      </c>
      <c r="J1515" s="595">
        <f t="shared" si="122"/>
        <v>2097729.7297297297</v>
      </c>
      <c r="K1515" s="596">
        <f>3843000+6648600+10676400</f>
        <v>21168000</v>
      </c>
      <c r="L1515" s="597"/>
    </row>
    <row r="1516" spans="1:12" x14ac:dyDescent="0.2">
      <c r="A1516" s="316">
        <v>167</v>
      </c>
      <c r="B1516" s="591" t="s">
        <v>5345</v>
      </c>
      <c r="C1516" s="598" t="s">
        <v>5401</v>
      </c>
      <c r="D1516" s="586"/>
      <c r="E1516" s="587" t="s">
        <v>4769</v>
      </c>
      <c r="F1516" s="588" t="s">
        <v>1130</v>
      </c>
      <c r="G1516" s="586"/>
      <c r="H1516" s="599">
        <v>44793</v>
      </c>
      <c r="I1516" s="595">
        <f t="shared" si="121"/>
        <v>867891.89189189184</v>
      </c>
      <c r="J1516" s="595">
        <f t="shared" si="122"/>
        <v>95468.108108108107</v>
      </c>
      <c r="K1516" s="596">
        <v>963360</v>
      </c>
      <c r="L1516" s="597"/>
    </row>
    <row r="1517" spans="1:12" x14ac:dyDescent="0.2">
      <c r="A1517" s="316">
        <v>168</v>
      </c>
      <c r="B1517" s="591" t="s">
        <v>5346</v>
      </c>
      <c r="C1517" s="598" t="s">
        <v>5503</v>
      </c>
      <c r="D1517" s="586"/>
      <c r="E1517" s="587" t="s">
        <v>1090</v>
      </c>
      <c r="F1517" s="588" t="s">
        <v>606</v>
      </c>
      <c r="G1517" s="586"/>
      <c r="H1517" s="599">
        <v>44793</v>
      </c>
      <c r="I1517" s="595">
        <f t="shared" si="121"/>
        <v>38971396.396396391</v>
      </c>
      <c r="J1517" s="595">
        <f t="shared" si="122"/>
        <v>4286853.6036036033</v>
      </c>
      <c r="K1517" s="596">
        <f>21440650+1522500+20295100</f>
        <v>43258250</v>
      </c>
      <c r="L1517" s="597"/>
    </row>
    <row r="1518" spans="1:12" x14ac:dyDescent="0.2">
      <c r="A1518" s="316">
        <v>169</v>
      </c>
      <c r="B1518" s="591" t="s">
        <v>5347</v>
      </c>
      <c r="C1518" s="598" t="s">
        <v>5505</v>
      </c>
      <c r="D1518" s="586"/>
      <c r="E1518" s="587" t="s">
        <v>1052</v>
      </c>
      <c r="F1518" s="588" t="s">
        <v>1017</v>
      </c>
      <c r="G1518" s="586"/>
      <c r="H1518" s="599">
        <v>44793</v>
      </c>
      <c r="I1518" s="595">
        <f t="shared" si="121"/>
        <v>5155405.405405405</v>
      </c>
      <c r="J1518" s="595">
        <f t="shared" si="122"/>
        <v>567094.59459459456</v>
      </c>
      <c r="K1518" s="596">
        <f>1710450+2704800+1307250</f>
        <v>5722500</v>
      </c>
      <c r="L1518" s="597"/>
    </row>
    <row r="1519" spans="1:12" x14ac:dyDescent="0.2">
      <c r="A1519" s="316">
        <v>170</v>
      </c>
      <c r="B1519" s="591" t="s">
        <v>5348</v>
      </c>
      <c r="C1519" s="598" t="s">
        <v>2718</v>
      </c>
      <c r="D1519" s="586"/>
      <c r="E1519" s="587" t="s">
        <v>5407</v>
      </c>
      <c r="F1519" s="588" t="s">
        <v>620</v>
      </c>
      <c r="G1519" s="586"/>
      <c r="H1519" s="599">
        <v>44793</v>
      </c>
      <c r="I1519" s="595">
        <f t="shared" si="121"/>
        <v>1413729.7297297297</v>
      </c>
      <c r="J1519" s="595">
        <f t="shared" si="122"/>
        <v>155510.27027027027</v>
      </c>
      <c r="K1519" s="596">
        <v>1569240</v>
      </c>
      <c r="L1519" s="597"/>
    </row>
    <row r="1520" spans="1:12" x14ac:dyDescent="0.2">
      <c r="A1520" s="316">
        <v>171</v>
      </c>
      <c r="B1520" s="591" t="s">
        <v>5349</v>
      </c>
      <c r="C1520" s="598" t="s">
        <v>5408</v>
      </c>
      <c r="D1520" s="586"/>
      <c r="E1520" s="587" t="s">
        <v>2758</v>
      </c>
      <c r="F1520" s="588" t="s">
        <v>1130</v>
      </c>
      <c r="G1520" s="586"/>
      <c r="H1520" s="599">
        <v>44793</v>
      </c>
      <c r="I1520" s="595">
        <f t="shared" si="121"/>
        <v>131351.35135135133</v>
      </c>
      <c r="J1520" s="595">
        <f t="shared" si="122"/>
        <v>14448.648648648646</v>
      </c>
      <c r="K1520" s="596">
        <v>145800</v>
      </c>
      <c r="L1520" s="597"/>
    </row>
    <row r="1521" spans="1:12" x14ac:dyDescent="0.2">
      <c r="A1521" s="316">
        <v>172</v>
      </c>
      <c r="B1521" s="591" t="s">
        <v>5350</v>
      </c>
      <c r="C1521" s="598" t="s">
        <v>5409</v>
      </c>
      <c r="D1521" s="586"/>
      <c r="E1521" s="587" t="s">
        <v>1012</v>
      </c>
      <c r="F1521" s="588" t="s">
        <v>1013</v>
      </c>
      <c r="G1521" s="586"/>
      <c r="H1521" s="599">
        <v>44793</v>
      </c>
      <c r="I1521" s="595">
        <f t="shared" si="121"/>
        <v>660405.40540540533</v>
      </c>
      <c r="J1521" s="595">
        <f t="shared" si="122"/>
        <v>72644.594594594586</v>
      </c>
      <c r="K1521" s="596">
        <v>733050</v>
      </c>
      <c r="L1521" s="597"/>
    </row>
    <row r="1522" spans="1:12" x14ac:dyDescent="0.2">
      <c r="A1522" s="316">
        <v>173</v>
      </c>
      <c r="B1522" s="591" t="s">
        <v>5351</v>
      </c>
      <c r="C1522" s="598" t="s">
        <v>5530</v>
      </c>
      <c r="D1522" s="586"/>
      <c r="E1522" s="587" t="s">
        <v>2576</v>
      </c>
      <c r="F1522" s="588" t="s">
        <v>2368</v>
      </c>
      <c r="G1522" s="586"/>
      <c r="H1522" s="599">
        <v>44795</v>
      </c>
      <c r="I1522" s="595">
        <f t="shared" si="121"/>
        <v>22413459.459459458</v>
      </c>
      <c r="J1522" s="595">
        <f t="shared" si="122"/>
        <v>2465480.5405405401</v>
      </c>
      <c r="K1522" s="596">
        <f>21535260+3343680</f>
        <v>24878940</v>
      </c>
      <c r="L1522" s="597"/>
    </row>
    <row r="1523" spans="1:12" x14ac:dyDescent="0.2">
      <c r="A1523" s="316">
        <v>174</v>
      </c>
      <c r="B1523" s="591" t="s">
        <v>5352</v>
      </c>
      <c r="C1523" s="602" t="s">
        <v>5551</v>
      </c>
      <c r="D1523" s="603"/>
      <c r="E1523" s="604" t="s">
        <v>1040</v>
      </c>
      <c r="F1523" s="605" t="s">
        <v>1019</v>
      </c>
      <c r="G1523" s="654"/>
      <c r="H1523" s="606">
        <v>44795</v>
      </c>
      <c r="I1523" s="595">
        <f t="shared" si="121"/>
        <v>9355135.1351351347</v>
      </c>
      <c r="J1523" s="595">
        <f t="shared" si="122"/>
        <v>1029064.8648648649</v>
      </c>
      <c r="K1523" s="596">
        <f>2608200+7776000</f>
        <v>10384200</v>
      </c>
      <c r="L1523" s="597"/>
    </row>
    <row r="1524" spans="1:12" x14ac:dyDescent="0.2">
      <c r="A1524" s="316">
        <v>175</v>
      </c>
      <c r="B1524" s="591" t="s">
        <v>5353</v>
      </c>
      <c r="C1524" s="598" t="s">
        <v>5410</v>
      </c>
      <c r="D1524" s="586"/>
      <c r="E1524" s="587" t="s">
        <v>1714</v>
      </c>
      <c r="F1524" s="588" t="s">
        <v>1130</v>
      </c>
      <c r="G1524" s="586"/>
      <c r="H1524" s="599">
        <v>44795</v>
      </c>
      <c r="I1524" s="595">
        <f t="shared" si="121"/>
        <v>706216.2162162161</v>
      </c>
      <c r="J1524" s="595">
        <f t="shared" si="122"/>
        <v>77683.783783783772</v>
      </c>
      <c r="K1524" s="596">
        <v>783900</v>
      </c>
      <c r="L1524" s="597"/>
    </row>
    <row r="1525" spans="1:12" x14ac:dyDescent="0.2">
      <c r="A1525" s="316">
        <v>176</v>
      </c>
      <c r="B1525" s="591" t="s">
        <v>5354</v>
      </c>
      <c r="C1525" s="598" t="s">
        <v>5475</v>
      </c>
      <c r="D1525" s="586"/>
      <c r="E1525" s="587" t="s">
        <v>965</v>
      </c>
      <c r="F1525" s="588" t="s">
        <v>966</v>
      </c>
      <c r="G1525" s="586"/>
      <c r="H1525" s="599">
        <v>44795</v>
      </c>
      <c r="I1525" s="595">
        <f t="shared" si="121"/>
        <v>32364717.117117114</v>
      </c>
      <c r="J1525" s="595">
        <f t="shared" si="122"/>
        <v>3560118.8828828824</v>
      </c>
      <c r="K1525" s="596">
        <f>2823100+25985400+7116336</f>
        <v>35924836</v>
      </c>
      <c r="L1525" s="597"/>
    </row>
    <row r="1526" spans="1:12" x14ac:dyDescent="0.2">
      <c r="A1526" s="316">
        <v>177</v>
      </c>
      <c r="B1526" s="591" t="s">
        <v>5355</v>
      </c>
      <c r="C1526" s="598" t="s">
        <v>5474</v>
      </c>
      <c r="D1526" s="586"/>
      <c r="E1526" s="587" t="s">
        <v>969</v>
      </c>
      <c r="F1526" s="588" t="s">
        <v>966</v>
      </c>
      <c r="G1526" s="586"/>
      <c r="H1526" s="599">
        <v>44795</v>
      </c>
      <c r="I1526" s="595">
        <f t="shared" si="121"/>
        <v>18273783.783783782</v>
      </c>
      <c r="J1526" s="595">
        <f t="shared" si="122"/>
        <v>2010116.2162162161</v>
      </c>
      <c r="K1526" s="596">
        <f>2389800+4844700+13049400</f>
        <v>20283900</v>
      </c>
      <c r="L1526" s="597"/>
    </row>
    <row r="1527" spans="1:12" x14ac:dyDescent="0.2">
      <c r="A1527" s="316">
        <v>178</v>
      </c>
      <c r="B1527" s="591" t="s">
        <v>5356</v>
      </c>
      <c r="C1527" s="598" t="s">
        <v>5477</v>
      </c>
      <c r="D1527" s="586"/>
      <c r="E1527" s="587" t="s">
        <v>992</v>
      </c>
      <c r="F1527" s="588" t="s">
        <v>1075</v>
      </c>
      <c r="G1527" s="586"/>
      <c r="H1527" s="599">
        <v>44795</v>
      </c>
      <c r="I1527" s="595">
        <f t="shared" si="121"/>
        <v>10103654.054054054</v>
      </c>
      <c r="J1527" s="595">
        <f t="shared" si="122"/>
        <v>1111401.9459459458</v>
      </c>
      <c r="K1527" s="596">
        <f>410400+7442400+3362256</f>
        <v>11215056</v>
      </c>
      <c r="L1527" s="597"/>
    </row>
    <row r="1528" spans="1:12" x14ac:dyDescent="0.2">
      <c r="A1528" s="316">
        <v>179</v>
      </c>
      <c r="B1528" s="591" t="s">
        <v>5357</v>
      </c>
      <c r="C1528" s="598" t="s">
        <v>5411</v>
      </c>
      <c r="D1528" s="586"/>
      <c r="E1528" s="587" t="s">
        <v>1783</v>
      </c>
      <c r="F1528" s="588" t="s">
        <v>620</v>
      </c>
      <c r="G1528" s="586"/>
      <c r="H1528" s="599">
        <v>44795</v>
      </c>
      <c r="I1528" s="595">
        <f t="shared" si="121"/>
        <v>100135.13513513513</v>
      </c>
      <c r="J1528" s="595">
        <f t="shared" si="122"/>
        <v>11014.864864864865</v>
      </c>
      <c r="K1528" s="596">
        <v>111150</v>
      </c>
      <c r="L1528" s="597"/>
    </row>
    <row r="1529" spans="1:12" x14ac:dyDescent="0.2">
      <c r="A1529" s="316">
        <v>180</v>
      </c>
      <c r="B1529" s="591" t="s">
        <v>5358</v>
      </c>
      <c r="C1529" s="598" t="s">
        <v>5462</v>
      </c>
      <c r="D1529" s="586"/>
      <c r="E1529" s="587" t="s">
        <v>1750</v>
      </c>
      <c r="F1529" s="588" t="s">
        <v>1328</v>
      </c>
      <c r="G1529" s="586"/>
      <c r="H1529" s="599">
        <v>44796</v>
      </c>
      <c r="I1529" s="595">
        <f t="shared" ref="I1529:I1548" si="123">K1529/1.11</f>
        <v>2349729.7297297297</v>
      </c>
      <c r="J1529" s="595">
        <f t="shared" ref="J1529:J1548" si="124">I1529*11%</f>
        <v>258470.27027027027</v>
      </c>
      <c r="K1529" s="596">
        <v>2608200</v>
      </c>
      <c r="L1529" s="597"/>
    </row>
    <row r="1530" spans="1:12" x14ac:dyDescent="0.2">
      <c r="A1530" s="316">
        <v>181</v>
      </c>
      <c r="B1530" s="591" t="s">
        <v>5359</v>
      </c>
      <c r="C1530" s="598" t="s">
        <v>5463</v>
      </c>
      <c r="D1530" s="586"/>
      <c r="E1530" s="587" t="s">
        <v>1108</v>
      </c>
      <c r="F1530" s="588" t="s">
        <v>1109</v>
      </c>
      <c r="G1530" s="586"/>
      <c r="H1530" s="599">
        <v>44796</v>
      </c>
      <c r="I1530" s="595">
        <f t="shared" si="123"/>
        <v>1237621.6216216215</v>
      </c>
      <c r="J1530" s="595">
        <f t="shared" si="124"/>
        <v>136138.37837837837</v>
      </c>
      <c r="K1530" s="596">
        <v>1373760</v>
      </c>
      <c r="L1530" s="597"/>
    </row>
    <row r="1531" spans="1:12" x14ac:dyDescent="0.2">
      <c r="A1531" s="316">
        <v>182</v>
      </c>
      <c r="B1531" s="591" t="s">
        <v>5360</v>
      </c>
      <c r="C1531" s="598" t="s">
        <v>5465</v>
      </c>
      <c r="D1531" s="586"/>
      <c r="E1531" s="587" t="s">
        <v>1729</v>
      </c>
      <c r="F1531" s="588" t="s">
        <v>599</v>
      </c>
      <c r="G1531" s="586"/>
      <c r="H1531" s="599">
        <v>44796</v>
      </c>
      <c r="I1531" s="595">
        <f t="shared" si="123"/>
        <v>723099.09909909905</v>
      </c>
      <c r="J1531" s="595">
        <f t="shared" si="124"/>
        <v>79540.900900900902</v>
      </c>
      <c r="K1531" s="596">
        <v>802640</v>
      </c>
      <c r="L1531" s="597"/>
    </row>
    <row r="1532" spans="1:12" x14ac:dyDescent="0.2">
      <c r="A1532" s="316">
        <v>183</v>
      </c>
      <c r="B1532" s="591" t="s">
        <v>5361</v>
      </c>
      <c r="C1532" s="598" t="s">
        <v>5506</v>
      </c>
      <c r="D1532" s="586"/>
      <c r="E1532" s="587" t="s">
        <v>978</v>
      </c>
      <c r="F1532" s="588" t="s">
        <v>590</v>
      </c>
      <c r="G1532" s="586"/>
      <c r="H1532" s="599">
        <v>44796</v>
      </c>
      <c r="I1532" s="595">
        <f t="shared" si="123"/>
        <v>12389578.378378376</v>
      </c>
      <c r="J1532" s="595">
        <f t="shared" si="124"/>
        <v>1362853.6216216213</v>
      </c>
      <c r="K1532" s="596">
        <f>1496400+5531520+6724512</f>
        <v>13752432</v>
      </c>
      <c r="L1532" s="597"/>
    </row>
    <row r="1533" spans="1:12" x14ac:dyDescent="0.2">
      <c r="A1533" s="316">
        <v>184</v>
      </c>
      <c r="B1533" s="591" t="s">
        <v>5362</v>
      </c>
      <c r="C1533" s="602" t="s">
        <v>5538</v>
      </c>
      <c r="D1533" s="603"/>
      <c r="E1533" s="604" t="s">
        <v>1054</v>
      </c>
      <c r="F1533" s="605" t="s">
        <v>1055</v>
      </c>
      <c r="G1533" s="654"/>
      <c r="H1533" s="606">
        <v>44796</v>
      </c>
      <c r="I1533" s="595">
        <f t="shared" si="123"/>
        <v>10328324.324324323</v>
      </c>
      <c r="J1533" s="595">
        <f t="shared" si="124"/>
        <v>1136115.6756756755</v>
      </c>
      <c r="K1533" s="596">
        <f>3847500+1913400+5703540</f>
        <v>11464440</v>
      </c>
      <c r="L1533" s="597"/>
    </row>
    <row r="1534" spans="1:12" x14ac:dyDescent="0.2">
      <c r="A1534" s="316">
        <v>185</v>
      </c>
      <c r="B1534" s="591" t="s">
        <v>5363</v>
      </c>
      <c r="C1534" s="598" t="s">
        <v>5470</v>
      </c>
      <c r="D1534" s="586"/>
      <c r="E1534" s="587" t="s">
        <v>1083</v>
      </c>
      <c r="F1534" s="588" t="s">
        <v>1084</v>
      </c>
      <c r="G1534" s="586"/>
      <c r="H1534" s="599">
        <v>44796</v>
      </c>
      <c r="I1534" s="595">
        <f t="shared" si="123"/>
        <v>1256108.1081081079</v>
      </c>
      <c r="J1534" s="595">
        <f t="shared" si="124"/>
        <v>138171.89189189186</v>
      </c>
      <c r="K1534" s="596">
        <v>1394280</v>
      </c>
      <c r="L1534" s="597"/>
    </row>
    <row r="1535" spans="1:12" x14ac:dyDescent="0.2">
      <c r="A1535" s="316">
        <v>186</v>
      </c>
      <c r="B1535" s="591" t="s">
        <v>5364</v>
      </c>
      <c r="C1535" s="598" t="s">
        <v>5471</v>
      </c>
      <c r="D1535" s="586"/>
      <c r="E1535" s="587" t="s">
        <v>1126</v>
      </c>
      <c r="F1535" s="588" t="s">
        <v>1127</v>
      </c>
      <c r="G1535" s="586"/>
      <c r="H1535" s="599">
        <v>44797</v>
      </c>
      <c r="I1535" s="595">
        <f t="shared" si="123"/>
        <v>3081891.8918918916</v>
      </c>
      <c r="J1535" s="595">
        <f t="shared" si="124"/>
        <v>339008.10810810811</v>
      </c>
      <c r="K1535" s="596">
        <v>3420900</v>
      </c>
      <c r="L1535" s="597"/>
    </row>
    <row r="1536" spans="1:12" x14ac:dyDescent="0.2">
      <c r="A1536" s="316">
        <v>187</v>
      </c>
      <c r="B1536" s="591" t="s">
        <v>5365</v>
      </c>
      <c r="C1536" s="598" t="s">
        <v>5558</v>
      </c>
      <c r="D1536" s="586"/>
      <c r="E1536" s="587" t="s">
        <v>979</v>
      </c>
      <c r="F1536" s="588" t="s">
        <v>980</v>
      </c>
      <c r="G1536" s="586"/>
      <c r="H1536" s="599">
        <v>44797</v>
      </c>
      <c r="I1536" s="595">
        <f t="shared" si="123"/>
        <v>28500324.324324321</v>
      </c>
      <c r="J1536" s="595">
        <f t="shared" si="124"/>
        <v>3135035.6756756753</v>
      </c>
      <c r="K1536" s="596">
        <f>7205760+14657760+9771840</f>
        <v>31635360</v>
      </c>
      <c r="L1536" s="597"/>
    </row>
    <row r="1537" spans="1:12" x14ac:dyDescent="0.2">
      <c r="A1537" s="316">
        <v>188</v>
      </c>
      <c r="B1537" s="591" t="s">
        <v>5366</v>
      </c>
      <c r="C1537" s="598" t="s">
        <v>5491</v>
      </c>
      <c r="D1537" s="586"/>
      <c r="E1537" s="587" t="s">
        <v>1727</v>
      </c>
      <c r="F1537" s="588" t="s">
        <v>987</v>
      </c>
      <c r="G1537" s="586"/>
      <c r="H1537" s="599">
        <v>44797</v>
      </c>
      <c r="I1537" s="595">
        <f t="shared" si="123"/>
        <v>7367837.8378378376</v>
      </c>
      <c r="J1537" s="595">
        <f t="shared" si="124"/>
        <v>810462.16216216213</v>
      </c>
      <c r="K1537" s="596">
        <f>1738800+6439500</f>
        <v>8178300</v>
      </c>
      <c r="L1537" s="597"/>
    </row>
    <row r="1538" spans="1:12" x14ac:dyDescent="0.2">
      <c r="A1538" s="316">
        <v>189</v>
      </c>
      <c r="B1538" s="591" t="s">
        <v>5367</v>
      </c>
      <c r="C1538" s="598" t="s">
        <v>5529</v>
      </c>
      <c r="D1538" s="586"/>
      <c r="E1538" s="587" t="s">
        <v>1220</v>
      </c>
      <c r="F1538" s="588" t="s">
        <v>1221</v>
      </c>
      <c r="G1538" s="586"/>
      <c r="H1538" s="599">
        <v>44797</v>
      </c>
      <c r="I1538" s="595">
        <f t="shared" si="123"/>
        <v>8038486.4864864862</v>
      </c>
      <c r="J1538" s="595">
        <f t="shared" si="124"/>
        <v>884233.51351351349</v>
      </c>
      <c r="K1538" s="596">
        <f>2656800+297000+5968920</f>
        <v>8922720</v>
      </c>
      <c r="L1538" s="597"/>
    </row>
    <row r="1539" spans="1:12" x14ac:dyDescent="0.2">
      <c r="A1539" s="316">
        <v>190</v>
      </c>
      <c r="B1539" s="591" t="s">
        <v>5368</v>
      </c>
      <c r="C1539" s="598" t="s">
        <v>5560</v>
      </c>
      <c r="D1539" s="586"/>
      <c r="E1539" s="587" t="s">
        <v>992</v>
      </c>
      <c r="F1539" s="588" t="s">
        <v>673</v>
      </c>
      <c r="G1539" s="586"/>
      <c r="H1539" s="599">
        <v>44797</v>
      </c>
      <c r="I1539" s="595">
        <f t="shared" si="123"/>
        <v>54198918.918918915</v>
      </c>
      <c r="J1539" s="595">
        <f t="shared" si="124"/>
        <v>5961881.0810810803</v>
      </c>
      <c r="K1539" s="596">
        <f>22239000+2410800+35511000</f>
        <v>60160800</v>
      </c>
      <c r="L1539" s="597"/>
    </row>
    <row r="1540" spans="1:12" x14ac:dyDescent="0.2">
      <c r="A1540" s="316">
        <v>191</v>
      </c>
      <c r="B1540" s="591" t="s">
        <v>5369</v>
      </c>
      <c r="C1540" s="598" t="s">
        <v>5562</v>
      </c>
      <c r="D1540" s="586"/>
      <c r="E1540" s="587" t="s">
        <v>986</v>
      </c>
      <c r="F1540" s="588" t="s">
        <v>980</v>
      </c>
      <c r="G1540" s="586"/>
      <c r="H1540" s="599">
        <v>44798</v>
      </c>
      <c r="I1540" s="595">
        <f t="shared" si="123"/>
        <v>8110810.81081081</v>
      </c>
      <c r="J1540" s="595">
        <f t="shared" si="124"/>
        <v>892189.18918918911</v>
      </c>
      <c r="K1540" s="596">
        <f>5876400+1681560+1445040</f>
        <v>9003000</v>
      </c>
      <c r="L1540" s="597"/>
    </row>
    <row r="1541" spans="1:12" x14ac:dyDescent="0.2">
      <c r="A1541" s="316">
        <v>192</v>
      </c>
      <c r="B1541" s="591" t="s">
        <v>5370</v>
      </c>
      <c r="C1541" s="598" t="s">
        <v>5479</v>
      </c>
      <c r="D1541" s="586"/>
      <c r="E1541" s="587" t="s">
        <v>1124</v>
      </c>
      <c r="F1541" s="588" t="s">
        <v>599</v>
      </c>
      <c r="G1541" s="586"/>
      <c r="H1541" s="599">
        <v>44798</v>
      </c>
      <c r="I1541" s="595">
        <f t="shared" si="123"/>
        <v>1945945.9459459458</v>
      </c>
      <c r="J1541" s="595">
        <f t="shared" si="124"/>
        <v>214054.05405405405</v>
      </c>
      <c r="K1541" s="596">
        <v>2160000</v>
      </c>
      <c r="L1541" s="597"/>
    </row>
    <row r="1542" spans="1:12" x14ac:dyDescent="0.2">
      <c r="A1542" s="316">
        <v>193</v>
      </c>
      <c r="B1542" s="591" t="s">
        <v>5371</v>
      </c>
      <c r="C1542" s="598" t="s">
        <v>5481</v>
      </c>
      <c r="D1542" s="586"/>
      <c r="E1542" s="587" t="s">
        <v>5480</v>
      </c>
      <c r="F1542" s="588" t="s">
        <v>599</v>
      </c>
      <c r="G1542" s="586"/>
      <c r="H1542" s="599">
        <v>44798</v>
      </c>
      <c r="I1542" s="595">
        <f t="shared" si="123"/>
        <v>5574459.4594594594</v>
      </c>
      <c r="J1542" s="595">
        <f t="shared" si="124"/>
        <v>613190.54054054059</v>
      </c>
      <c r="K1542" s="596">
        <v>6187650</v>
      </c>
      <c r="L1542" s="597"/>
    </row>
    <row r="1543" spans="1:12" x14ac:dyDescent="0.2">
      <c r="A1543" s="316">
        <v>194</v>
      </c>
      <c r="B1543" s="591" t="s">
        <v>5372</v>
      </c>
      <c r="C1543" s="602" t="s">
        <v>5482</v>
      </c>
      <c r="D1543" s="603"/>
      <c r="E1543" s="604" t="s">
        <v>4755</v>
      </c>
      <c r="F1543" s="605" t="s">
        <v>993</v>
      </c>
      <c r="G1543" s="654"/>
      <c r="H1543" s="606">
        <v>44798</v>
      </c>
      <c r="I1543" s="595">
        <f t="shared" si="123"/>
        <v>603243.2432432432</v>
      </c>
      <c r="J1543" s="595">
        <f t="shared" si="124"/>
        <v>66356.756756756746</v>
      </c>
      <c r="K1543" s="596">
        <v>669600</v>
      </c>
      <c r="L1543" s="597"/>
    </row>
    <row r="1544" spans="1:12" x14ac:dyDescent="0.2">
      <c r="A1544" s="316">
        <v>195</v>
      </c>
      <c r="B1544" s="591" t="s">
        <v>5373</v>
      </c>
      <c r="C1544" s="598" t="s">
        <v>5483</v>
      </c>
      <c r="D1544" s="586"/>
      <c r="E1544" s="587" t="s">
        <v>5484</v>
      </c>
      <c r="F1544" s="588" t="s">
        <v>599</v>
      </c>
      <c r="G1544" s="586"/>
      <c r="H1544" s="599">
        <v>44798</v>
      </c>
      <c r="I1544" s="595">
        <f t="shared" si="123"/>
        <v>1351351.3513513512</v>
      </c>
      <c r="J1544" s="595">
        <f t="shared" si="124"/>
        <v>148648.64864864864</v>
      </c>
      <c r="K1544" s="596">
        <v>1500000</v>
      </c>
      <c r="L1544" s="597"/>
    </row>
    <row r="1545" spans="1:12" x14ac:dyDescent="0.2">
      <c r="A1545" s="316">
        <v>196</v>
      </c>
      <c r="B1545" s="591" t="s">
        <v>5374</v>
      </c>
      <c r="C1545" s="598" t="s">
        <v>5487</v>
      </c>
      <c r="D1545" s="586"/>
      <c r="E1545" s="587" t="s">
        <v>965</v>
      </c>
      <c r="F1545" s="588" t="s">
        <v>966</v>
      </c>
      <c r="G1545" s="586"/>
      <c r="H1545" s="599">
        <v>44798</v>
      </c>
      <c r="I1545" s="595">
        <f t="shared" si="123"/>
        <v>29234774.774774771</v>
      </c>
      <c r="J1545" s="595">
        <f t="shared" si="124"/>
        <v>3215825.2252252246</v>
      </c>
      <c r="K1545" s="596">
        <f>19334000+13116600</f>
        <v>32450600</v>
      </c>
      <c r="L1545" s="597"/>
    </row>
    <row r="1546" spans="1:12" x14ac:dyDescent="0.2">
      <c r="A1546" s="316">
        <v>197</v>
      </c>
      <c r="B1546" s="591" t="s">
        <v>5375</v>
      </c>
      <c r="C1546" s="598" t="s">
        <v>5486</v>
      </c>
      <c r="D1546" s="586"/>
      <c r="E1546" s="587" t="s">
        <v>1029</v>
      </c>
      <c r="F1546" s="588" t="s">
        <v>966</v>
      </c>
      <c r="G1546" s="586"/>
      <c r="H1546" s="599">
        <v>44799</v>
      </c>
      <c r="I1546" s="595">
        <f t="shared" si="123"/>
        <v>13281081.081081079</v>
      </c>
      <c r="J1546" s="595">
        <f t="shared" si="124"/>
        <v>1460918.9189189188</v>
      </c>
      <c r="K1546" s="596">
        <v>14742000</v>
      </c>
      <c r="L1546" s="597"/>
    </row>
    <row r="1547" spans="1:12" x14ac:dyDescent="0.2">
      <c r="A1547" s="316">
        <v>198</v>
      </c>
      <c r="B1547" s="591" t="s">
        <v>5376</v>
      </c>
      <c r="C1547" s="598" t="s">
        <v>5489</v>
      </c>
      <c r="D1547" s="586"/>
      <c r="E1547" s="587" t="s">
        <v>5490</v>
      </c>
      <c r="F1547" s="588" t="s">
        <v>3045</v>
      </c>
      <c r="G1547" s="586"/>
      <c r="H1547" s="599">
        <v>44799</v>
      </c>
      <c r="I1547" s="595">
        <f t="shared" si="123"/>
        <v>65675.675675675666</v>
      </c>
      <c r="J1547" s="595">
        <f t="shared" si="124"/>
        <v>7224.3243243243232</v>
      </c>
      <c r="K1547" s="596">
        <v>72900</v>
      </c>
      <c r="L1547" s="597"/>
    </row>
    <row r="1548" spans="1:12" x14ac:dyDescent="0.2">
      <c r="A1548" s="316">
        <v>199</v>
      </c>
      <c r="B1548" s="591" t="s">
        <v>5377</v>
      </c>
      <c r="C1548" s="598" t="s">
        <v>5493</v>
      </c>
      <c r="D1548" s="586"/>
      <c r="E1548" s="587" t="s">
        <v>1007</v>
      </c>
      <c r="F1548" s="588" t="s">
        <v>1008</v>
      </c>
      <c r="G1548" s="586"/>
      <c r="H1548" s="599">
        <v>44804</v>
      </c>
      <c r="I1548" s="595">
        <f t="shared" si="123"/>
        <v>3758594.5945945941</v>
      </c>
      <c r="J1548" s="595">
        <f t="shared" si="124"/>
        <v>413445.40540540533</v>
      </c>
      <c r="K1548" s="596">
        <v>4172040</v>
      </c>
      <c r="L1548" s="597"/>
    </row>
    <row r="1549" spans="1:12" x14ac:dyDescent="0.2">
      <c r="A1549" s="316">
        <v>200</v>
      </c>
      <c r="B1549" s="591" t="s">
        <v>5412</v>
      </c>
      <c r="C1549" s="598" t="s">
        <v>5502</v>
      </c>
      <c r="D1549" s="586"/>
      <c r="E1549" s="587" t="s">
        <v>992</v>
      </c>
      <c r="F1549" s="588" t="s">
        <v>993</v>
      </c>
      <c r="G1549" s="586"/>
      <c r="H1549" s="599">
        <v>44800</v>
      </c>
      <c r="I1549" s="595">
        <f t="shared" si="121"/>
        <v>8407083.7837837823</v>
      </c>
      <c r="J1549" s="595">
        <f t="shared" si="122"/>
        <v>924779.2162162161</v>
      </c>
      <c r="K1549" s="596">
        <f>5281863+4050000</f>
        <v>9331863</v>
      </c>
      <c r="L1549" s="597"/>
    </row>
    <row r="1550" spans="1:12" x14ac:dyDescent="0.2">
      <c r="A1550" s="316">
        <v>201</v>
      </c>
      <c r="B1550" s="591" t="s">
        <v>5413</v>
      </c>
      <c r="C1550" s="598" t="s">
        <v>5507</v>
      </c>
      <c r="D1550" s="586"/>
      <c r="E1550" s="587" t="s">
        <v>1036</v>
      </c>
      <c r="F1550" s="588" t="s">
        <v>1008</v>
      </c>
      <c r="G1550" s="586"/>
      <c r="H1550" s="599">
        <v>44802</v>
      </c>
      <c r="I1550" s="595">
        <f t="shared" si="121"/>
        <v>3552497.297297297</v>
      </c>
      <c r="J1550" s="595">
        <f t="shared" si="122"/>
        <v>390774.70270270266</v>
      </c>
      <c r="K1550" s="596">
        <v>3943272</v>
      </c>
      <c r="L1550" s="597"/>
    </row>
    <row r="1551" spans="1:12" x14ac:dyDescent="0.2">
      <c r="A1551" s="316">
        <v>202</v>
      </c>
      <c r="B1551" s="591" t="s">
        <v>5414</v>
      </c>
      <c r="C1551" s="598" t="s">
        <v>5509</v>
      </c>
      <c r="D1551" s="586"/>
      <c r="E1551" s="587" t="s">
        <v>1768</v>
      </c>
      <c r="F1551" s="588" t="s">
        <v>1008</v>
      </c>
      <c r="G1551" s="586"/>
      <c r="H1551" s="599">
        <v>44802</v>
      </c>
      <c r="I1551" s="595">
        <f t="shared" si="121"/>
        <v>3081891.8918918916</v>
      </c>
      <c r="J1551" s="595">
        <f t="shared" si="122"/>
        <v>339008.10810810811</v>
      </c>
      <c r="K1551" s="596">
        <v>3420900</v>
      </c>
      <c r="L1551" s="597"/>
    </row>
    <row r="1552" spans="1:12" x14ac:dyDescent="0.2">
      <c r="A1552" s="316">
        <v>203</v>
      </c>
      <c r="B1552" s="591" t="s">
        <v>5415</v>
      </c>
      <c r="C1552" s="598" t="s">
        <v>5510</v>
      </c>
      <c r="D1552" s="586"/>
      <c r="E1552" s="587" t="s">
        <v>1001</v>
      </c>
      <c r="F1552" s="588" t="s">
        <v>590</v>
      </c>
      <c r="G1552" s="586"/>
      <c r="H1552" s="599">
        <v>44802</v>
      </c>
      <c r="I1552" s="595">
        <f t="shared" si="121"/>
        <v>755999.99999999988</v>
      </c>
      <c r="J1552" s="595">
        <f t="shared" si="122"/>
        <v>83159.999999999985</v>
      </c>
      <c r="K1552" s="596">
        <v>839160</v>
      </c>
      <c r="L1552" s="597"/>
    </row>
    <row r="1553" spans="1:12" x14ac:dyDescent="0.2">
      <c r="A1553" s="316">
        <v>204</v>
      </c>
      <c r="B1553" s="591" t="s">
        <v>5416</v>
      </c>
      <c r="C1553" s="602" t="s">
        <v>5564</v>
      </c>
      <c r="D1553" s="603"/>
      <c r="E1553" s="604" t="s">
        <v>1014</v>
      </c>
      <c r="F1553" s="605" t="s">
        <v>1015</v>
      </c>
      <c r="G1553" s="654"/>
      <c r="H1553" s="606">
        <v>44802</v>
      </c>
      <c r="I1553" s="595">
        <f t="shared" si="121"/>
        <v>6947027.0270270268</v>
      </c>
      <c r="J1553" s="595">
        <f t="shared" si="122"/>
        <v>764172.9729729729</v>
      </c>
      <c r="K1553" s="596">
        <f>5054400+2656800</f>
        <v>7711200</v>
      </c>
      <c r="L1553" s="597"/>
    </row>
    <row r="1554" spans="1:12" x14ac:dyDescent="0.2">
      <c r="A1554" s="316">
        <v>205</v>
      </c>
      <c r="B1554" s="591" t="s">
        <v>5417</v>
      </c>
      <c r="C1554" s="598" t="s">
        <v>5515</v>
      </c>
      <c r="D1554" s="586"/>
      <c r="E1554" s="587" t="s">
        <v>1009</v>
      </c>
      <c r="F1554" s="588" t="s">
        <v>1008</v>
      </c>
      <c r="G1554" s="586"/>
      <c r="H1554" s="599">
        <v>44804</v>
      </c>
      <c r="I1554" s="595">
        <f t="shared" si="121"/>
        <v>4737873.8738738736</v>
      </c>
      <c r="J1554" s="595">
        <f t="shared" si="122"/>
        <v>521166.1261261261</v>
      </c>
      <c r="K1554" s="596">
        <v>5259040</v>
      </c>
      <c r="L1554" s="597"/>
    </row>
    <row r="1555" spans="1:12" x14ac:dyDescent="0.2">
      <c r="A1555" s="316">
        <v>206</v>
      </c>
      <c r="B1555" s="591" t="s">
        <v>5418</v>
      </c>
      <c r="C1555" s="598" t="s">
        <v>5516</v>
      </c>
      <c r="D1555" s="586"/>
      <c r="E1555" s="587" t="s">
        <v>1079</v>
      </c>
      <c r="F1555" s="588" t="s">
        <v>1081</v>
      </c>
      <c r="G1555" s="586"/>
      <c r="H1555" s="599">
        <v>44804</v>
      </c>
      <c r="I1555" s="595">
        <f t="shared" si="121"/>
        <v>316216.21621621621</v>
      </c>
      <c r="J1555" s="595">
        <f t="shared" si="122"/>
        <v>34783.783783783787</v>
      </c>
      <c r="K1555" s="596">
        <v>351000</v>
      </c>
      <c r="L1555" s="597"/>
    </row>
    <row r="1556" spans="1:12" x14ac:dyDescent="0.2">
      <c r="A1556" s="316">
        <v>207</v>
      </c>
      <c r="B1556" s="591" t="s">
        <v>5419</v>
      </c>
      <c r="C1556" s="598" t="s">
        <v>5563</v>
      </c>
      <c r="D1556" s="586"/>
      <c r="E1556" s="587" t="s">
        <v>978</v>
      </c>
      <c r="F1556" s="588" t="s">
        <v>590</v>
      </c>
      <c r="G1556" s="586"/>
      <c r="H1556" s="599">
        <v>44803</v>
      </c>
      <c r="I1556" s="595">
        <f t="shared" si="121"/>
        <v>29196302.702702701</v>
      </c>
      <c r="J1556" s="595">
        <f t="shared" si="122"/>
        <v>3211593.297297297</v>
      </c>
      <c r="K1556" s="596">
        <f>20209656+9659520+2538720</f>
        <v>32407896</v>
      </c>
      <c r="L1556" s="597"/>
    </row>
    <row r="1557" spans="1:12" x14ac:dyDescent="0.2">
      <c r="A1557" s="316">
        <v>208</v>
      </c>
      <c r="B1557" s="591" t="s">
        <v>5420</v>
      </c>
      <c r="C1557" s="598" t="s">
        <v>5565</v>
      </c>
      <c r="D1557" s="586"/>
      <c r="E1557" s="587" t="s">
        <v>1068</v>
      </c>
      <c r="F1557" s="588" t="s">
        <v>1058</v>
      </c>
      <c r="G1557" s="586"/>
      <c r="H1557" s="599">
        <v>44803</v>
      </c>
      <c r="I1557" s="595">
        <f t="shared" si="121"/>
        <v>7100270.2702702694</v>
      </c>
      <c r="J1557" s="595">
        <f t="shared" si="122"/>
        <v>781029.72972972959</v>
      </c>
      <c r="K1557" s="596">
        <f>4914000+2967300</f>
        <v>7881300</v>
      </c>
      <c r="L1557" s="597"/>
    </row>
    <row r="1558" spans="1:12" x14ac:dyDescent="0.2">
      <c r="A1558" s="316">
        <v>209</v>
      </c>
      <c r="B1558" s="591" t="s">
        <v>5421</v>
      </c>
      <c r="C1558" s="598" t="s">
        <v>5520</v>
      </c>
      <c r="D1558" s="586"/>
      <c r="E1558" s="587" t="s">
        <v>5521</v>
      </c>
      <c r="F1558" s="588" t="s">
        <v>1328</v>
      </c>
      <c r="G1558" s="586"/>
      <c r="H1558" s="599">
        <v>44804</v>
      </c>
      <c r="I1558" s="595">
        <f t="shared" si="121"/>
        <v>270270.27027027024</v>
      </c>
      <c r="J1558" s="595">
        <f t="shared" si="122"/>
        <v>29729.729729729726</v>
      </c>
      <c r="K1558" s="596">
        <v>300000</v>
      </c>
      <c r="L1558" s="597"/>
    </row>
    <row r="1559" spans="1:12" x14ac:dyDescent="0.2">
      <c r="A1559" s="316">
        <v>210</v>
      </c>
      <c r="B1559" s="591" t="s">
        <v>5422</v>
      </c>
      <c r="C1559" s="598" t="s">
        <v>5523</v>
      </c>
      <c r="D1559" s="586"/>
      <c r="E1559" s="587" t="s">
        <v>1078</v>
      </c>
      <c r="F1559" s="588" t="s">
        <v>1061</v>
      </c>
      <c r="G1559" s="586"/>
      <c r="H1559" s="599">
        <v>44804</v>
      </c>
      <c r="I1559" s="595">
        <f t="shared" si="121"/>
        <v>3798486.4864864862</v>
      </c>
      <c r="J1559" s="595">
        <f t="shared" si="122"/>
        <v>417833.51351351349</v>
      </c>
      <c r="K1559" s="596">
        <v>4216320</v>
      </c>
      <c r="L1559" s="597"/>
    </row>
    <row r="1560" spans="1:12" x14ac:dyDescent="0.2">
      <c r="A1560" s="316">
        <v>211</v>
      </c>
      <c r="B1560" s="591" t="s">
        <v>5423</v>
      </c>
      <c r="C1560" s="598" t="s">
        <v>5524</v>
      </c>
      <c r="D1560" s="586"/>
      <c r="E1560" s="587" t="s">
        <v>1752</v>
      </c>
      <c r="F1560" s="588" t="s">
        <v>673</v>
      </c>
      <c r="G1560" s="586"/>
      <c r="H1560" s="599">
        <v>44804</v>
      </c>
      <c r="I1560" s="595">
        <f t="shared" si="121"/>
        <v>162162.16216216216</v>
      </c>
      <c r="J1560" s="595">
        <f t="shared" si="122"/>
        <v>17837.837837837837</v>
      </c>
      <c r="K1560" s="596">
        <v>180000</v>
      </c>
      <c r="L1560" s="597"/>
    </row>
    <row r="1561" spans="1:12" x14ac:dyDescent="0.2">
      <c r="A1561" s="316">
        <v>212</v>
      </c>
      <c r="B1561" s="591" t="s">
        <v>5424</v>
      </c>
      <c r="C1561" s="598" t="s">
        <v>5525</v>
      </c>
      <c r="D1561" s="586"/>
      <c r="E1561" s="587" t="s">
        <v>1089</v>
      </c>
      <c r="F1561" s="588" t="s">
        <v>1055</v>
      </c>
      <c r="G1561" s="586"/>
      <c r="H1561" s="599">
        <v>44804</v>
      </c>
      <c r="I1561" s="595">
        <f t="shared" si="121"/>
        <v>399999.99999999994</v>
      </c>
      <c r="J1561" s="595">
        <f t="shared" si="122"/>
        <v>43999.999999999993</v>
      </c>
      <c r="K1561" s="596">
        <v>444000</v>
      </c>
      <c r="L1561" s="597"/>
    </row>
    <row r="1562" spans="1:12" x14ac:dyDescent="0.2">
      <c r="A1562" s="316">
        <v>213</v>
      </c>
      <c r="B1562" s="591" t="s">
        <v>5425</v>
      </c>
      <c r="C1562" s="598" t="s">
        <v>5526</v>
      </c>
      <c r="D1562" s="586"/>
      <c r="E1562" s="587" t="s">
        <v>1005</v>
      </c>
      <c r="F1562" s="588" t="s">
        <v>996</v>
      </c>
      <c r="G1562" s="586"/>
      <c r="H1562" s="599">
        <v>44804</v>
      </c>
      <c r="I1562" s="595">
        <f t="shared" si="121"/>
        <v>710270.27027027018</v>
      </c>
      <c r="J1562" s="595">
        <f t="shared" si="122"/>
        <v>78129.729729729719</v>
      </c>
      <c r="K1562" s="596">
        <v>788400</v>
      </c>
      <c r="L1562" s="597"/>
    </row>
    <row r="1563" spans="1:12" x14ac:dyDescent="0.2">
      <c r="A1563" s="316">
        <v>214</v>
      </c>
      <c r="B1563" s="591" t="s">
        <v>5426</v>
      </c>
      <c r="C1563" s="602" t="s">
        <v>5528</v>
      </c>
      <c r="D1563" s="603"/>
      <c r="E1563" s="604" t="s">
        <v>995</v>
      </c>
      <c r="F1563" s="605" t="s">
        <v>996</v>
      </c>
      <c r="G1563" s="654"/>
      <c r="H1563" s="606">
        <v>44804</v>
      </c>
      <c r="I1563" s="595">
        <f t="shared" si="121"/>
        <v>4427027.0270270268</v>
      </c>
      <c r="J1563" s="595">
        <f t="shared" si="122"/>
        <v>486972.97297297296</v>
      </c>
      <c r="K1563" s="596">
        <v>4914000</v>
      </c>
      <c r="L1563" s="597"/>
    </row>
    <row r="1564" spans="1:12" x14ac:dyDescent="0.2">
      <c r="A1564" s="316">
        <v>215</v>
      </c>
      <c r="B1564" s="591" t="s">
        <v>5427</v>
      </c>
      <c r="C1564" s="598" t="s">
        <v>5561</v>
      </c>
      <c r="D1564" s="586"/>
      <c r="E1564" s="587" t="s">
        <v>976</v>
      </c>
      <c r="F1564" s="588" t="s">
        <v>977</v>
      </c>
      <c r="G1564" s="586"/>
      <c r="H1564" s="599">
        <v>44804</v>
      </c>
      <c r="I1564" s="595">
        <f t="shared" si="121"/>
        <v>10893405.405405404</v>
      </c>
      <c r="J1564" s="595">
        <f t="shared" si="122"/>
        <v>1198274.5945945946</v>
      </c>
      <c r="K1564" s="596">
        <f>5054400+7037280</f>
        <v>12091680</v>
      </c>
      <c r="L1564" s="597"/>
    </row>
    <row r="1565" spans="1:12" x14ac:dyDescent="0.2">
      <c r="A1565" s="316">
        <v>216</v>
      </c>
      <c r="B1565" s="591" t="s">
        <v>5428</v>
      </c>
      <c r="C1565" s="598" t="s">
        <v>5531</v>
      </c>
      <c r="D1565" s="586"/>
      <c r="E1565" s="587" t="s">
        <v>992</v>
      </c>
      <c r="F1565" s="588" t="s">
        <v>1075</v>
      </c>
      <c r="G1565" s="586"/>
      <c r="H1565" s="599">
        <v>44804</v>
      </c>
      <c r="I1565" s="595">
        <f t="shared" si="121"/>
        <v>21848648.648648646</v>
      </c>
      <c r="J1565" s="595">
        <f t="shared" si="122"/>
        <v>2403351.351351351</v>
      </c>
      <c r="K1565" s="596">
        <v>24252000</v>
      </c>
      <c r="L1565" s="597"/>
    </row>
    <row r="1566" spans="1:12" x14ac:dyDescent="0.2">
      <c r="A1566" s="316">
        <v>217</v>
      </c>
      <c r="B1566" s="591" t="s">
        <v>5429</v>
      </c>
      <c r="C1566" s="598" t="s">
        <v>5532</v>
      </c>
      <c r="D1566" s="586"/>
      <c r="E1566" s="587" t="s">
        <v>992</v>
      </c>
      <c r="F1566" s="588" t="s">
        <v>673</v>
      </c>
      <c r="G1566" s="586"/>
      <c r="H1566" s="599">
        <v>44804</v>
      </c>
      <c r="I1566" s="595">
        <f t="shared" si="121"/>
        <v>31294594.59459459</v>
      </c>
      <c r="J1566" s="595">
        <f t="shared" si="122"/>
        <v>3442405.405405405</v>
      </c>
      <c r="K1566" s="596">
        <v>34737000</v>
      </c>
      <c r="L1566" s="597"/>
    </row>
    <row r="1567" spans="1:12" x14ac:dyDescent="0.2">
      <c r="A1567" s="316">
        <v>218</v>
      </c>
      <c r="B1567" s="591" t="s">
        <v>5430</v>
      </c>
      <c r="C1567" s="598" t="s">
        <v>5559</v>
      </c>
      <c r="D1567" s="586"/>
      <c r="E1567" s="587" t="s">
        <v>981</v>
      </c>
      <c r="F1567" s="588" t="s">
        <v>980</v>
      </c>
      <c r="G1567" s="586"/>
      <c r="H1567" s="599">
        <v>44804</v>
      </c>
      <c r="I1567" s="595">
        <f t="shared" si="121"/>
        <v>44017297.297297291</v>
      </c>
      <c r="J1567" s="595">
        <f t="shared" si="122"/>
        <v>4841902.702702702</v>
      </c>
      <c r="K1567" s="596">
        <f>24429600+24429600</f>
        <v>48859200</v>
      </c>
      <c r="L1567" s="597"/>
    </row>
    <row r="1568" spans="1:12" x14ac:dyDescent="0.2">
      <c r="A1568" s="316">
        <v>219</v>
      </c>
      <c r="B1568" s="591" t="s">
        <v>5431</v>
      </c>
      <c r="C1568" s="598" t="s">
        <v>5533</v>
      </c>
      <c r="D1568" s="586"/>
      <c r="E1568" s="587" t="s">
        <v>1090</v>
      </c>
      <c r="F1568" s="588" t="s">
        <v>606</v>
      </c>
      <c r="G1568" s="586"/>
      <c r="H1568" s="599">
        <v>44804</v>
      </c>
      <c r="I1568" s="595">
        <f t="shared" si="121"/>
        <v>2943783.7837837837</v>
      </c>
      <c r="J1568" s="595">
        <f t="shared" si="122"/>
        <v>323816.21621621621</v>
      </c>
      <c r="K1568" s="596">
        <v>3267600</v>
      </c>
      <c r="L1568" s="597"/>
    </row>
    <row r="1569" spans="1:12" x14ac:dyDescent="0.2">
      <c r="A1569" s="316">
        <v>220</v>
      </c>
      <c r="B1569" s="591" t="s">
        <v>5432</v>
      </c>
      <c r="C1569" s="598" t="s">
        <v>5535</v>
      </c>
      <c r="D1569" s="586"/>
      <c r="E1569" s="587" t="s">
        <v>1760</v>
      </c>
      <c r="F1569" s="588" t="s">
        <v>606</v>
      </c>
      <c r="G1569" s="586"/>
      <c r="H1569" s="599">
        <v>44804</v>
      </c>
      <c r="I1569" s="595">
        <f t="shared" ref="I1569:I1584" si="125">K1569/1.11</f>
        <v>17708108.108108107</v>
      </c>
      <c r="J1569" s="595">
        <f t="shared" ref="J1569:J1584" si="126">I1569*11%</f>
        <v>1947891.8918918918</v>
      </c>
      <c r="K1569" s="596">
        <v>19656000</v>
      </c>
      <c r="L1569" s="597"/>
    </row>
    <row r="1570" spans="1:12" x14ac:dyDescent="0.2">
      <c r="A1570" s="316">
        <v>221</v>
      </c>
      <c r="B1570" s="591" t="s">
        <v>5433</v>
      </c>
      <c r="C1570" s="598" t="s">
        <v>5537</v>
      </c>
      <c r="D1570" s="586"/>
      <c r="E1570" s="587" t="s">
        <v>1087</v>
      </c>
      <c r="F1570" s="588" t="s">
        <v>1047</v>
      </c>
      <c r="G1570" s="586"/>
      <c r="H1570" s="599">
        <v>44804</v>
      </c>
      <c r="I1570" s="595">
        <f t="shared" si="125"/>
        <v>4427027.0270270268</v>
      </c>
      <c r="J1570" s="595">
        <f t="shared" si="126"/>
        <v>486972.97297297296</v>
      </c>
      <c r="K1570" s="596">
        <v>4914000</v>
      </c>
      <c r="L1570" s="597"/>
    </row>
    <row r="1571" spans="1:12" x14ac:dyDescent="0.2">
      <c r="A1571" s="316">
        <v>222</v>
      </c>
      <c r="B1571" s="591" t="s">
        <v>5434</v>
      </c>
      <c r="C1571" s="598" t="s">
        <v>2694</v>
      </c>
      <c r="D1571" s="586"/>
      <c r="E1571" s="587" t="s">
        <v>1053</v>
      </c>
      <c r="F1571" s="588" t="s">
        <v>1064</v>
      </c>
      <c r="G1571" s="586"/>
      <c r="H1571" s="599">
        <v>44804</v>
      </c>
      <c r="I1571" s="595">
        <f t="shared" si="125"/>
        <v>2582432.4324324322</v>
      </c>
      <c r="J1571" s="595">
        <f t="shared" si="126"/>
        <v>284067.56756756752</v>
      </c>
      <c r="K1571" s="596">
        <v>2866500</v>
      </c>
      <c r="L1571" s="597"/>
    </row>
    <row r="1572" spans="1:12" x14ac:dyDescent="0.2">
      <c r="A1572" s="316">
        <v>223</v>
      </c>
      <c r="B1572" s="591" t="s">
        <v>5435</v>
      </c>
      <c r="C1572" s="598" t="s">
        <v>5556</v>
      </c>
      <c r="D1572" s="586"/>
      <c r="E1572" s="587" t="s">
        <v>992</v>
      </c>
      <c r="F1572" s="588" t="s">
        <v>583</v>
      </c>
      <c r="G1572" s="586"/>
      <c r="H1572" s="599">
        <v>44804</v>
      </c>
      <c r="I1572" s="595">
        <f t="shared" si="125"/>
        <v>3131999.9999999995</v>
      </c>
      <c r="J1572" s="595">
        <f t="shared" si="126"/>
        <v>344519.99999999994</v>
      </c>
      <c r="K1572" s="596">
        <f>1344600+2131920</f>
        <v>3476520</v>
      </c>
      <c r="L1572" s="597"/>
    </row>
    <row r="1573" spans="1:12" x14ac:dyDescent="0.2">
      <c r="A1573" s="316">
        <v>224</v>
      </c>
      <c r="B1573" s="591" t="s">
        <v>5436</v>
      </c>
      <c r="C1573" s="602" t="s">
        <v>5539</v>
      </c>
      <c r="D1573" s="603"/>
      <c r="E1573" s="604" t="s">
        <v>5540</v>
      </c>
      <c r="F1573" s="605" t="s">
        <v>1094</v>
      </c>
      <c r="G1573" s="654"/>
      <c r="H1573" s="606">
        <v>44804</v>
      </c>
      <c r="I1573" s="595">
        <f t="shared" si="125"/>
        <v>5526810.81081081</v>
      </c>
      <c r="J1573" s="595">
        <f t="shared" si="126"/>
        <v>607949.18918918911</v>
      </c>
      <c r="K1573" s="596">
        <v>6134760</v>
      </c>
      <c r="L1573" s="597"/>
    </row>
    <row r="1574" spans="1:12" x14ac:dyDescent="0.2">
      <c r="A1574" s="316">
        <v>225</v>
      </c>
      <c r="B1574" s="591" t="s">
        <v>5437</v>
      </c>
      <c r="C1574" s="598" t="s">
        <v>5542</v>
      </c>
      <c r="D1574" s="586"/>
      <c r="E1574" s="587" t="s">
        <v>3151</v>
      </c>
      <c r="F1574" s="588" t="s">
        <v>1123</v>
      </c>
      <c r="G1574" s="586"/>
      <c r="H1574" s="599">
        <v>44792</v>
      </c>
      <c r="I1574" s="595">
        <f t="shared" si="125"/>
        <v>111711.7117117117</v>
      </c>
      <c r="J1574" s="595">
        <f t="shared" si="126"/>
        <v>12288.288288288288</v>
      </c>
      <c r="K1574" s="596">
        <v>124000</v>
      </c>
      <c r="L1574" s="597"/>
    </row>
    <row r="1575" spans="1:12" x14ac:dyDescent="0.2">
      <c r="A1575" s="316">
        <v>226</v>
      </c>
      <c r="B1575" s="591" t="s">
        <v>5438</v>
      </c>
      <c r="C1575" s="598" t="s">
        <v>5543</v>
      </c>
      <c r="D1575" s="586"/>
      <c r="E1575" s="587" t="s">
        <v>3043</v>
      </c>
      <c r="F1575" s="588" t="s">
        <v>3520</v>
      </c>
      <c r="G1575" s="586"/>
      <c r="H1575" s="599">
        <v>44776</v>
      </c>
      <c r="I1575" s="595">
        <f t="shared" si="125"/>
        <v>909909.90990990982</v>
      </c>
      <c r="J1575" s="595">
        <f t="shared" si="126"/>
        <v>100090.09009009007</v>
      </c>
      <c r="K1575" s="596">
        <v>1010000</v>
      </c>
      <c r="L1575" s="597"/>
    </row>
    <row r="1576" spans="1:12" x14ac:dyDescent="0.2">
      <c r="A1576" s="316">
        <v>227</v>
      </c>
      <c r="B1576" s="591" t="s">
        <v>5439</v>
      </c>
      <c r="C1576" s="598" t="s">
        <v>5065</v>
      </c>
      <c r="D1576" s="586"/>
      <c r="E1576" s="587" t="s">
        <v>1869</v>
      </c>
      <c r="F1576" s="588" t="s">
        <v>1022</v>
      </c>
      <c r="G1576" s="586"/>
      <c r="H1576" s="599">
        <v>44781</v>
      </c>
      <c r="I1576" s="595">
        <f t="shared" si="125"/>
        <v>28541554.054054052</v>
      </c>
      <c r="J1576" s="595">
        <f t="shared" si="126"/>
        <v>3139570.9459459456</v>
      </c>
      <c r="K1576" s="596">
        <v>31681125</v>
      </c>
      <c r="L1576" s="597"/>
    </row>
    <row r="1577" spans="1:12" x14ac:dyDescent="0.2">
      <c r="A1577" s="316">
        <v>228</v>
      </c>
      <c r="B1577" s="591" t="s">
        <v>5440</v>
      </c>
      <c r="C1577" s="598" t="s">
        <v>5544</v>
      </c>
      <c r="D1577" s="586"/>
      <c r="E1577" s="587" t="s">
        <v>1869</v>
      </c>
      <c r="F1577" s="588" t="s">
        <v>1022</v>
      </c>
      <c r="G1577" s="586"/>
      <c r="H1577" s="599">
        <v>44784</v>
      </c>
      <c r="I1577" s="595">
        <f t="shared" si="125"/>
        <v>20792346.846846845</v>
      </c>
      <c r="J1577" s="595">
        <f t="shared" si="126"/>
        <v>2287158.1531531531</v>
      </c>
      <c r="K1577" s="596">
        <v>23079505</v>
      </c>
      <c r="L1577" s="597"/>
    </row>
    <row r="1578" spans="1:12" x14ac:dyDescent="0.2">
      <c r="A1578" s="316">
        <v>229</v>
      </c>
      <c r="B1578" s="591" t="s">
        <v>5441</v>
      </c>
      <c r="C1578" s="598" t="s">
        <v>5545</v>
      </c>
      <c r="D1578" s="586"/>
      <c r="E1578" s="587" t="s">
        <v>1869</v>
      </c>
      <c r="F1578" s="588" t="s">
        <v>1022</v>
      </c>
      <c r="G1578" s="586"/>
      <c r="H1578" s="599">
        <v>44788</v>
      </c>
      <c r="I1578" s="595">
        <f t="shared" si="125"/>
        <v>32594843.24324324</v>
      </c>
      <c r="J1578" s="595">
        <f t="shared" si="126"/>
        <v>3585432.7567567565</v>
      </c>
      <c r="K1578" s="596">
        <f>33375300+2804976</f>
        <v>36180276</v>
      </c>
      <c r="L1578" s="597"/>
    </row>
    <row r="1579" spans="1:12" x14ac:dyDescent="0.2">
      <c r="A1579" s="316">
        <v>230</v>
      </c>
      <c r="B1579" s="591" t="s">
        <v>5442</v>
      </c>
      <c r="C1579" s="598" t="s">
        <v>5546</v>
      </c>
      <c r="D1579" s="586"/>
      <c r="E1579" s="587" t="s">
        <v>1869</v>
      </c>
      <c r="F1579" s="588" t="s">
        <v>1022</v>
      </c>
      <c r="G1579" s="586"/>
      <c r="H1579" s="599">
        <v>44791</v>
      </c>
      <c r="I1579" s="595">
        <f t="shared" si="125"/>
        <v>19544662.162162159</v>
      </c>
      <c r="J1579" s="595">
        <f t="shared" si="126"/>
        <v>2149912.8378378376</v>
      </c>
      <c r="K1579" s="596">
        <v>21694575</v>
      </c>
      <c r="L1579" s="597"/>
    </row>
    <row r="1580" spans="1:12" x14ac:dyDescent="0.2">
      <c r="A1580" s="316">
        <v>231</v>
      </c>
      <c r="B1580" s="591" t="s">
        <v>5443</v>
      </c>
      <c r="C1580" s="598" t="s">
        <v>5547</v>
      </c>
      <c r="D1580" s="586"/>
      <c r="E1580" s="587" t="s">
        <v>1869</v>
      </c>
      <c r="F1580" s="588" t="s">
        <v>1022</v>
      </c>
      <c r="G1580" s="586"/>
      <c r="H1580" s="599">
        <v>44796</v>
      </c>
      <c r="I1580" s="595">
        <f t="shared" si="125"/>
        <v>32911824.324324321</v>
      </c>
      <c r="J1580" s="595">
        <f t="shared" si="126"/>
        <v>3620300.6756756753</v>
      </c>
      <c r="K1580" s="596">
        <v>36532125</v>
      </c>
      <c r="L1580" s="597"/>
    </row>
    <row r="1581" spans="1:12" x14ac:dyDescent="0.2">
      <c r="A1581" s="316">
        <v>232</v>
      </c>
      <c r="B1581" s="591" t="s">
        <v>5444</v>
      </c>
      <c r="C1581" s="598" t="s">
        <v>5548</v>
      </c>
      <c r="D1581" s="586"/>
      <c r="E1581" s="587" t="s">
        <v>965</v>
      </c>
      <c r="F1581" s="588" t="s">
        <v>966</v>
      </c>
      <c r="G1581" s="586"/>
      <c r="H1581" s="599">
        <v>44800</v>
      </c>
      <c r="I1581" s="595">
        <f t="shared" si="125"/>
        <v>50548513.513513505</v>
      </c>
      <c r="J1581" s="595">
        <f t="shared" si="126"/>
        <v>5560336.4864864852</v>
      </c>
      <c r="K1581" s="596">
        <f>18906300+37202550</f>
        <v>56108850</v>
      </c>
      <c r="L1581" s="597"/>
    </row>
    <row r="1582" spans="1:12" s="667" customFormat="1" x14ac:dyDescent="0.2">
      <c r="A1582" s="663">
        <v>233</v>
      </c>
      <c r="B1582" s="591" t="s">
        <v>5445</v>
      </c>
      <c r="C1582" s="598" t="s">
        <v>5549</v>
      </c>
      <c r="D1582" s="586"/>
      <c r="E1582" s="587" t="s">
        <v>972</v>
      </c>
      <c r="F1582" s="588" t="s">
        <v>966</v>
      </c>
      <c r="G1582" s="586"/>
      <c r="H1582" s="599">
        <v>44800</v>
      </c>
      <c r="I1582" s="595">
        <f t="shared" si="125"/>
        <v>5600788.2882882878</v>
      </c>
      <c r="J1582" s="595">
        <f t="shared" si="126"/>
        <v>616086.71171171172</v>
      </c>
      <c r="K1582" s="596">
        <v>6216875</v>
      </c>
      <c r="L1582" s="597"/>
    </row>
    <row r="1583" spans="1:12" x14ac:dyDescent="0.2">
      <c r="A1583" s="316">
        <v>234</v>
      </c>
      <c r="B1583" s="591" t="s">
        <v>5446</v>
      </c>
      <c r="C1583" s="602" t="s">
        <v>5550</v>
      </c>
      <c r="D1583" s="603"/>
      <c r="E1583" s="604" t="s">
        <v>969</v>
      </c>
      <c r="F1583" s="605" t="s">
        <v>966</v>
      </c>
      <c r="G1583" s="654"/>
      <c r="H1583" s="606">
        <v>44802</v>
      </c>
      <c r="I1583" s="595">
        <f t="shared" si="125"/>
        <v>12640135.135135135</v>
      </c>
      <c r="J1583" s="595">
        <f t="shared" si="126"/>
        <v>1390414.8648648649</v>
      </c>
      <c r="K1583" s="596">
        <f>3921750+10108800</f>
        <v>14030550</v>
      </c>
      <c r="L1583" s="597"/>
    </row>
    <row r="1584" spans="1:12" x14ac:dyDescent="0.2">
      <c r="A1584" s="316">
        <v>235</v>
      </c>
      <c r="B1584" s="591" t="s">
        <v>5447</v>
      </c>
      <c r="C1584" s="598" t="s">
        <v>5642</v>
      </c>
      <c r="D1584" s="586"/>
      <c r="E1584" s="587" t="s">
        <v>1869</v>
      </c>
      <c r="F1584" s="588" t="s">
        <v>966</v>
      </c>
      <c r="G1584" s="586"/>
      <c r="H1584" s="599">
        <v>44803</v>
      </c>
      <c r="I1584" s="595">
        <f t="shared" si="125"/>
        <v>13025675.675675675</v>
      </c>
      <c r="J1584" s="595">
        <f t="shared" si="126"/>
        <v>1432824.3243243243</v>
      </c>
      <c r="K1584" s="596">
        <f>14458500</f>
        <v>14458500</v>
      </c>
      <c r="L1584" s="597"/>
    </row>
    <row r="1585" spans="1:12" x14ac:dyDescent="0.2">
      <c r="B1585" s="616"/>
      <c r="C1585" s="617"/>
      <c r="D1585" s="618"/>
      <c r="E1585" s="619"/>
      <c r="F1585" s="620"/>
      <c r="G1585" s="655"/>
      <c r="H1585" s="621"/>
      <c r="I1585" s="595">
        <f t="shared" si="119"/>
        <v>0</v>
      </c>
      <c r="J1585" s="595">
        <f t="shared" si="120"/>
        <v>0</v>
      </c>
      <c r="K1585" s="623"/>
      <c r="L1585" s="624"/>
    </row>
    <row r="1586" spans="1:12" ht="18" x14ac:dyDescent="0.25">
      <c r="B1586" s="630" t="s">
        <v>294</v>
      </c>
      <c r="C1586" s="631"/>
      <c r="D1586" s="632"/>
      <c r="E1586" s="633"/>
      <c r="F1586" s="634"/>
      <c r="G1586" s="656"/>
      <c r="H1586" s="635"/>
      <c r="I1586" s="636">
        <f>SUM(I1350:I1585)</f>
        <v>2258320715.3153162</v>
      </c>
      <c r="J1586" s="636">
        <f>SUM(J1350:J1585)</f>
        <v>248415278.68468466</v>
      </c>
      <c r="K1586" s="637">
        <f>SUM(K1350:K1585)</f>
        <v>2506735994</v>
      </c>
      <c r="L1586" s="638"/>
    </row>
    <row r="1587" spans="1:12" s="429" customFormat="1" ht="20.25" x14ac:dyDescent="0.3">
      <c r="A1587" s="316"/>
      <c r="B1587" s="639" t="s">
        <v>106</v>
      </c>
      <c r="C1587" s="626"/>
      <c r="D1587" s="627"/>
      <c r="E1587" s="627"/>
      <c r="F1587" s="627"/>
      <c r="G1587" s="627"/>
      <c r="H1587" s="640"/>
      <c r="I1587" s="641"/>
      <c r="J1587" s="641"/>
      <c r="K1587" s="642"/>
      <c r="L1587" s="643"/>
    </row>
    <row r="1588" spans="1:12" s="429" customFormat="1" x14ac:dyDescent="0.2">
      <c r="A1588" s="316">
        <v>1</v>
      </c>
      <c r="B1588" s="591" t="s">
        <v>5094</v>
      </c>
      <c r="C1588" s="598" t="s">
        <v>5092</v>
      </c>
      <c r="D1588" s="737" t="s">
        <v>580</v>
      </c>
      <c r="E1588" s="738" t="s">
        <v>595</v>
      </c>
      <c r="F1588" s="739" t="s">
        <v>579</v>
      </c>
      <c r="G1588" s="776" t="s">
        <v>3452</v>
      </c>
      <c r="H1588" s="594">
        <v>44809</v>
      </c>
      <c r="I1588" s="595">
        <f t="shared" ref="I1588:I1667" si="127">K1588/1.11</f>
        <v>2300432.4324324322</v>
      </c>
      <c r="J1588" s="595">
        <f t="shared" ref="J1588:J1667" si="128">I1588*11%</f>
        <v>253047.56756756754</v>
      </c>
      <c r="K1588" s="596">
        <f>[4]Invoice!$K$34</f>
        <v>2553480</v>
      </c>
      <c r="L1588" s="759"/>
    </row>
    <row r="1589" spans="1:12" s="429" customFormat="1" x14ac:dyDescent="0.2">
      <c r="A1589" s="316">
        <v>2</v>
      </c>
      <c r="B1589" s="591" t="s">
        <v>5095</v>
      </c>
      <c r="C1589" s="592" t="s">
        <v>5093</v>
      </c>
      <c r="D1589" s="737" t="s">
        <v>581</v>
      </c>
      <c r="E1589" s="746" t="s">
        <v>596</v>
      </c>
      <c r="F1589" s="746" t="s">
        <v>579</v>
      </c>
      <c r="G1589" s="776" t="s">
        <v>5785</v>
      </c>
      <c r="H1589" s="594">
        <v>44811</v>
      </c>
      <c r="I1589" s="595">
        <f t="shared" si="127"/>
        <v>8003999.9999999991</v>
      </c>
      <c r="J1589" s="595">
        <f t="shared" si="128"/>
        <v>880439.99999999988</v>
      </c>
      <c r="K1589" s="596">
        <f>[4]Invoice!$K$148</f>
        <v>8884440</v>
      </c>
      <c r="L1589" s="597"/>
    </row>
    <row r="1590" spans="1:12" s="429" customFormat="1" x14ac:dyDescent="0.2">
      <c r="A1590" s="316">
        <v>3</v>
      </c>
      <c r="B1590" s="591" t="s">
        <v>5096</v>
      </c>
      <c r="C1590" s="598" t="s">
        <v>5244</v>
      </c>
      <c r="D1590" s="586" t="s">
        <v>1427</v>
      </c>
      <c r="E1590" s="587" t="s">
        <v>425</v>
      </c>
      <c r="F1590" s="588" t="s">
        <v>426</v>
      </c>
      <c r="G1590" s="761" t="s">
        <v>3453</v>
      </c>
      <c r="H1590" s="594">
        <v>44812</v>
      </c>
      <c r="I1590" s="595">
        <f t="shared" si="127"/>
        <v>30601351.351351347</v>
      </c>
      <c r="J1590" s="595">
        <f t="shared" si="128"/>
        <v>3366148.6486486481</v>
      </c>
      <c r="K1590" s="596">
        <f>[4]Invoice!$K$262</f>
        <v>33967500</v>
      </c>
      <c r="L1590" s="597"/>
    </row>
    <row r="1591" spans="1:12" s="429" customFormat="1" x14ac:dyDescent="0.2">
      <c r="A1591" s="316">
        <v>4</v>
      </c>
      <c r="B1591" s="591" t="s">
        <v>5097</v>
      </c>
      <c r="C1591" s="598" t="s">
        <v>5245</v>
      </c>
      <c r="D1591" s="737" t="s">
        <v>617</v>
      </c>
      <c r="E1591" s="738" t="s">
        <v>616</v>
      </c>
      <c r="F1591" s="739" t="s">
        <v>579</v>
      </c>
      <c r="G1591" s="776" t="s">
        <v>3454</v>
      </c>
      <c r="H1591" s="594">
        <v>44812</v>
      </c>
      <c r="I1591" s="595">
        <f t="shared" si="127"/>
        <v>2049324.324324324</v>
      </c>
      <c r="J1591" s="595">
        <f t="shared" si="128"/>
        <v>225425.67567567565</v>
      </c>
      <c r="K1591" s="596">
        <f>[4]Invoice!$K$376</f>
        <v>2274750</v>
      </c>
      <c r="L1591" s="597"/>
    </row>
    <row r="1592" spans="1:12" s="429" customFormat="1" x14ac:dyDescent="0.2">
      <c r="A1592" s="316">
        <v>5</v>
      </c>
      <c r="B1592" s="591" t="s">
        <v>5098</v>
      </c>
      <c r="C1592" s="598" t="s">
        <v>5246</v>
      </c>
      <c r="D1592" s="737" t="s">
        <v>580</v>
      </c>
      <c r="E1592" s="738" t="s">
        <v>595</v>
      </c>
      <c r="F1592" s="739" t="s">
        <v>579</v>
      </c>
      <c r="G1592" s="776" t="s">
        <v>3455</v>
      </c>
      <c r="H1592" s="594">
        <v>44812</v>
      </c>
      <c r="I1592" s="595">
        <f t="shared" si="127"/>
        <v>18091718.918918919</v>
      </c>
      <c r="J1592" s="595">
        <f t="shared" si="128"/>
        <v>1990089.0810810812</v>
      </c>
      <c r="K1592" s="596">
        <f>[4]Invoice!$K$490</f>
        <v>20081808</v>
      </c>
      <c r="L1592" s="597"/>
    </row>
    <row r="1593" spans="1:12" s="429" customFormat="1" x14ac:dyDescent="0.2">
      <c r="A1593" s="316">
        <v>6</v>
      </c>
      <c r="B1593" s="591" t="s">
        <v>5099</v>
      </c>
      <c r="C1593" s="598" t="s">
        <v>5247</v>
      </c>
      <c r="D1593" s="737" t="s">
        <v>580</v>
      </c>
      <c r="E1593" s="738" t="s">
        <v>595</v>
      </c>
      <c r="F1593" s="739" t="s">
        <v>579</v>
      </c>
      <c r="G1593" s="761" t="s">
        <v>3456</v>
      </c>
      <c r="H1593" s="599">
        <v>44813</v>
      </c>
      <c r="I1593" s="595">
        <f t="shared" si="127"/>
        <v>2928843.2432432431</v>
      </c>
      <c r="J1593" s="595">
        <f t="shared" si="128"/>
        <v>322172.75675675675</v>
      </c>
      <c r="K1593" s="596">
        <f>[4]Invoice!$K$604</f>
        <v>3251016</v>
      </c>
      <c r="L1593" s="597"/>
    </row>
    <row r="1594" spans="1:12" s="429" customFormat="1" x14ac:dyDescent="0.2">
      <c r="A1594" s="316">
        <v>7</v>
      </c>
      <c r="B1594" s="591" t="s">
        <v>5100</v>
      </c>
      <c r="C1594" s="598" t="s">
        <v>5248</v>
      </c>
      <c r="D1594" s="586" t="s">
        <v>1427</v>
      </c>
      <c r="E1594" s="587" t="s">
        <v>425</v>
      </c>
      <c r="F1594" s="588" t="s">
        <v>426</v>
      </c>
      <c r="G1594" s="776" t="s">
        <v>3457</v>
      </c>
      <c r="H1594" s="599">
        <v>44816</v>
      </c>
      <c r="I1594" s="595">
        <f t="shared" si="127"/>
        <v>4289234.2342342343</v>
      </c>
      <c r="J1594" s="595">
        <f t="shared" si="128"/>
        <v>471815.7657657658</v>
      </c>
      <c r="K1594" s="596">
        <f>[4]Invoice!$K$718</f>
        <v>4761050</v>
      </c>
      <c r="L1594" s="597"/>
    </row>
    <row r="1595" spans="1:12" s="429" customFormat="1" x14ac:dyDescent="0.2">
      <c r="A1595" s="316">
        <v>8</v>
      </c>
      <c r="B1595" s="591" t="s">
        <v>5101</v>
      </c>
      <c r="C1595" s="598" t="s">
        <v>5249</v>
      </c>
      <c r="D1595" s="586" t="s">
        <v>671</v>
      </c>
      <c r="E1595" s="587" t="s">
        <v>672</v>
      </c>
      <c r="F1595" s="588" t="s">
        <v>673</v>
      </c>
      <c r="G1595" s="776" t="s">
        <v>3458</v>
      </c>
      <c r="H1595" s="599">
        <v>44814</v>
      </c>
      <c r="I1595" s="595">
        <f t="shared" si="127"/>
        <v>109945.94594594593</v>
      </c>
      <c r="J1595" s="595">
        <f t="shared" si="128"/>
        <v>12094.054054054053</v>
      </c>
      <c r="K1595" s="596">
        <f>[4]Invoice!$K$832</f>
        <v>122040</v>
      </c>
      <c r="L1595" s="597"/>
    </row>
    <row r="1596" spans="1:12" s="429" customFormat="1" x14ac:dyDescent="0.2">
      <c r="A1596" s="316">
        <v>9</v>
      </c>
      <c r="B1596" s="591" t="s">
        <v>5102</v>
      </c>
      <c r="C1596" s="598" t="s">
        <v>5250</v>
      </c>
      <c r="D1596" s="737" t="s">
        <v>581</v>
      </c>
      <c r="E1596" s="746" t="s">
        <v>596</v>
      </c>
      <c r="F1596" s="746" t="s">
        <v>579</v>
      </c>
      <c r="G1596" s="761" t="s">
        <v>3459</v>
      </c>
      <c r="H1596" s="599">
        <v>44816</v>
      </c>
      <c r="I1596" s="595">
        <f t="shared" si="127"/>
        <v>10665729.729729729</v>
      </c>
      <c r="J1596" s="595">
        <f t="shared" si="128"/>
        <v>1173230.2702702701</v>
      </c>
      <c r="K1596" s="596">
        <f>[4]Invoice!$K$946</f>
        <v>11838960</v>
      </c>
      <c r="L1596" s="597"/>
    </row>
    <row r="1597" spans="1:12" s="429" customFormat="1" x14ac:dyDescent="0.2">
      <c r="A1597" s="316">
        <v>10</v>
      </c>
      <c r="B1597" s="591" t="s">
        <v>5103</v>
      </c>
      <c r="C1597" s="598" t="s">
        <v>5251</v>
      </c>
      <c r="D1597" s="586" t="s">
        <v>584</v>
      </c>
      <c r="E1597" s="587" t="s">
        <v>582</v>
      </c>
      <c r="F1597" s="588" t="s">
        <v>583</v>
      </c>
      <c r="G1597" s="776" t="s">
        <v>3460</v>
      </c>
      <c r="H1597" s="599">
        <v>44816</v>
      </c>
      <c r="I1597" s="595">
        <f t="shared" si="127"/>
        <v>1340270.2702702701</v>
      </c>
      <c r="J1597" s="595">
        <f t="shared" si="128"/>
        <v>147429.7297297297</v>
      </c>
      <c r="K1597" s="596">
        <f>[4]Invoice!$K$1060</f>
        <v>1487700</v>
      </c>
      <c r="L1597" s="597"/>
    </row>
    <row r="1598" spans="1:12" s="429" customFormat="1" x14ac:dyDescent="0.2">
      <c r="A1598" s="316">
        <v>11</v>
      </c>
      <c r="B1598" s="591" t="s">
        <v>5104</v>
      </c>
      <c r="C1598" s="598" t="s">
        <v>5252</v>
      </c>
      <c r="D1598" s="737" t="s">
        <v>580</v>
      </c>
      <c r="E1598" s="738" t="s">
        <v>595</v>
      </c>
      <c r="F1598" s="739" t="s">
        <v>579</v>
      </c>
      <c r="G1598" s="776" t="s">
        <v>3461</v>
      </c>
      <c r="H1598" s="599">
        <v>44816</v>
      </c>
      <c r="I1598" s="595">
        <f t="shared" si="127"/>
        <v>7808378.3783783773</v>
      </c>
      <c r="J1598" s="595">
        <f t="shared" si="128"/>
        <v>858921.62162162154</v>
      </c>
      <c r="K1598" s="596">
        <f>[4]Invoice!$K$1174</f>
        <v>8667300</v>
      </c>
      <c r="L1598" s="597"/>
    </row>
    <row r="1599" spans="1:12" s="429" customFormat="1" x14ac:dyDescent="0.2">
      <c r="A1599" s="316">
        <v>12</v>
      </c>
      <c r="B1599" s="591" t="s">
        <v>5105</v>
      </c>
      <c r="C1599" s="598" t="s">
        <v>5253</v>
      </c>
      <c r="D1599" s="586" t="s">
        <v>584</v>
      </c>
      <c r="E1599" s="587" t="s">
        <v>582</v>
      </c>
      <c r="F1599" s="588" t="s">
        <v>583</v>
      </c>
      <c r="G1599" s="761" t="s">
        <v>3462</v>
      </c>
      <c r="H1599" s="599">
        <v>44816</v>
      </c>
      <c r="I1599" s="595">
        <f t="shared" si="127"/>
        <v>4392389.1891891891</v>
      </c>
      <c r="J1599" s="595">
        <f t="shared" si="128"/>
        <v>483162.81081081083</v>
      </c>
      <c r="K1599" s="596">
        <f>[4]Invoice!$K$1288</f>
        <v>4875552</v>
      </c>
      <c r="L1599" s="597"/>
    </row>
    <row r="1600" spans="1:12" s="429" customFormat="1" x14ac:dyDescent="0.2">
      <c r="A1600" s="316">
        <v>13</v>
      </c>
      <c r="B1600" s="591" t="s">
        <v>5106</v>
      </c>
      <c r="C1600" s="598" t="s">
        <v>5254</v>
      </c>
      <c r="D1600" s="586" t="s">
        <v>1427</v>
      </c>
      <c r="E1600" s="587" t="s">
        <v>425</v>
      </c>
      <c r="F1600" s="588" t="s">
        <v>426</v>
      </c>
      <c r="G1600" s="776" t="s">
        <v>3463</v>
      </c>
      <c r="H1600" s="599">
        <v>44816</v>
      </c>
      <c r="I1600" s="595">
        <f t="shared" si="127"/>
        <v>6163783.7837837832</v>
      </c>
      <c r="J1600" s="595">
        <f t="shared" si="128"/>
        <v>678016.21621621621</v>
      </c>
      <c r="K1600" s="596">
        <f>[4]Invoice!$K$1402</f>
        <v>6841800</v>
      </c>
      <c r="L1600" s="597"/>
    </row>
    <row r="1601" spans="1:12" s="429" customFormat="1" x14ac:dyDescent="0.2">
      <c r="A1601" s="316">
        <v>14</v>
      </c>
      <c r="B1601" s="591" t="s">
        <v>5107</v>
      </c>
      <c r="C1601" s="598" t="s">
        <v>5255</v>
      </c>
      <c r="D1601" s="737" t="s">
        <v>617</v>
      </c>
      <c r="E1601" s="738" t="s">
        <v>616</v>
      </c>
      <c r="F1601" s="739" t="s">
        <v>579</v>
      </c>
      <c r="G1601" s="776" t="s">
        <v>3464</v>
      </c>
      <c r="H1601" s="599">
        <v>44816</v>
      </c>
      <c r="I1601" s="595">
        <f t="shared" si="127"/>
        <v>3987243.2432432431</v>
      </c>
      <c r="J1601" s="595">
        <f t="shared" si="128"/>
        <v>438596.75675675675</v>
      </c>
      <c r="K1601" s="596">
        <f>[4]Invoice!$K$1516</f>
        <v>4425840</v>
      </c>
      <c r="L1601" s="597"/>
    </row>
    <row r="1602" spans="1:12" s="429" customFormat="1" x14ac:dyDescent="0.2">
      <c r="A1602" s="316">
        <v>15</v>
      </c>
      <c r="B1602" s="591" t="s">
        <v>5108</v>
      </c>
      <c r="C1602" s="598" t="s">
        <v>5256</v>
      </c>
      <c r="D1602" s="737" t="s">
        <v>580</v>
      </c>
      <c r="E1602" s="738" t="s">
        <v>595</v>
      </c>
      <c r="F1602" s="739" t="s">
        <v>579</v>
      </c>
      <c r="G1602" s="761" t="s">
        <v>3465</v>
      </c>
      <c r="H1602" s="599">
        <v>44817</v>
      </c>
      <c r="I1602" s="595">
        <f t="shared" si="127"/>
        <v>7398945.0450450443</v>
      </c>
      <c r="J1602" s="595">
        <f t="shared" si="128"/>
        <v>813883.95495495491</v>
      </c>
      <c r="K1602" s="596">
        <f>[4]Invoice!$K$1630</f>
        <v>8212829</v>
      </c>
      <c r="L1602" s="597"/>
    </row>
    <row r="1603" spans="1:12" s="429" customFormat="1" x14ac:dyDescent="0.2">
      <c r="A1603" s="316">
        <v>16</v>
      </c>
      <c r="B1603" s="591" t="s">
        <v>5109</v>
      </c>
      <c r="C1603" s="598" t="s">
        <v>5257</v>
      </c>
      <c r="D1603" s="737" t="s">
        <v>581</v>
      </c>
      <c r="E1603" s="746" t="s">
        <v>596</v>
      </c>
      <c r="F1603" s="746" t="s">
        <v>579</v>
      </c>
      <c r="G1603" s="776" t="s">
        <v>3466</v>
      </c>
      <c r="H1603" s="599">
        <v>44817</v>
      </c>
      <c r="I1603" s="595">
        <f t="shared" si="127"/>
        <v>8546691.8918918911</v>
      </c>
      <c r="J1603" s="595">
        <f t="shared" si="128"/>
        <v>940136.10810810805</v>
      </c>
      <c r="K1603" s="596">
        <f>[4]Invoice!$K$1744</f>
        <v>9486828</v>
      </c>
      <c r="L1603" s="597"/>
    </row>
    <row r="1604" spans="1:12" s="429" customFormat="1" x14ac:dyDescent="0.2">
      <c r="A1604" s="316">
        <v>17</v>
      </c>
      <c r="B1604" s="591" t="s">
        <v>5110</v>
      </c>
      <c r="C1604" s="598" t="s">
        <v>3108</v>
      </c>
      <c r="D1604" s="737" t="s">
        <v>617</v>
      </c>
      <c r="E1604" s="738" t="s">
        <v>616</v>
      </c>
      <c r="F1604" s="739" t="s">
        <v>579</v>
      </c>
      <c r="G1604" s="776" t="s">
        <v>3467</v>
      </c>
      <c r="H1604" s="599">
        <v>44819</v>
      </c>
      <c r="I1604" s="595">
        <f t="shared" si="127"/>
        <v>972972.9729729729</v>
      </c>
      <c r="J1604" s="595">
        <f t="shared" si="128"/>
        <v>107027.02702702703</v>
      </c>
      <c r="K1604" s="596">
        <f>[4]Invoice!$K$1858</f>
        <v>1080000</v>
      </c>
      <c r="L1604" s="597"/>
    </row>
    <row r="1605" spans="1:12" s="429" customFormat="1" x14ac:dyDescent="0.2">
      <c r="A1605" s="316">
        <v>18</v>
      </c>
      <c r="B1605" s="591" t="s">
        <v>5111</v>
      </c>
      <c r="C1605" s="598" t="s">
        <v>3090</v>
      </c>
      <c r="D1605" s="737" t="s">
        <v>580</v>
      </c>
      <c r="E1605" s="738" t="s">
        <v>595</v>
      </c>
      <c r="F1605" s="739" t="s">
        <v>579</v>
      </c>
      <c r="G1605" s="761" t="s">
        <v>3468</v>
      </c>
      <c r="H1605" s="599">
        <v>44819</v>
      </c>
      <c r="I1605" s="595">
        <f t="shared" si="127"/>
        <v>3198162.1621621619</v>
      </c>
      <c r="J1605" s="595">
        <f t="shared" si="128"/>
        <v>351797.83783783781</v>
      </c>
      <c r="K1605" s="596">
        <f>[4]Invoice!$K$1972</f>
        <v>3549960</v>
      </c>
      <c r="L1605" s="597"/>
    </row>
    <row r="1606" spans="1:12" s="429" customFormat="1" x14ac:dyDescent="0.2">
      <c r="A1606" s="316">
        <v>19</v>
      </c>
      <c r="B1606" s="591" t="s">
        <v>5112</v>
      </c>
      <c r="C1606" s="598" t="s">
        <v>5643</v>
      </c>
      <c r="D1606" s="737" t="s">
        <v>588</v>
      </c>
      <c r="E1606" s="738" t="s">
        <v>5691</v>
      </c>
      <c r="F1606" s="588" t="s">
        <v>587</v>
      </c>
      <c r="G1606" s="776" t="s">
        <v>3469</v>
      </c>
      <c r="H1606" s="599">
        <v>44819</v>
      </c>
      <c r="I1606" s="595">
        <f t="shared" si="127"/>
        <v>4179024.3243243238</v>
      </c>
      <c r="J1606" s="595">
        <f t="shared" si="128"/>
        <v>459692.67567567562</v>
      </c>
      <c r="K1606" s="596">
        <f>[4]Invoice!$K$2086</f>
        <v>4638717</v>
      </c>
      <c r="L1606" s="597"/>
    </row>
    <row r="1607" spans="1:12" s="429" customFormat="1" x14ac:dyDescent="0.2">
      <c r="A1607" s="316">
        <v>20</v>
      </c>
      <c r="B1607" s="591" t="s">
        <v>5113</v>
      </c>
      <c r="C1607" s="598" t="s">
        <v>5644</v>
      </c>
      <c r="D1607" s="586" t="s">
        <v>1427</v>
      </c>
      <c r="E1607" s="587" t="s">
        <v>425</v>
      </c>
      <c r="F1607" s="588" t="s">
        <v>426</v>
      </c>
      <c r="G1607" s="776" t="s">
        <v>3470</v>
      </c>
      <c r="H1607" s="594">
        <v>44819</v>
      </c>
      <c r="I1607" s="595">
        <f t="shared" si="127"/>
        <v>5354054.0540540535</v>
      </c>
      <c r="J1607" s="595">
        <f t="shared" si="128"/>
        <v>588945.94594594592</v>
      </c>
      <c r="K1607" s="596">
        <f>[4]Invoice!$K$2200</f>
        <v>5943000</v>
      </c>
      <c r="L1607" s="597"/>
    </row>
    <row r="1608" spans="1:12" s="429" customFormat="1" x14ac:dyDescent="0.2">
      <c r="A1608" s="316">
        <v>21</v>
      </c>
      <c r="B1608" s="591" t="s">
        <v>5114</v>
      </c>
      <c r="C1608" s="598" t="s">
        <v>3264</v>
      </c>
      <c r="D1608" s="586" t="s">
        <v>1427</v>
      </c>
      <c r="E1608" s="587" t="s">
        <v>425</v>
      </c>
      <c r="F1608" s="588" t="s">
        <v>426</v>
      </c>
      <c r="G1608" s="761" t="s">
        <v>3471</v>
      </c>
      <c r="H1608" s="599">
        <v>44820</v>
      </c>
      <c r="I1608" s="595">
        <f t="shared" si="127"/>
        <v>20165675.675675675</v>
      </c>
      <c r="J1608" s="595">
        <f t="shared" si="128"/>
        <v>2218224.3243243243</v>
      </c>
      <c r="K1608" s="596">
        <f>[4]Invoice!$K$2314</f>
        <v>22383900</v>
      </c>
      <c r="L1608" s="597"/>
    </row>
    <row r="1609" spans="1:12" s="745" customFormat="1" x14ac:dyDescent="0.2">
      <c r="A1609" s="735">
        <v>22</v>
      </c>
      <c r="B1609" s="736" t="s">
        <v>5115</v>
      </c>
      <c r="C1609" s="598" t="s">
        <v>5645</v>
      </c>
      <c r="D1609" s="737" t="s">
        <v>600</v>
      </c>
      <c r="E1609" s="746" t="s">
        <v>598</v>
      </c>
      <c r="F1609" s="746" t="s">
        <v>599</v>
      </c>
      <c r="G1609" s="786" t="s">
        <v>3472</v>
      </c>
      <c r="H1609" s="741">
        <v>44821</v>
      </c>
      <c r="I1609" s="595">
        <f t="shared" si="127"/>
        <v>17124324.324324321</v>
      </c>
      <c r="J1609" s="595">
        <f t="shared" si="128"/>
        <v>1883675.6756756753</v>
      </c>
      <c r="K1609" s="596">
        <f>[4]Invoice!$K$2428</f>
        <v>19008000</v>
      </c>
      <c r="L1609" s="597"/>
    </row>
    <row r="1610" spans="1:12" s="429" customFormat="1" x14ac:dyDescent="0.2">
      <c r="A1610" s="316">
        <v>23</v>
      </c>
      <c r="B1610" s="591" t="s">
        <v>5116</v>
      </c>
      <c r="C1610" s="598" t="s">
        <v>5646</v>
      </c>
      <c r="D1610" s="737" t="s">
        <v>607</v>
      </c>
      <c r="E1610" s="738" t="s">
        <v>605</v>
      </c>
      <c r="F1610" s="739" t="s">
        <v>606</v>
      </c>
      <c r="G1610" s="776" t="s">
        <v>3473</v>
      </c>
      <c r="H1610" s="599">
        <v>44821</v>
      </c>
      <c r="I1610" s="595">
        <f t="shared" si="127"/>
        <v>8898040.5405405406</v>
      </c>
      <c r="J1610" s="595">
        <f t="shared" si="128"/>
        <v>978784.45945945953</v>
      </c>
      <c r="K1610" s="596">
        <f>[4]Invoice!$K$2542</f>
        <v>9876825</v>
      </c>
      <c r="L1610" s="597"/>
    </row>
    <row r="1611" spans="1:12" s="429" customFormat="1" x14ac:dyDescent="0.2">
      <c r="A1611" s="316">
        <v>24</v>
      </c>
      <c r="B1611" s="591" t="s">
        <v>5117</v>
      </c>
      <c r="C1611" s="598" t="s">
        <v>5647</v>
      </c>
      <c r="D1611" s="737" t="s">
        <v>581</v>
      </c>
      <c r="E1611" s="746" t="s">
        <v>596</v>
      </c>
      <c r="F1611" s="746" t="s">
        <v>579</v>
      </c>
      <c r="G1611" s="761" t="s">
        <v>3474</v>
      </c>
      <c r="H1611" s="599">
        <v>44821</v>
      </c>
      <c r="I1611" s="595">
        <f t="shared" si="127"/>
        <v>7999297.297297297</v>
      </c>
      <c r="J1611" s="595">
        <f t="shared" si="128"/>
        <v>879922.70270270272</v>
      </c>
      <c r="K1611" s="596">
        <f>[4]Invoice!$K$2656</f>
        <v>8879220</v>
      </c>
      <c r="L1611" s="597"/>
    </row>
    <row r="1612" spans="1:12" s="429" customFormat="1" x14ac:dyDescent="0.2">
      <c r="A1612" s="316">
        <v>25</v>
      </c>
      <c r="B1612" s="591" t="s">
        <v>5118</v>
      </c>
      <c r="C1612" s="598" t="s">
        <v>5648</v>
      </c>
      <c r="D1612" s="737" t="s">
        <v>580</v>
      </c>
      <c r="E1612" s="738" t="s">
        <v>595</v>
      </c>
      <c r="F1612" s="739" t="s">
        <v>579</v>
      </c>
      <c r="G1612" s="776" t="s">
        <v>3475</v>
      </c>
      <c r="H1612" s="599">
        <v>44823</v>
      </c>
      <c r="I1612" s="595">
        <f t="shared" si="127"/>
        <v>4067837.8378378376</v>
      </c>
      <c r="J1612" s="595">
        <f t="shared" si="128"/>
        <v>447462.16216216213</v>
      </c>
      <c r="K1612" s="596">
        <f>[4]Invoice!$K$2770</f>
        <v>4515300</v>
      </c>
      <c r="L1612" s="597"/>
    </row>
    <row r="1613" spans="1:12" x14ac:dyDescent="0.2">
      <c r="A1613" s="316">
        <v>26</v>
      </c>
      <c r="B1613" s="591" t="s">
        <v>5119</v>
      </c>
      <c r="C1613" s="598" t="s">
        <v>5649</v>
      </c>
      <c r="D1613" s="586" t="s">
        <v>1427</v>
      </c>
      <c r="E1613" s="587" t="s">
        <v>425</v>
      </c>
      <c r="F1613" s="588" t="s">
        <v>426</v>
      </c>
      <c r="G1613" s="776" t="s">
        <v>3476</v>
      </c>
      <c r="H1613" s="599">
        <v>44826</v>
      </c>
      <c r="I1613" s="595">
        <f t="shared" si="127"/>
        <v>10325000</v>
      </c>
      <c r="J1613" s="595">
        <f t="shared" si="128"/>
        <v>1135750</v>
      </c>
      <c r="K1613" s="596">
        <f>[4]Invoice!$K$2884</f>
        <v>11460750</v>
      </c>
      <c r="L1613" s="597"/>
    </row>
    <row r="1614" spans="1:12" x14ac:dyDescent="0.2">
      <c r="A1614" s="316">
        <v>27</v>
      </c>
      <c r="B1614" s="591" t="s">
        <v>5120</v>
      </c>
      <c r="C1614" s="598" t="s">
        <v>5650</v>
      </c>
      <c r="D1614" s="737" t="s">
        <v>621</v>
      </c>
      <c r="E1614" s="738" t="s">
        <v>619</v>
      </c>
      <c r="F1614" s="739" t="s">
        <v>620</v>
      </c>
      <c r="G1614" s="761" t="s">
        <v>3477</v>
      </c>
      <c r="H1614" s="599">
        <v>44823</v>
      </c>
      <c r="I1614" s="595">
        <f t="shared" si="127"/>
        <v>1401081.0810810809</v>
      </c>
      <c r="J1614" s="595">
        <f t="shared" si="128"/>
        <v>154118.91891891891</v>
      </c>
      <c r="K1614" s="596">
        <f>[4]Invoice!$K$2998</f>
        <v>1555200</v>
      </c>
      <c r="L1614" s="597"/>
    </row>
    <row r="1615" spans="1:12" x14ac:dyDescent="0.2">
      <c r="A1615" s="316">
        <v>28</v>
      </c>
      <c r="B1615" s="591" t="s">
        <v>5121</v>
      </c>
      <c r="C1615" s="598" t="s">
        <v>5651</v>
      </c>
      <c r="D1615" s="586" t="s">
        <v>1427</v>
      </c>
      <c r="E1615" s="587" t="s">
        <v>425</v>
      </c>
      <c r="F1615" s="588" t="s">
        <v>426</v>
      </c>
      <c r="G1615" s="776" t="s">
        <v>3478</v>
      </c>
      <c r="H1615" s="599">
        <v>44827</v>
      </c>
      <c r="I1615" s="595">
        <f t="shared" si="127"/>
        <v>36418918.918918915</v>
      </c>
      <c r="J1615" s="595">
        <f t="shared" si="128"/>
        <v>4006081.0810810807</v>
      </c>
      <c r="K1615" s="596">
        <f>[4]Invoice!$K$3112</f>
        <v>40425000</v>
      </c>
      <c r="L1615" s="597"/>
    </row>
    <row r="1616" spans="1:12" x14ac:dyDescent="0.2">
      <c r="A1616" s="316">
        <v>29</v>
      </c>
      <c r="B1616" s="591" t="s">
        <v>5122</v>
      </c>
      <c r="C1616" s="598" t="s">
        <v>5652</v>
      </c>
      <c r="D1616" s="737" t="s">
        <v>581</v>
      </c>
      <c r="E1616" s="746" t="s">
        <v>596</v>
      </c>
      <c r="F1616" s="746" t="s">
        <v>579</v>
      </c>
      <c r="G1616" s="776" t="s">
        <v>3479</v>
      </c>
      <c r="H1616" s="599">
        <v>44827</v>
      </c>
      <c r="I1616" s="595">
        <f t="shared" si="127"/>
        <v>12061962.162162161</v>
      </c>
      <c r="J1616" s="595">
        <f t="shared" si="128"/>
        <v>1326815.8378378376</v>
      </c>
      <c r="K1616" s="596">
        <f>[4]Invoice!$K$3226</f>
        <v>13388778</v>
      </c>
      <c r="L1616" s="597"/>
    </row>
    <row r="1617" spans="1:12" x14ac:dyDescent="0.2">
      <c r="A1617" s="316">
        <v>30</v>
      </c>
      <c r="B1617" s="591" t="s">
        <v>5123</v>
      </c>
      <c r="C1617" s="598" t="s">
        <v>611</v>
      </c>
      <c r="D1617" s="737" t="s">
        <v>580</v>
      </c>
      <c r="E1617" s="738" t="s">
        <v>595</v>
      </c>
      <c r="F1617" s="739" t="s">
        <v>579</v>
      </c>
      <c r="G1617" s="761" t="s">
        <v>3480</v>
      </c>
      <c r="H1617" s="599">
        <v>44827</v>
      </c>
      <c r="I1617" s="595">
        <f t="shared" si="127"/>
        <v>9673037.8378378376</v>
      </c>
      <c r="J1617" s="595">
        <f t="shared" si="128"/>
        <v>1064034.1621621621</v>
      </c>
      <c r="K1617" s="596">
        <f>[4]Invoice!$K$3340</f>
        <v>10737072</v>
      </c>
      <c r="L1617" s="597"/>
    </row>
    <row r="1618" spans="1:12" x14ac:dyDescent="0.2">
      <c r="A1618" s="316">
        <v>31</v>
      </c>
      <c r="B1618" s="591" t="s">
        <v>5124</v>
      </c>
      <c r="C1618" s="598" t="s">
        <v>5690</v>
      </c>
      <c r="D1618" s="737" t="s">
        <v>607</v>
      </c>
      <c r="E1618" s="738" t="s">
        <v>605</v>
      </c>
      <c r="F1618" s="739" t="s">
        <v>606</v>
      </c>
      <c r="G1618" s="776" t="s">
        <v>3481</v>
      </c>
      <c r="H1618" s="599">
        <v>44830</v>
      </c>
      <c r="I1618" s="595">
        <f t="shared" si="127"/>
        <v>2332702.7027027025</v>
      </c>
      <c r="J1618" s="595">
        <f t="shared" si="128"/>
        <v>256597.29729729728</v>
      </c>
      <c r="K1618" s="596">
        <f>[4]Invoice!$K$3454</f>
        <v>2589300</v>
      </c>
      <c r="L1618" s="597"/>
    </row>
    <row r="1619" spans="1:12" x14ac:dyDescent="0.2">
      <c r="A1619" s="316">
        <v>32</v>
      </c>
      <c r="B1619" s="591" t="s">
        <v>5125</v>
      </c>
      <c r="C1619" s="598" t="s">
        <v>3153</v>
      </c>
      <c r="D1619" s="737" t="s">
        <v>580</v>
      </c>
      <c r="E1619" s="738" t="s">
        <v>595</v>
      </c>
      <c r="F1619" s="739" t="s">
        <v>579</v>
      </c>
      <c r="G1619" s="776" t="s">
        <v>3482</v>
      </c>
      <c r="H1619" s="599">
        <v>44830</v>
      </c>
      <c r="I1619" s="595">
        <f t="shared" si="127"/>
        <v>25103702.702702701</v>
      </c>
      <c r="J1619" s="595">
        <f t="shared" si="128"/>
        <v>2761407.297297297</v>
      </c>
      <c r="K1619" s="596">
        <f>[4]Invoice!$K$3568</f>
        <v>27865110</v>
      </c>
      <c r="L1619" s="597"/>
    </row>
    <row r="1620" spans="1:12" x14ac:dyDescent="0.2">
      <c r="A1620" s="316">
        <v>33</v>
      </c>
      <c r="B1620" s="591" t="s">
        <v>5126</v>
      </c>
      <c r="C1620" s="598" t="s">
        <v>5692</v>
      </c>
      <c r="D1620" s="586" t="s">
        <v>1427</v>
      </c>
      <c r="E1620" s="587" t="s">
        <v>425</v>
      </c>
      <c r="F1620" s="588" t="s">
        <v>426</v>
      </c>
      <c r="G1620" s="761" t="s">
        <v>3483</v>
      </c>
      <c r="H1620" s="594">
        <v>44831</v>
      </c>
      <c r="I1620" s="595">
        <f t="shared" si="127"/>
        <v>28888243.24324324</v>
      </c>
      <c r="J1620" s="595">
        <f t="shared" si="128"/>
        <v>3177706.7567567565</v>
      </c>
      <c r="K1620" s="596">
        <f>[4]Invoice!$K$3682</f>
        <v>32065950</v>
      </c>
      <c r="L1620" s="600"/>
    </row>
    <row r="1621" spans="1:12" x14ac:dyDescent="0.2">
      <c r="A1621" s="316">
        <v>34</v>
      </c>
      <c r="B1621" s="591" t="s">
        <v>5127</v>
      </c>
      <c r="C1621" s="598" t="s">
        <v>5725</v>
      </c>
      <c r="D1621" s="586" t="s">
        <v>600</v>
      </c>
      <c r="E1621" s="593" t="s">
        <v>598</v>
      </c>
      <c r="F1621" s="593" t="s">
        <v>599</v>
      </c>
      <c r="G1621" s="776" t="s">
        <v>3484</v>
      </c>
      <c r="H1621" s="599">
        <v>44832</v>
      </c>
      <c r="I1621" s="595">
        <f t="shared" si="127"/>
        <v>9340540.5405405406</v>
      </c>
      <c r="J1621" s="595">
        <f t="shared" si="128"/>
        <v>1027459.4594594595</v>
      </c>
      <c r="K1621" s="596">
        <f>[4]Invoice!$K$3796</f>
        <v>10368000</v>
      </c>
      <c r="L1621" s="597"/>
    </row>
    <row r="1622" spans="1:12" x14ac:dyDescent="0.2">
      <c r="A1622" s="316">
        <v>35</v>
      </c>
      <c r="B1622" s="591" t="s">
        <v>5128</v>
      </c>
      <c r="C1622" s="598" t="s">
        <v>5726</v>
      </c>
      <c r="D1622" s="737" t="s">
        <v>580</v>
      </c>
      <c r="E1622" s="738" t="s">
        <v>595</v>
      </c>
      <c r="F1622" s="739" t="s">
        <v>579</v>
      </c>
      <c r="G1622" s="776" t="s">
        <v>3485</v>
      </c>
      <c r="H1622" s="599">
        <v>44833</v>
      </c>
      <c r="I1622" s="595">
        <f t="shared" si="127"/>
        <v>4383445.9459459456</v>
      </c>
      <c r="J1622" s="595">
        <f t="shared" si="128"/>
        <v>482179.05405405402</v>
      </c>
      <c r="K1622" s="596">
        <f>[4]Invoice!$K$3910</f>
        <v>4865625</v>
      </c>
      <c r="L1622" s="597"/>
    </row>
    <row r="1623" spans="1:12" x14ac:dyDescent="0.2">
      <c r="A1623" s="316">
        <v>36</v>
      </c>
      <c r="B1623" s="591" t="s">
        <v>5129</v>
      </c>
      <c r="C1623" s="598" t="s">
        <v>5728</v>
      </c>
      <c r="D1623" s="586" t="s">
        <v>584</v>
      </c>
      <c r="E1623" s="587" t="s">
        <v>582</v>
      </c>
      <c r="F1623" s="588" t="s">
        <v>583</v>
      </c>
      <c r="G1623" s="761" t="s">
        <v>3486</v>
      </c>
      <c r="H1623" s="599">
        <v>44834</v>
      </c>
      <c r="I1623" s="595">
        <f t="shared" si="127"/>
        <v>2073297.297297297</v>
      </c>
      <c r="J1623" s="595">
        <f t="shared" si="128"/>
        <v>228062.70270270266</v>
      </c>
      <c r="K1623" s="596">
        <f>[4]Invoice!$K$4024</f>
        <v>2301360</v>
      </c>
      <c r="L1623" s="597"/>
    </row>
    <row r="1624" spans="1:12" x14ac:dyDescent="0.2">
      <c r="A1624" s="316">
        <v>37</v>
      </c>
      <c r="B1624" s="591" t="s">
        <v>5130</v>
      </c>
      <c r="C1624" s="598" t="s">
        <v>5729</v>
      </c>
      <c r="D1624" s="737" t="s">
        <v>581</v>
      </c>
      <c r="E1624" s="746" t="s">
        <v>596</v>
      </c>
      <c r="F1624" s="746" t="s">
        <v>579</v>
      </c>
      <c r="G1624" s="776" t="s">
        <v>3487</v>
      </c>
      <c r="H1624" s="599">
        <v>44834</v>
      </c>
      <c r="I1624" s="595">
        <f t="shared" si="127"/>
        <v>2253378.3783783782</v>
      </c>
      <c r="J1624" s="595">
        <f t="shared" si="128"/>
        <v>247871.6216216216</v>
      </c>
      <c r="K1624" s="596">
        <f>[4]Invoice!$K$4138</f>
        <v>2501250</v>
      </c>
      <c r="L1624" s="597"/>
    </row>
    <row r="1625" spans="1:12" x14ac:dyDescent="0.2">
      <c r="A1625" s="316">
        <v>38</v>
      </c>
      <c r="B1625" s="591" t="s">
        <v>5131</v>
      </c>
      <c r="C1625" s="598" t="s">
        <v>622</v>
      </c>
      <c r="D1625" s="737" t="s">
        <v>580</v>
      </c>
      <c r="E1625" s="738" t="s">
        <v>595</v>
      </c>
      <c r="F1625" s="739" t="s">
        <v>579</v>
      </c>
      <c r="G1625" s="776" t="s">
        <v>3488</v>
      </c>
      <c r="H1625" s="599">
        <v>44834</v>
      </c>
      <c r="I1625" s="595">
        <f t="shared" si="127"/>
        <v>2361995.4954954954</v>
      </c>
      <c r="J1625" s="595">
        <f t="shared" si="128"/>
        <v>259819.5045045045</v>
      </c>
      <c r="K1625" s="596">
        <f>[4]Invoice!$K$4252</f>
        <v>2621815</v>
      </c>
      <c r="L1625" s="597"/>
    </row>
    <row r="1626" spans="1:12" x14ac:dyDescent="0.2">
      <c r="A1626" s="316">
        <v>39</v>
      </c>
      <c r="B1626" s="591" t="s">
        <v>5132</v>
      </c>
      <c r="C1626" s="598" t="s">
        <v>5750</v>
      </c>
      <c r="D1626" s="769" t="s">
        <v>591</v>
      </c>
      <c r="E1626" s="752" t="s">
        <v>777</v>
      </c>
      <c r="F1626" s="753" t="s">
        <v>590</v>
      </c>
      <c r="G1626" s="761" t="s">
        <v>3489</v>
      </c>
      <c r="H1626" s="599">
        <v>44834</v>
      </c>
      <c r="I1626" s="595">
        <f t="shared" si="127"/>
        <v>613909.90990990982</v>
      </c>
      <c r="J1626" s="595">
        <f t="shared" si="128"/>
        <v>67530.090090090074</v>
      </c>
      <c r="K1626" s="596">
        <f>[4]Invoice!$K$4366</f>
        <v>681440</v>
      </c>
      <c r="L1626" s="597"/>
    </row>
    <row r="1627" spans="1:12" x14ac:dyDescent="0.2">
      <c r="A1627" s="316">
        <v>40</v>
      </c>
      <c r="B1627" s="591" t="s">
        <v>5133</v>
      </c>
      <c r="C1627" s="598" t="s">
        <v>5753</v>
      </c>
      <c r="D1627" s="586" t="s">
        <v>671</v>
      </c>
      <c r="E1627" s="587" t="s">
        <v>672</v>
      </c>
      <c r="F1627" s="588" t="s">
        <v>673</v>
      </c>
      <c r="G1627" s="776" t="s">
        <v>3490</v>
      </c>
      <c r="H1627" s="599">
        <v>44834</v>
      </c>
      <c r="I1627" s="595">
        <f t="shared" si="127"/>
        <v>126486.48648648648</v>
      </c>
      <c r="J1627" s="595">
        <f t="shared" si="128"/>
        <v>13913.513513513513</v>
      </c>
      <c r="K1627" s="596">
        <f>[4]Invoice!$K$4480</f>
        <v>140400</v>
      </c>
      <c r="L1627" s="597"/>
    </row>
    <row r="1628" spans="1:12" x14ac:dyDescent="0.2">
      <c r="A1628" s="316">
        <v>152</v>
      </c>
      <c r="B1628" s="591" t="s">
        <v>5230</v>
      </c>
      <c r="C1628" s="598" t="s">
        <v>6052</v>
      </c>
      <c r="D1628" s="737" t="s">
        <v>621</v>
      </c>
      <c r="E1628" s="738" t="s">
        <v>619</v>
      </c>
      <c r="F1628" s="739" t="s">
        <v>620</v>
      </c>
      <c r="G1628" s="776" t="s">
        <v>3491</v>
      </c>
      <c r="H1628" s="599">
        <v>44827</v>
      </c>
      <c r="I1628" s="595">
        <f>K1628/1.11</f>
        <v>1949837.8378378376</v>
      </c>
      <c r="J1628" s="595">
        <f>I1628*11%</f>
        <v>214482.16216216213</v>
      </c>
      <c r="K1628" s="596">
        <v>2164320</v>
      </c>
      <c r="L1628" s="597"/>
    </row>
    <row r="1629" spans="1:12" x14ac:dyDescent="0.2">
      <c r="A1629" s="316">
        <v>41</v>
      </c>
      <c r="B1629" s="591" t="s">
        <v>5447</v>
      </c>
      <c r="C1629" s="598" t="s">
        <v>5641</v>
      </c>
      <c r="D1629" s="586"/>
      <c r="E1629" s="587" t="s">
        <v>1869</v>
      </c>
      <c r="F1629" s="588" t="s">
        <v>1022</v>
      </c>
      <c r="G1629" s="586"/>
      <c r="H1629" s="599">
        <v>44805</v>
      </c>
      <c r="I1629" s="595">
        <f>K1629/1.11</f>
        <v>30843198.198198196</v>
      </c>
      <c r="J1629" s="595">
        <f>I1629*11%</f>
        <v>3392751.8018018017</v>
      </c>
      <c r="K1629" s="596">
        <f>34235950</f>
        <v>34235950</v>
      </c>
      <c r="L1629" s="597"/>
    </row>
    <row r="1630" spans="1:12" s="667" customFormat="1" x14ac:dyDescent="0.2">
      <c r="A1630" s="316">
        <v>42</v>
      </c>
      <c r="B1630" s="591" t="s">
        <v>5448</v>
      </c>
      <c r="C1630" s="598" t="s">
        <v>6085</v>
      </c>
      <c r="D1630" s="586"/>
      <c r="E1630" s="587" t="s">
        <v>1062</v>
      </c>
      <c r="F1630" s="588" t="s">
        <v>966</v>
      </c>
      <c r="G1630" s="586"/>
      <c r="H1630" s="599">
        <v>44805</v>
      </c>
      <c r="I1630" s="595">
        <f t="shared" ref="I1630:I1643" si="129">K1630/1.11</f>
        <v>14209881.081081079</v>
      </c>
      <c r="J1630" s="595">
        <f t="shared" ref="J1630:J1643" si="130">I1630*11%</f>
        <v>1563086.9189189188</v>
      </c>
      <c r="K1630" s="596">
        <f>5764500+9374400+634068</f>
        <v>15772968</v>
      </c>
      <c r="L1630" s="597"/>
    </row>
    <row r="1631" spans="1:12" s="667" customFormat="1" x14ac:dyDescent="0.2">
      <c r="A1631" s="316">
        <v>43</v>
      </c>
      <c r="B1631" s="591" t="s">
        <v>5449</v>
      </c>
      <c r="C1631" s="598" t="s">
        <v>2988</v>
      </c>
      <c r="D1631" s="586"/>
      <c r="E1631" s="587" t="s">
        <v>1235</v>
      </c>
      <c r="F1631" s="588" t="s">
        <v>1104</v>
      </c>
      <c r="G1631" s="586"/>
      <c r="H1631" s="599">
        <v>44805</v>
      </c>
      <c r="I1631" s="595">
        <f t="shared" si="129"/>
        <v>3620036.0360360355</v>
      </c>
      <c r="J1631" s="595">
        <f t="shared" si="130"/>
        <v>398203.96396396391</v>
      </c>
      <c r="K1631" s="596">
        <v>4018240</v>
      </c>
      <c r="L1631" s="597"/>
    </row>
    <row r="1632" spans="1:12" s="667" customFormat="1" x14ac:dyDescent="0.2">
      <c r="A1632" s="316">
        <v>44</v>
      </c>
      <c r="B1632" s="591" t="s">
        <v>5450</v>
      </c>
      <c r="C1632" s="598" t="s">
        <v>5934</v>
      </c>
      <c r="D1632" s="586"/>
      <c r="E1632" s="587" t="s">
        <v>1716</v>
      </c>
      <c r="F1632" s="588" t="s">
        <v>1055</v>
      </c>
      <c r="G1632" s="586"/>
      <c r="H1632" s="599">
        <v>44805</v>
      </c>
      <c r="I1632" s="595">
        <f t="shared" si="129"/>
        <v>4715497.297297297</v>
      </c>
      <c r="J1632" s="595">
        <f t="shared" si="130"/>
        <v>518704.70270270266</v>
      </c>
      <c r="K1632" s="596">
        <f>3359700+1671354+203148</f>
        <v>5234202</v>
      </c>
      <c r="L1632" s="597"/>
    </row>
    <row r="1633" spans="1:12" s="667" customFormat="1" x14ac:dyDescent="0.2">
      <c r="A1633" s="316">
        <v>45</v>
      </c>
      <c r="B1633" s="591" t="s">
        <v>5451</v>
      </c>
      <c r="C1633" s="598" t="s">
        <v>5552</v>
      </c>
      <c r="D1633" s="586"/>
      <c r="E1633" s="587" t="s">
        <v>1105</v>
      </c>
      <c r="F1633" s="588" t="s">
        <v>1104</v>
      </c>
      <c r="G1633" s="586"/>
      <c r="H1633" s="599">
        <v>44805</v>
      </c>
      <c r="I1633" s="595">
        <f t="shared" si="129"/>
        <v>236486.48648648648</v>
      </c>
      <c r="J1633" s="595">
        <f t="shared" si="130"/>
        <v>26013.513513513513</v>
      </c>
      <c r="K1633" s="596">
        <v>262500</v>
      </c>
      <c r="L1633" s="597"/>
    </row>
    <row r="1634" spans="1:12" s="667" customFormat="1" x14ac:dyDescent="0.2">
      <c r="A1634" s="316">
        <v>46</v>
      </c>
      <c r="B1634" s="591" t="s">
        <v>5452</v>
      </c>
      <c r="C1634" s="598" t="s">
        <v>5941</v>
      </c>
      <c r="D1634" s="586"/>
      <c r="E1634" s="587" t="s">
        <v>1072</v>
      </c>
      <c r="F1634" s="588" t="s">
        <v>1058</v>
      </c>
      <c r="G1634" s="586"/>
      <c r="H1634" s="599">
        <v>44806</v>
      </c>
      <c r="I1634" s="595">
        <f t="shared" si="129"/>
        <v>6335318.9189189188</v>
      </c>
      <c r="J1634" s="595">
        <f t="shared" si="130"/>
        <v>696885.08108108107</v>
      </c>
      <c r="K1634" s="596">
        <f>3950100+1671354+1410750</f>
        <v>7032204</v>
      </c>
      <c r="L1634" s="597"/>
    </row>
    <row r="1635" spans="1:12" s="667" customFormat="1" x14ac:dyDescent="0.2">
      <c r="A1635" s="316">
        <v>47</v>
      </c>
      <c r="B1635" s="591" t="s">
        <v>5453</v>
      </c>
      <c r="C1635" s="598" t="s">
        <v>6072</v>
      </c>
      <c r="D1635" s="586"/>
      <c r="E1635" s="587" t="s">
        <v>1225</v>
      </c>
      <c r="F1635" s="588" t="s">
        <v>1206</v>
      </c>
      <c r="G1635" s="586"/>
      <c r="H1635" s="599">
        <v>44806</v>
      </c>
      <c r="I1635" s="595">
        <f t="shared" si="129"/>
        <v>4525985.5855855849</v>
      </c>
      <c r="J1635" s="595">
        <f t="shared" si="130"/>
        <v>497858.41441441432</v>
      </c>
      <c r="K1635" s="596">
        <f>1786160+1293273+1944411</f>
        <v>5023844</v>
      </c>
      <c r="L1635" s="597"/>
    </row>
    <row r="1636" spans="1:12" s="667" customFormat="1" x14ac:dyDescent="0.2">
      <c r="A1636" s="316">
        <v>48</v>
      </c>
      <c r="B1636" s="591" t="s">
        <v>5454</v>
      </c>
      <c r="C1636" s="598" t="s">
        <v>6048</v>
      </c>
      <c r="D1636" s="586"/>
      <c r="E1636" s="587" t="s">
        <v>1016</v>
      </c>
      <c r="F1636" s="588" t="s">
        <v>1017</v>
      </c>
      <c r="G1636" s="586"/>
      <c r="H1636" s="599">
        <v>44806</v>
      </c>
      <c r="I1636" s="595">
        <f t="shared" si="129"/>
        <v>8905367.5675675664</v>
      </c>
      <c r="J1636" s="595">
        <f t="shared" si="130"/>
        <v>979590.43243243231</v>
      </c>
      <c r="K1636" s="596">
        <f>394800+3289698+6200460</f>
        <v>9884958</v>
      </c>
      <c r="L1636" s="597"/>
    </row>
    <row r="1637" spans="1:12" s="667" customFormat="1" x14ac:dyDescent="0.2">
      <c r="A1637" s="316">
        <v>49</v>
      </c>
      <c r="B1637" s="591" t="s">
        <v>5455</v>
      </c>
      <c r="C1637" s="598" t="s">
        <v>5554</v>
      </c>
      <c r="D1637" s="586"/>
      <c r="E1637" s="587" t="s">
        <v>5555</v>
      </c>
      <c r="F1637" s="588" t="s">
        <v>673</v>
      </c>
      <c r="G1637" s="586"/>
      <c r="H1637" s="599">
        <v>44806</v>
      </c>
      <c r="I1637" s="595">
        <f t="shared" si="129"/>
        <v>2063963.9639639638</v>
      </c>
      <c r="J1637" s="595">
        <f t="shared" si="130"/>
        <v>227036.03603603601</v>
      </c>
      <c r="K1637" s="596">
        <v>2291000</v>
      </c>
      <c r="L1637" s="597"/>
    </row>
    <row r="1638" spans="1:12" s="667" customFormat="1" x14ac:dyDescent="0.2">
      <c r="A1638" s="316">
        <v>50</v>
      </c>
      <c r="B1638" s="591" t="s">
        <v>5456</v>
      </c>
      <c r="C1638" s="602" t="s">
        <v>5929</v>
      </c>
      <c r="D1638" s="654"/>
      <c r="E1638" s="604" t="s">
        <v>1220</v>
      </c>
      <c r="F1638" s="605" t="s">
        <v>1221</v>
      </c>
      <c r="G1638" s="654"/>
      <c r="H1638" s="606">
        <v>44806</v>
      </c>
      <c r="I1638" s="595">
        <f t="shared" si="129"/>
        <v>7942954.9549549539</v>
      </c>
      <c r="J1638" s="595">
        <f t="shared" si="130"/>
        <v>873725.04504504497</v>
      </c>
      <c r="K1638" s="596">
        <f>2692440+2800000+3324240</f>
        <v>8816680</v>
      </c>
      <c r="L1638" s="597"/>
    </row>
    <row r="1639" spans="1:12" s="667" customFormat="1" x14ac:dyDescent="0.2">
      <c r="A1639" s="316">
        <v>51</v>
      </c>
      <c r="B1639" s="591" t="s">
        <v>5457</v>
      </c>
      <c r="C1639" s="598" t="s">
        <v>5765</v>
      </c>
      <c r="D1639" s="586"/>
      <c r="E1639" s="587" t="s">
        <v>1023</v>
      </c>
      <c r="F1639" s="588" t="s">
        <v>1025</v>
      </c>
      <c r="G1639" s="586"/>
      <c r="H1639" s="599">
        <v>44807</v>
      </c>
      <c r="I1639" s="595">
        <f t="shared" si="129"/>
        <v>17922054.054054052</v>
      </c>
      <c r="J1639" s="595">
        <f t="shared" si="130"/>
        <v>1971425.9459459458</v>
      </c>
      <c r="K1639" s="596">
        <f>6841800+4801680+8250000</f>
        <v>19893480</v>
      </c>
      <c r="L1639" s="597"/>
    </row>
    <row r="1640" spans="1:12" s="667" customFormat="1" x14ac:dyDescent="0.2">
      <c r="A1640" s="316">
        <v>52</v>
      </c>
      <c r="B1640" s="591" t="s">
        <v>5458</v>
      </c>
      <c r="C1640" s="598" t="s">
        <v>5781</v>
      </c>
      <c r="D1640" s="586"/>
      <c r="E1640" s="587" t="s">
        <v>1054</v>
      </c>
      <c r="F1640" s="588" t="s">
        <v>1055</v>
      </c>
      <c r="G1640" s="586"/>
      <c r="H1640" s="599">
        <v>44807</v>
      </c>
      <c r="I1640" s="595">
        <f t="shared" si="129"/>
        <v>5877294.5945945941</v>
      </c>
      <c r="J1640" s="595">
        <f t="shared" si="130"/>
        <v>646502.40540540533</v>
      </c>
      <c r="K1640" s="596">
        <f>3451290+710142+2362365</f>
        <v>6523797</v>
      </c>
      <c r="L1640" s="597"/>
    </row>
    <row r="1641" spans="1:12" s="667" customFormat="1" x14ac:dyDescent="0.2">
      <c r="A1641" s="316">
        <v>53</v>
      </c>
      <c r="B1641" s="591" t="s">
        <v>5459</v>
      </c>
      <c r="C1641" s="598" t="s">
        <v>5567</v>
      </c>
      <c r="D1641" s="586"/>
      <c r="E1641" s="587" t="s">
        <v>1326</v>
      </c>
      <c r="F1641" s="588" t="s">
        <v>1328</v>
      </c>
      <c r="G1641" s="586"/>
      <c r="H1641" s="599">
        <v>44807</v>
      </c>
      <c r="I1641" s="595">
        <f t="shared" si="129"/>
        <v>510162.16216216213</v>
      </c>
      <c r="J1641" s="595">
        <f t="shared" si="130"/>
        <v>56117.837837837833</v>
      </c>
      <c r="K1641" s="596">
        <v>566280</v>
      </c>
      <c r="L1641" s="597"/>
    </row>
    <row r="1642" spans="1:12" s="667" customFormat="1" x14ac:dyDescent="0.2">
      <c r="A1642" s="316">
        <v>54</v>
      </c>
      <c r="B1642" s="591" t="s">
        <v>5460</v>
      </c>
      <c r="C1642" s="598" t="s">
        <v>5569</v>
      </c>
      <c r="D1642" s="586"/>
      <c r="E1642" s="587" t="s">
        <v>1791</v>
      </c>
      <c r="F1642" s="588" t="s">
        <v>1015</v>
      </c>
      <c r="G1642" s="586"/>
      <c r="H1642" s="599">
        <v>44807</v>
      </c>
      <c r="I1642" s="595">
        <f t="shared" si="129"/>
        <v>4445945.9459459456</v>
      </c>
      <c r="J1642" s="595">
        <f t="shared" si="130"/>
        <v>489054.05405405402</v>
      </c>
      <c r="K1642" s="596">
        <v>4935000</v>
      </c>
      <c r="L1642" s="597"/>
    </row>
    <row r="1643" spans="1:12" s="667" customFormat="1" x14ac:dyDescent="0.2">
      <c r="A1643" s="316">
        <v>55</v>
      </c>
      <c r="B1643" s="591" t="s">
        <v>5461</v>
      </c>
      <c r="C1643" s="598" t="s">
        <v>5571</v>
      </c>
      <c r="D1643" s="586"/>
      <c r="E1643" s="587" t="s">
        <v>3041</v>
      </c>
      <c r="F1643" s="588" t="s">
        <v>2368</v>
      </c>
      <c r="G1643" s="586"/>
      <c r="H1643" s="599">
        <v>44807</v>
      </c>
      <c r="I1643" s="595">
        <f t="shared" si="129"/>
        <v>611845.94594594592</v>
      </c>
      <c r="J1643" s="595">
        <f t="shared" si="130"/>
        <v>67303.054054054053</v>
      </c>
      <c r="K1643" s="596">
        <f>376533+302616</f>
        <v>679149</v>
      </c>
      <c r="L1643" s="597"/>
    </row>
    <row r="1644" spans="1:12" x14ac:dyDescent="0.2">
      <c r="A1644" s="316">
        <v>56</v>
      </c>
      <c r="B1644" s="591" t="s">
        <v>5134</v>
      </c>
      <c r="C1644" s="598" t="s">
        <v>5967</v>
      </c>
      <c r="D1644" s="586"/>
      <c r="E1644" s="593" t="s">
        <v>965</v>
      </c>
      <c r="F1644" s="593" t="s">
        <v>966</v>
      </c>
      <c r="G1644" s="776"/>
      <c r="H1644" s="599">
        <v>44807</v>
      </c>
      <c r="I1644" s="595">
        <f t="shared" si="127"/>
        <v>7743064.8648648644</v>
      </c>
      <c r="J1644" s="595">
        <f t="shared" si="128"/>
        <v>851737.13513513503</v>
      </c>
      <c r="K1644" s="596">
        <f>2331072+1462050+4801680</f>
        <v>8594802</v>
      </c>
      <c r="L1644" s="597"/>
    </row>
    <row r="1645" spans="1:12" x14ac:dyDescent="0.2">
      <c r="A1645" s="316">
        <v>57</v>
      </c>
      <c r="B1645" s="591" t="s">
        <v>5135</v>
      </c>
      <c r="C1645" s="598" t="s">
        <v>5767</v>
      </c>
      <c r="D1645" s="586"/>
      <c r="E1645" s="593" t="s">
        <v>1006</v>
      </c>
      <c r="F1645" s="593" t="s">
        <v>984</v>
      </c>
      <c r="G1645" s="761"/>
      <c r="H1645" s="594">
        <v>44809</v>
      </c>
      <c r="I1645" s="595">
        <f t="shared" si="127"/>
        <v>6363356.7567567565</v>
      </c>
      <c r="J1645" s="595">
        <f t="shared" si="128"/>
        <v>699969.2432432432</v>
      </c>
      <c r="K1645" s="596">
        <f>4309542+205200+2548584</f>
        <v>7063326</v>
      </c>
      <c r="L1645" s="597"/>
    </row>
    <row r="1646" spans="1:12" x14ac:dyDescent="0.2">
      <c r="A1646" s="316">
        <v>58</v>
      </c>
      <c r="B1646" s="591" t="s">
        <v>5136</v>
      </c>
      <c r="C1646" s="598" t="s">
        <v>5774</v>
      </c>
      <c r="D1646" s="586"/>
      <c r="E1646" s="587" t="s">
        <v>978</v>
      </c>
      <c r="F1646" s="588" t="s">
        <v>590</v>
      </c>
      <c r="G1646" s="776"/>
      <c r="H1646" s="599">
        <v>44809</v>
      </c>
      <c r="I1646" s="595">
        <f t="shared" si="127"/>
        <v>16823627.027027026</v>
      </c>
      <c r="J1646" s="595">
        <f t="shared" si="128"/>
        <v>1850598.9729729728</v>
      </c>
      <c r="K1646" s="596">
        <f>2385450+6685416+9603360</f>
        <v>18674226</v>
      </c>
      <c r="L1646" s="597"/>
    </row>
    <row r="1647" spans="1:12" x14ac:dyDescent="0.2">
      <c r="A1647" s="316">
        <v>59</v>
      </c>
      <c r="B1647" s="591" t="s">
        <v>5137</v>
      </c>
      <c r="C1647" s="598" t="s">
        <v>5943</v>
      </c>
      <c r="D1647" s="586"/>
      <c r="E1647" s="587" t="s">
        <v>1857</v>
      </c>
      <c r="F1647" s="588" t="s">
        <v>1858</v>
      </c>
      <c r="G1647" s="776"/>
      <c r="H1647" s="599">
        <v>44809</v>
      </c>
      <c r="I1647" s="595">
        <f t="shared" si="127"/>
        <v>409909.90990990988</v>
      </c>
      <c r="J1647" s="595">
        <f t="shared" si="128"/>
        <v>45090.090090090089</v>
      </c>
      <c r="K1647" s="596">
        <f>300000+155000</f>
        <v>455000</v>
      </c>
      <c r="L1647" s="597"/>
    </row>
    <row r="1648" spans="1:12" x14ac:dyDescent="0.2">
      <c r="A1648" s="316">
        <v>60</v>
      </c>
      <c r="B1648" s="591" t="s">
        <v>5138</v>
      </c>
      <c r="C1648" s="598" t="s">
        <v>5754</v>
      </c>
      <c r="D1648" s="586"/>
      <c r="E1648" s="587" t="s">
        <v>5407</v>
      </c>
      <c r="F1648" s="588" t="s">
        <v>620</v>
      </c>
      <c r="G1648" s="761"/>
      <c r="H1648" s="599">
        <v>44809</v>
      </c>
      <c r="I1648" s="595">
        <f t="shared" si="127"/>
        <v>718662.16216216213</v>
      </c>
      <c r="J1648" s="595">
        <f t="shared" si="128"/>
        <v>79052.83783783784</v>
      </c>
      <c r="K1648" s="596">
        <v>797715</v>
      </c>
      <c r="L1648" s="597"/>
    </row>
    <row r="1649" spans="1:12" x14ac:dyDescent="0.2">
      <c r="A1649" s="316">
        <v>61</v>
      </c>
      <c r="B1649" s="591" t="s">
        <v>5139</v>
      </c>
      <c r="C1649" s="598" t="s">
        <v>6100</v>
      </c>
      <c r="D1649" s="586"/>
      <c r="E1649" s="587" t="s">
        <v>1783</v>
      </c>
      <c r="F1649" s="588" t="s">
        <v>620</v>
      </c>
      <c r="G1649" s="776"/>
      <c r="H1649" s="599">
        <v>44810</v>
      </c>
      <c r="I1649" s="595">
        <f t="shared" si="127"/>
        <v>2035978.3783783782</v>
      </c>
      <c r="J1649" s="595">
        <f t="shared" si="128"/>
        <v>223957.6216216216</v>
      </c>
      <c r="K1649" s="596">
        <f>1370736+889200</f>
        <v>2259936</v>
      </c>
      <c r="L1649" s="597"/>
    </row>
    <row r="1650" spans="1:12" x14ac:dyDescent="0.2">
      <c r="A1650" s="316">
        <v>62</v>
      </c>
      <c r="B1650" s="591" t="s">
        <v>5140</v>
      </c>
      <c r="C1650" s="598" t="s">
        <v>5755</v>
      </c>
      <c r="D1650" s="586"/>
      <c r="E1650" s="587" t="s">
        <v>983</v>
      </c>
      <c r="F1650" s="588" t="s">
        <v>1096</v>
      </c>
      <c r="G1650" s="776"/>
      <c r="H1650" s="599">
        <v>44810</v>
      </c>
      <c r="I1650" s="595">
        <f t="shared" si="127"/>
        <v>227729.7297297297</v>
      </c>
      <c r="J1650" s="595">
        <f t="shared" si="128"/>
        <v>25050.270270270266</v>
      </c>
      <c r="K1650" s="596">
        <v>252780</v>
      </c>
      <c r="L1650" s="597"/>
    </row>
    <row r="1651" spans="1:12" x14ac:dyDescent="0.2">
      <c r="A1651" s="316">
        <v>63</v>
      </c>
      <c r="B1651" s="591" t="s">
        <v>5141</v>
      </c>
      <c r="C1651" s="598" t="s">
        <v>5760</v>
      </c>
      <c r="D1651" s="586"/>
      <c r="E1651" s="587" t="s">
        <v>976</v>
      </c>
      <c r="F1651" s="588" t="s">
        <v>977</v>
      </c>
      <c r="G1651" s="761"/>
      <c r="H1651" s="599">
        <v>44810</v>
      </c>
      <c r="I1651" s="595">
        <f t="shared" si="127"/>
        <v>7267520.7207207205</v>
      </c>
      <c r="J1651" s="595">
        <f t="shared" si="128"/>
        <v>799427.27927927929</v>
      </c>
      <c r="K1651" s="596">
        <f>1400000+3342708+3324240</f>
        <v>8066948</v>
      </c>
      <c r="L1651" s="597"/>
    </row>
    <row r="1652" spans="1:12" x14ac:dyDescent="0.2">
      <c r="A1652" s="316">
        <v>64</v>
      </c>
      <c r="B1652" s="591" t="s">
        <v>5142</v>
      </c>
      <c r="C1652" s="598" t="s">
        <v>6033</v>
      </c>
      <c r="D1652" s="586"/>
      <c r="E1652" s="587" t="s">
        <v>1009</v>
      </c>
      <c r="F1652" s="588" t="s">
        <v>1008</v>
      </c>
      <c r="G1652" s="776"/>
      <c r="H1652" s="599">
        <v>44810</v>
      </c>
      <c r="I1652" s="595">
        <f t="shared" si="127"/>
        <v>3118054.054054054</v>
      </c>
      <c r="J1652" s="595">
        <f t="shared" si="128"/>
        <v>342985.94594594592</v>
      </c>
      <c r="K1652" s="596">
        <f>983250+184680+2293110</f>
        <v>3461040</v>
      </c>
      <c r="L1652" s="597"/>
    </row>
    <row r="1653" spans="1:12" x14ac:dyDescent="0.2">
      <c r="A1653" s="316">
        <v>65</v>
      </c>
      <c r="B1653" s="591" t="s">
        <v>5143</v>
      </c>
      <c r="C1653" s="598" t="s">
        <v>6090</v>
      </c>
      <c r="D1653" s="586"/>
      <c r="E1653" s="587" t="s">
        <v>1007</v>
      </c>
      <c r="F1653" s="588" t="s">
        <v>1008</v>
      </c>
      <c r="G1653" s="776"/>
      <c r="H1653" s="599">
        <v>44810</v>
      </c>
      <c r="I1653" s="595">
        <f t="shared" si="127"/>
        <v>3439847.7477477472</v>
      </c>
      <c r="J1653" s="595">
        <f t="shared" si="128"/>
        <v>378383.25225225219</v>
      </c>
      <c r="K1653" s="596">
        <f>1342493+824904+1650834</f>
        <v>3818231</v>
      </c>
      <c r="L1653" s="597"/>
    </row>
    <row r="1654" spans="1:12" x14ac:dyDescent="0.2">
      <c r="A1654" s="316">
        <v>66</v>
      </c>
      <c r="B1654" s="591" t="s">
        <v>5144</v>
      </c>
      <c r="C1654" s="598" t="s">
        <v>5926</v>
      </c>
      <c r="D1654" s="586"/>
      <c r="E1654" s="587" t="s">
        <v>1036</v>
      </c>
      <c r="F1654" s="588" t="s">
        <v>1008</v>
      </c>
      <c r="G1654" s="776"/>
      <c r="H1654" s="599">
        <v>44811</v>
      </c>
      <c r="I1654" s="595">
        <f t="shared" si="127"/>
        <v>7127675.6756756753</v>
      </c>
      <c r="J1654" s="595">
        <f t="shared" si="128"/>
        <v>784044.32432432426</v>
      </c>
      <c r="K1654" s="596">
        <f>3139560+3553272+1218888</f>
        <v>7911720</v>
      </c>
      <c r="L1654" s="597"/>
    </row>
    <row r="1655" spans="1:12" x14ac:dyDescent="0.2">
      <c r="A1655" s="316">
        <v>67</v>
      </c>
      <c r="B1655" s="591" t="s">
        <v>5145</v>
      </c>
      <c r="C1655" s="598" t="s">
        <v>5759</v>
      </c>
      <c r="D1655" s="586"/>
      <c r="E1655" s="587" t="s">
        <v>992</v>
      </c>
      <c r="F1655" s="588" t="s">
        <v>993</v>
      </c>
      <c r="G1655" s="586"/>
      <c r="H1655" s="599">
        <v>44811</v>
      </c>
      <c r="I1655" s="595">
        <f t="shared" si="127"/>
        <v>4191425.2252252246</v>
      </c>
      <c r="J1655" s="595">
        <f t="shared" si="128"/>
        <v>461056.77477477473</v>
      </c>
      <c r="K1655" s="596">
        <f>381672+684000+3586810</f>
        <v>4652482</v>
      </c>
      <c r="L1655" s="597"/>
    </row>
    <row r="1656" spans="1:12" x14ac:dyDescent="0.2">
      <c r="A1656" s="316">
        <v>68</v>
      </c>
      <c r="B1656" s="591" t="s">
        <v>5146</v>
      </c>
      <c r="C1656" s="598" t="s">
        <v>5940</v>
      </c>
      <c r="D1656" s="586"/>
      <c r="E1656" s="593" t="s">
        <v>1021</v>
      </c>
      <c r="F1656" s="593" t="s">
        <v>1022</v>
      </c>
      <c r="G1656" s="586"/>
      <c r="H1656" s="594">
        <v>44811</v>
      </c>
      <c r="I1656" s="595">
        <f t="shared" si="127"/>
        <v>10237200</v>
      </c>
      <c r="J1656" s="595">
        <f t="shared" si="128"/>
        <v>1126092</v>
      </c>
      <c r="K1656" s="596">
        <f>6399162+4015080+949050</f>
        <v>11363292</v>
      </c>
      <c r="L1656" s="597"/>
    </row>
    <row r="1657" spans="1:12" x14ac:dyDescent="0.2">
      <c r="A1657" s="316">
        <v>69</v>
      </c>
      <c r="B1657" s="591" t="s">
        <v>5147</v>
      </c>
      <c r="C1657" s="598" t="s">
        <v>5756</v>
      </c>
      <c r="D1657" s="586"/>
      <c r="E1657" s="587" t="s">
        <v>1813</v>
      </c>
      <c r="F1657" s="588" t="s">
        <v>1123</v>
      </c>
      <c r="G1657" s="586"/>
      <c r="H1657" s="599">
        <v>44811</v>
      </c>
      <c r="I1657" s="595">
        <f t="shared" si="127"/>
        <v>968691.89189189184</v>
      </c>
      <c r="J1657" s="595">
        <f t="shared" si="128"/>
        <v>106556.10810810811</v>
      </c>
      <c r="K1657" s="596">
        <v>1075248</v>
      </c>
      <c r="L1657" s="597"/>
    </row>
    <row r="1658" spans="1:12" x14ac:dyDescent="0.2">
      <c r="A1658" s="316">
        <v>70</v>
      </c>
      <c r="B1658" s="591" t="s">
        <v>5148</v>
      </c>
      <c r="C1658" s="598" t="s">
        <v>6067</v>
      </c>
      <c r="D1658" s="586"/>
      <c r="E1658" s="587" t="s">
        <v>1120</v>
      </c>
      <c r="F1658" s="588" t="s">
        <v>1099</v>
      </c>
      <c r="G1658" s="586"/>
      <c r="H1658" s="599">
        <v>44812</v>
      </c>
      <c r="I1658" s="595">
        <f t="shared" si="127"/>
        <v>6523881.0810810803</v>
      </c>
      <c r="J1658" s="595">
        <f t="shared" si="128"/>
        <v>717626.91891891882</v>
      </c>
      <c r="K1658" s="596">
        <f>3342708+3898800</f>
        <v>7241508</v>
      </c>
      <c r="L1658" s="597"/>
    </row>
    <row r="1659" spans="1:12" x14ac:dyDescent="0.2">
      <c r="A1659" s="316">
        <v>71</v>
      </c>
      <c r="B1659" s="591" t="s">
        <v>5149</v>
      </c>
      <c r="C1659" s="598" t="s">
        <v>6088</v>
      </c>
      <c r="D1659" s="586"/>
      <c r="E1659" s="601" t="s">
        <v>1727</v>
      </c>
      <c r="F1659" s="588" t="s">
        <v>987</v>
      </c>
      <c r="G1659" s="586"/>
      <c r="H1659" s="599">
        <v>44812</v>
      </c>
      <c r="I1659" s="595">
        <f t="shared" si="127"/>
        <v>13275145.945945945</v>
      </c>
      <c r="J1659" s="595">
        <f t="shared" si="128"/>
        <v>1460266.054054054</v>
      </c>
      <c r="K1659" s="596">
        <f>2010960+12724452</f>
        <v>14735412</v>
      </c>
      <c r="L1659" s="597"/>
    </row>
    <row r="1660" spans="1:12" x14ac:dyDescent="0.2">
      <c r="A1660" s="316">
        <v>72</v>
      </c>
      <c r="B1660" s="591" t="s">
        <v>5150</v>
      </c>
      <c r="C1660" s="598" t="s">
        <v>6043</v>
      </c>
      <c r="D1660" s="586"/>
      <c r="E1660" s="587" t="s">
        <v>986</v>
      </c>
      <c r="F1660" s="588" t="s">
        <v>980</v>
      </c>
      <c r="G1660" s="586"/>
      <c r="H1660" s="599">
        <v>44812</v>
      </c>
      <c r="I1660" s="595">
        <f t="shared" si="127"/>
        <v>5686905.405405405</v>
      </c>
      <c r="J1660" s="595">
        <f t="shared" si="128"/>
        <v>625559.59459459456</v>
      </c>
      <c r="K1660" s="596">
        <f>1717524+179550+4415391</f>
        <v>6312465</v>
      </c>
      <c r="L1660" s="597"/>
    </row>
    <row r="1661" spans="1:12" x14ac:dyDescent="0.2">
      <c r="A1661" s="316">
        <v>73</v>
      </c>
      <c r="B1661" s="591" t="s">
        <v>5151</v>
      </c>
      <c r="C1661" s="598" t="s">
        <v>6035</v>
      </c>
      <c r="D1661" s="586"/>
      <c r="E1661" s="587" t="s">
        <v>1040</v>
      </c>
      <c r="F1661" s="588" t="s">
        <v>1019</v>
      </c>
      <c r="G1661" s="586"/>
      <c r="H1661" s="599">
        <v>44812</v>
      </c>
      <c r="I1661" s="595">
        <f t="shared" si="127"/>
        <v>3914308.1081081079</v>
      </c>
      <c r="J1661" s="595">
        <f t="shared" si="128"/>
        <v>430573.89189189189</v>
      </c>
      <c r="K1661" s="596">
        <f>1773612+2571270</f>
        <v>4344882</v>
      </c>
      <c r="L1661" s="597"/>
    </row>
    <row r="1662" spans="1:12" x14ac:dyDescent="0.2">
      <c r="A1662" s="316">
        <v>74</v>
      </c>
      <c r="B1662" s="591" t="s">
        <v>5152</v>
      </c>
      <c r="C1662" s="598" t="s">
        <v>6081</v>
      </c>
      <c r="D1662" s="586"/>
      <c r="E1662" s="587" t="s">
        <v>1246</v>
      </c>
      <c r="F1662" s="588" t="s">
        <v>579</v>
      </c>
      <c r="G1662" s="586"/>
      <c r="H1662" s="599">
        <v>44812</v>
      </c>
      <c r="I1662" s="595">
        <f t="shared" si="127"/>
        <v>665513.51351351349</v>
      </c>
      <c r="J1662" s="595">
        <f t="shared" si="128"/>
        <v>73206.486486486479</v>
      </c>
      <c r="K1662" s="596">
        <f>292410+446310</f>
        <v>738720</v>
      </c>
      <c r="L1662" s="597"/>
    </row>
    <row r="1663" spans="1:12" x14ac:dyDescent="0.2">
      <c r="A1663" s="316">
        <v>75</v>
      </c>
      <c r="B1663" s="591" t="s">
        <v>5153</v>
      </c>
      <c r="C1663" s="598" t="s">
        <v>5757</v>
      </c>
      <c r="D1663" s="586"/>
      <c r="E1663" s="587" t="s">
        <v>2730</v>
      </c>
      <c r="F1663" s="588" t="s">
        <v>579</v>
      </c>
      <c r="G1663" s="586"/>
      <c r="H1663" s="599">
        <v>44812</v>
      </c>
      <c r="I1663" s="595">
        <f t="shared" si="127"/>
        <v>2972972.9729729728</v>
      </c>
      <c r="J1663" s="595">
        <f t="shared" si="128"/>
        <v>327027.02702702698</v>
      </c>
      <c r="K1663" s="596">
        <v>3300000</v>
      </c>
      <c r="L1663" s="597"/>
    </row>
    <row r="1664" spans="1:12" x14ac:dyDescent="0.2">
      <c r="A1664" s="316">
        <v>76</v>
      </c>
      <c r="B1664" s="591" t="s">
        <v>5154</v>
      </c>
      <c r="C1664" s="598" t="s">
        <v>6096</v>
      </c>
      <c r="D1664" s="586"/>
      <c r="E1664" s="587" t="s">
        <v>1053</v>
      </c>
      <c r="F1664" s="588" t="s">
        <v>1064</v>
      </c>
      <c r="G1664" s="586"/>
      <c r="H1664" s="599">
        <v>44812</v>
      </c>
      <c r="I1664" s="595">
        <f t="shared" si="127"/>
        <v>10405949.549549548</v>
      </c>
      <c r="J1664" s="595">
        <f t="shared" si="128"/>
        <v>1144654.4504504502</v>
      </c>
      <c r="K1664" s="596">
        <f>8924148+2333020+293436</f>
        <v>11550604</v>
      </c>
      <c r="L1664" s="597"/>
    </row>
    <row r="1665" spans="1:12" x14ac:dyDescent="0.2">
      <c r="A1665" s="316">
        <v>77</v>
      </c>
      <c r="B1665" s="591" t="s">
        <v>5155</v>
      </c>
      <c r="C1665" s="598" t="s">
        <v>6065</v>
      </c>
      <c r="D1665" s="586"/>
      <c r="E1665" s="587" t="s">
        <v>992</v>
      </c>
      <c r="F1665" s="588" t="s">
        <v>583</v>
      </c>
      <c r="G1665" s="586"/>
      <c r="H1665" s="599">
        <v>44812</v>
      </c>
      <c r="I1665" s="595">
        <f t="shared" si="127"/>
        <v>3964735.1351351347</v>
      </c>
      <c r="J1665" s="595">
        <f t="shared" si="128"/>
        <v>436120.86486486479</v>
      </c>
      <c r="K1665" s="596">
        <f>1727100+1465128+1208628</f>
        <v>4400856</v>
      </c>
      <c r="L1665" s="597"/>
    </row>
    <row r="1666" spans="1:12" x14ac:dyDescent="0.2">
      <c r="A1666" s="316">
        <v>78</v>
      </c>
      <c r="B1666" s="591" t="s">
        <v>5156</v>
      </c>
      <c r="C1666" s="598" t="s">
        <v>5758</v>
      </c>
      <c r="D1666" s="586"/>
      <c r="E1666" s="587" t="s">
        <v>4626</v>
      </c>
      <c r="F1666" s="588" t="s">
        <v>971</v>
      </c>
      <c r="G1666" s="586"/>
      <c r="H1666" s="599">
        <v>44813</v>
      </c>
      <c r="I1666" s="595">
        <f t="shared" si="127"/>
        <v>377124.32432432432</v>
      </c>
      <c r="J1666" s="595">
        <f t="shared" si="128"/>
        <v>41483.675675675673</v>
      </c>
      <c r="K1666" s="596">
        <v>418608</v>
      </c>
      <c r="L1666" s="597"/>
    </row>
    <row r="1667" spans="1:12" x14ac:dyDescent="0.2">
      <c r="A1667" s="316">
        <v>79</v>
      </c>
      <c r="B1667" s="591" t="s">
        <v>5157</v>
      </c>
      <c r="C1667" s="598" t="s">
        <v>5761</v>
      </c>
      <c r="D1667" s="586"/>
      <c r="E1667" s="587" t="s">
        <v>1200</v>
      </c>
      <c r="F1667" s="588" t="s">
        <v>971</v>
      </c>
      <c r="G1667" s="586"/>
      <c r="H1667" s="599">
        <v>44813</v>
      </c>
      <c r="I1667" s="595">
        <f t="shared" si="127"/>
        <v>212980.18018018015</v>
      </c>
      <c r="J1667" s="595">
        <f t="shared" si="128"/>
        <v>23427.819819819815</v>
      </c>
      <c r="K1667" s="596">
        <v>236408</v>
      </c>
      <c r="L1667" s="597"/>
    </row>
    <row r="1668" spans="1:12" x14ac:dyDescent="0.2">
      <c r="A1668" s="316">
        <v>80</v>
      </c>
      <c r="B1668" s="591" t="s">
        <v>5158</v>
      </c>
      <c r="C1668" s="598" t="s">
        <v>5762</v>
      </c>
      <c r="D1668" s="586"/>
      <c r="E1668" s="587" t="s">
        <v>1852</v>
      </c>
      <c r="F1668" s="588" t="s">
        <v>620</v>
      </c>
      <c r="G1668" s="586"/>
      <c r="H1668" s="599">
        <v>44814</v>
      </c>
      <c r="I1668" s="595">
        <f t="shared" ref="I1668:I1731" si="131">K1668/1.11</f>
        <v>124783.78378378377</v>
      </c>
      <c r="J1668" s="595">
        <f t="shared" ref="J1668:J1731" si="132">I1668*11%</f>
        <v>13726.216216216215</v>
      </c>
      <c r="K1668" s="596">
        <v>138510</v>
      </c>
      <c r="L1668" s="597"/>
    </row>
    <row r="1669" spans="1:12" x14ac:dyDescent="0.2">
      <c r="A1669" s="316">
        <v>81</v>
      </c>
      <c r="B1669" s="591" t="s">
        <v>5159</v>
      </c>
      <c r="C1669" s="598" t="s">
        <v>5763</v>
      </c>
      <c r="D1669" s="586"/>
      <c r="E1669" s="587" t="s">
        <v>1053</v>
      </c>
      <c r="F1669" s="588" t="s">
        <v>620</v>
      </c>
      <c r="G1669" s="586"/>
      <c r="H1669" s="599">
        <v>44814</v>
      </c>
      <c r="I1669" s="595">
        <f t="shared" si="131"/>
        <v>3577135.1351351347</v>
      </c>
      <c r="J1669" s="595">
        <f t="shared" si="132"/>
        <v>393484.86486486479</v>
      </c>
      <c r="K1669" s="596">
        <v>3970620</v>
      </c>
      <c r="L1669" s="597"/>
    </row>
    <row r="1670" spans="1:12" x14ac:dyDescent="0.2">
      <c r="A1670" s="316">
        <v>82</v>
      </c>
      <c r="B1670" s="591" t="s">
        <v>5160</v>
      </c>
      <c r="C1670" s="598" t="s">
        <v>5775</v>
      </c>
      <c r="D1670" s="586"/>
      <c r="E1670" s="587" t="s">
        <v>1026</v>
      </c>
      <c r="F1670" s="588" t="s">
        <v>579</v>
      </c>
      <c r="G1670" s="586"/>
      <c r="H1670" s="599">
        <v>44814</v>
      </c>
      <c r="I1670" s="595">
        <f t="shared" si="131"/>
        <v>4070724.3243243238</v>
      </c>
      <c r="J1670" s="595">
        <f t="shared" si="132"/>
        <v>447779.67567567562</v>
      </c>
      <c r="K1670" s="596">
        <f>3213432+1305072</f>
        <v>4518504</v>
      </c>
      <c r="L1670" s="597"/>
    </row>
    <row r="1671" spans="1:12" x14ac:dyDescent="0.2">
      <c r="A1671" s="316">
        <v>83</v>
      </c>
      <c r="B1671" s="591" t="s">
        <v>5161</v>
      </c>
      <c r="C1671" s="598" t="s">
        <v>5780</v>
      </c>
      <c r="D1671" s="586"/>
      <c r="E1671" s="587" t="s">
        <v>992</v>
      </c>
      <c r="F1671" s="588" t="s">
        <v>673</v>
      </c>
      <c r="G1671" s="586"/>
      <c r="H1671" s="599">
        <v>44814</v>
      </c>
      <c r="I1671" s="595">
        <f t="shared" si="131"/>
        <v>20588789.189189188</v>
      </c>
      <c r="J1671" s="595">
        <f t="shared" si="132"/>
        <v>2264766.8108108109</v>
      </c>
      <c r="K1671" s="596">
        <f>5858892+14429664+2565000</f>
        <v>22853556</v>
      </c>
      <c r="L1671" s="597"/>
    </row>
    <row r="1672" spans="1:12" x14ac:dyDescent="0.2">
      <c r="A1672" s="316">
        <v>84</v>
      </c>
      <c r="B1672" s="591" t="s">
        <v>5162</v>
      </c>
      <c r="C1672" s="598" t="s">
        <v>5764</v>
      </c>
      <c r="D1672" s="586"/>
      <c r="E1672" s="587" t="s">
        <v>1228</v>
      </c>
      <c r="F1672" s="588" t="s">
        <v>1025</v>
      </c>
      <c r="G1672" s="586"/>
      <c r="H1672" s="599">
        <v>44814</v>
      </c>
      <c r="I1672" s="595">
        <f t="shared" si="131"/>
        <v>552977.4774774774</v>
      </c>
      <c r="J1672" s="595">
        <f t="shared" si="132"/>
        <v>60827.522522522515</v>
      </c>
      <c r="K1672" s="596">
        <v>613805</v>
      </c>
      <c r="L1672" s="597"/>
    </row>
    <row r="1673" spans="1:12" x14ac:dyDescent="0.2">
      <c r="A1673" s="316">
        <v>85</v>
      </c>
      <c r="B1673" s="591" t="s">
        <v>5163</v>
      </c>
      <c r="C1673" s="598" t="s">
        <v>5766</v>
      </c>
      <c r="D1673" s="586"/>
      <c r="E1673" s="587" t="s">
        <v>1012</v>
      </c>
      <c r="F1673" s="588" t="s">
        <v>1013</v>
      </c>
      <c r="G1673" s="586"/>
      <c r="H1673" s="599">
        <v>44814</v>
      </c>
      <c r="I1673" s="595">
        <f t="shared" si="131"/>
        <v>1399882.8828828828</v>
      </c>
      <c r="J1673" s="595">
        <f t="shared" si="132"/>
        <v>153987.1171171171</v>
      </c>
      <c r="K1673" s="596">
        <v>1553870</v>
      </c>
      <c r="L1673" s="597"/>
    </row>
    <row r="1674" spans="1:12" x14ac:dyDescent="0.2">
      <c r="A1674" s="316">
        <v>86</v>
      </c>
      <c r="B1674" s="591" t="s">
        <v>5164</v>
      </c>
      <c r="C1674" s="598" t="s">
        <v>5768</v>
      </c>
      <c r="D1674" s="586"/>
      <c r="E1674" s="587" t="s">
        <v>1131</v>
      </c>
      <c r="F1674" s="588" t="s">
        <v>1042</v>
      </c>
      <c r="G1674" s="586"/>
      <c r="H1674" s="599">
        <v>44814</v>
      </c>
      <c r="I1674" s="595">
        <f t="shared" si="131"/>
        <v>1427027.027027027</v>
      </c>
      <c r="J1674" s="595">
        <f t="shared" si="132"/>
        <v>156972.97297297296</v>
      </c>
      <c r="K1674" s="596">
        <v>1584000</v>
      </c>
      <c r="L1674" s="597"/>
    </row>
    <row r="1675" spans="1:12" x14ac:dyDescent="0.2">
      <c r="A1675" s="316">
        <v>87</v>
      </c>
      <c r="B1675" s="591" t="s">
        <v>5165</v>
      </c>
      <c r="C1675" s="598" t="s">
        <v>6034</v>
      </c>
      <c r="D1675" s="586"/>
      <c r="E1675" s="587" t="s">
        <v>985</v>
      </c>
      <c r="F1675" s="588" t="s">
        <v>426</v>
      </c>
      <c r="G1675" s="586"/>
      <c r="H1675" s="599">
        <v>44816</v>
      </c>
      <c r="I1675" s="595">
        <f t="shared" si="131"/>
        <v>35065167.567567565</v>
      </c>
      <c r="J1675" s="595">
        <f t="shared" si="132"/>
        <v>3857168.4324324322</v>
      </c>
      <c r="K1675" s="596">
        <f>7922772+15197112+15802452</f>
        <v>38922336</v>
      </c>
      <c r="L1675" s="597"/>
    </row>
    <row r="1676" spans="1:12" x14ac:dyDescent="0.2">
      <c r="A1676" s="316">
        <v>88</v>
      </c>
      <c r="B1676" s="591" t="s">
        <v>5166</v>
      </c>
      <c r="C1676" s="598" t="s">
        <v>6037</v>
      </c>
      <c r="D1676" s="586"/>
      <c r="E1676" s="593" t="s">
        <v>1063</v>
      </c>
      <c r="F1676" s="593" t="s">
        <v>993</v>
      </c>
      <c r="G1676" s="586"/>
      <c r="H1676" s="594">
        <v>44812</v>
      </c>
      <c r="I1676" s="595">
        <f t="shared" si="131"/>
        <v>13260356.756756756</v>
      </c>
      <c r="J1676" s="595">
        <f t="shared" si="132"/>
        <v>1458639.2432432433</v>
      </c>
      <c r="K1676" s="596">
        <f>2899476+9603360+2216160</f>
        <v>14718996</v>
      </c>
      <c r="L1676" s="597"/>
    </row>
    <row r="1677" spans="1:12" x14ac:dyDescent="0.2">
      <c r="A1677" s="316">
        <v>89</v>
      </c>
      <c r="B1677" s="591" t="s">
        <v>5167</v>
      </c>
      <c r="C1677" s="598" t="s">
        <v>5769</v>
      </c>
      <c r="D1677" s="586"/>
      <c r="E1677" s="587" t="s">
        <v>1760</v>
      </c>
      <c r="F1677" s="588" t="s">
        <v>606</v>
      </c>
      <c r="G1677" s="586"/>
      <c r="H1677" s="599">
        <v>44816</v>
      </c>
      <c r="I1677" s="595">
        <f t="shared" si="131"/>
        <v>6544216.2162162159</v>
      </c>
      <c r="J1677" s="595">
        <f t="shared" si="132"/>
        <v>719863.78378378379</v>
      </c>
      <c r="K1677" s="596">
        <v>7264080</v>
      </c>
      <c r="L1677" s="597"/>
    </row>
    <row r="1678" spans="1:12" x14ac:dyDescent="0.2">
      <c r="A1678" s="316">
        <v>90</v>
      </c>
      <c r="B1678" s="591" t="s">
        <v>5168</v>
      </c>
      <c r="C1678" s="598" t="s">
        <v>5770</v>
      </c>
      <c r="D1678" s="586"/>
      <c r="E1678" s="587" t="s">
        <v>1194</v>
      </c>
      <c r="F1678" s="588" t="s">
        <v>620</v>
      </c>
      <c r="G1678" s="586"/>
      <c r="H1678" s="599">
        <v>44813</v>
      </c>
      <c r="I1678" s="595">
        <f t="shared" si="131"/>
        <v>837938.7387387387</v>
      </c>
      <c r="J1678" s="595">
        <f t="shared" si="132"/>
        <v>92173.261261261257</v>
      </c>
      <c r="K1678" s="596">
        <v>930112</v>
      </c>
      <c r="L1678" s="597"/>
    </row>
    <row r="1679" spans="1:12" x14ac:dyDescent="0.2">
      <c r="A1679" s="316">
        <v>91</v>
      </c>
      <c r="B1679" s="591" t="s">
        <v>5169</v>
      </c>
      <c r="C1679" s="598" t="s">
        <v>5771</v>
      </c>
      <c r="D1679" s="586"/>
      <c r="E1679" s="587" t="s">
        <v>1193</v>
      </c>
      <c r="F1679" s="588" t="s">
        <v>620</v>
      </c>
      <c r="G1679" s="586"/>
      <c r="H1679" s="599">
        <v>44813</v>
      </c>
      <c r="I1679" s="595">
        <f t="shared" si="131"/>
        <v>765340.54054054047</v>
      </c>
      <c r="J1679" s="595">
        <f t="shared" si="132"/>
        <v>84187.459459459453</v>
      </c>
      <c r="K1679" s="596">
        <v>849528</v>
      </c>
      <c r="L1679" s="597"/>
    </row>
    <row r="1680" spans="1:12" x14ac:dyDescent="0.2">
      <c r="A1680" s="316">
        <v>92</v>
      </c>
      <c r="B1680" s="591" t="s">
        <v>5170</v>
      </c>
      <c r="C1680" s="598" t="s">
        <v>5772</v>
      </c>
      <c r="D1680" s="586"/>
      <c r="E1680" s="587" t="s">
        <v>1765</v>
      </c>
      <c r="F1680" s="588" t="s">
        <v>579</v>
      </c>
      <c r="G1680" s="586"/>
      <c r="H1680" s="599">
        <v>44813</v>
      </c>
      <c r="I1680" s="595">
        <f t="shared" si="131"/>
        <v>893693.69369369361</v>
      </c>
      <c r="J1680" s="595">
        <f t="shared" si="132"/>
        <v>98306.306306306302</v>
      </c>
      <c r="K1680" s="596">
        <v>992000</v>
      </c>
      <c r="L1680" s="597"/>
    </row>
    <row r="1681" spans="1:12" x14ac:dyDescent="0.2">
      <c r="A1681" s="316">
        <v>93</v>
      </c>
      <c r="B1681" s="591" t="s">
        <v>5171</v>
      </c>
      <c r="C1681" s="598" t="s">
        <v>5773</v>
      </c>
      <c r="D1681" s="586"/>
      <c r="E1681" s="587" t="s">
        <v>2393</v>
      </c>
      <c r="F1681" s="588" t="s">
        <v>984</v>
      </c>
      <c r="G1681" s="586"/>
      <c r="H1681" s="599">
        <v>44814</v>
      </c>
      <c r="I1681" s="595">
        <f t="shared" si="131"/>
        <v>356756.75675675675</v>
      </c>
      <c r="J1681" s="595">
        <f t="shared" si="132"/>
        <v>39243.24324324324</v>
      </c>
      <c r="K1681" s="596">
        <v>396000</v>
      </c>
      <c r="L1681" s="597"/>
    </row>
    <row r="1682" spans="1:12" x14ac:dyDescent="0.2">
      <c r="A1682" s="316">
        <v>94</v>
      </c>
      <c r="B1682" s="591" t="s">
        <v>5172</v>
      </c>
      <c r="C1682" s="598" t="s">
        <v>5928</v>
      </c>
      <c r="D1682" s="586"/>
      <c r="E1682" s="587" t="s">
        <v>981</v>
      </c>
      <c r="F1682" s="588" t="s">
        <v>980</v>
      </c>
      <c r="G1682" s="586"/>
      <c r="H1682" s="599">
        <v>44816</v>
      </c>
      <c r="I1682" s="595">
        <f t="shared" si="131"/>
        <v>34709873.873873875</v>
      </c>
      <c r="J1682" s="595">
        <f t="shared" si="132"/>
        <v>3818086.1261261264</v>
      </c>
      <c r="K1682" s="596">
        <f>24008400+1795500+12724060</f>
        <v>38527960</v>
      </c>
      <c r="L1682" s="597"/>
    </row>
    <row r="1683" spans="1:12" x14ac:dyDescent="0.2">
      <c r="A1683" s="316">
        <v>95</v>
      </c>
      <c r="B1683" s="591" t="s">
        <v>5173</v>
      </c>
      <c r="C1683" s="598" t="s">
        <v>5776</v>
      </c>
      <c r="D1683" s="586"/>
      <c r="E1683" s="587" t="s">
        <v>1738</v>
      </c>
      <c r="F1683" s="588" t="s">
        <v>1055</v>
      </c>
      <c r="G1683" s="586"/>
      <c r="H1683" s="599">
        <v>44816</v>
      </c>
      <c r="I1683" s="595">
        <f t="shared" si="131"/>
        <v>4325837.8378378376</v>
      </c>
      <c r="J1683" s="595">
        <f t="shared" si="132"/>
        <v>475842.16216216213</v>
      </c>
      <c r="K1683" s="596">
        <v>4801680</v>
      </c>
      <c r="L1683" s="597"/>
    </row>
    <row r="1684" spans="1:12" x14ac:dyDescent="0.2">
      <c r="A1684" s="316">
        <v>96</v>
      </c>
      <c r="B1684" s="591" t="s">
        <v>5174</v>
      </c>
      <c r="C1684" s="598" t="s">
        <v>5939</v>
      </c>
      <c r="D1684" s="586"/>
      <c r="E1684" s="587" t="s">
        <v>970</v>
      </c>
      <c r="F1684" s="588" t="s">
        <v>971</v>
      </c>
      <c r="G1684" s="586"/>
      <c r="H1684" s="599">
        <v>44816</v>
      </c>
      <c r="I1684" s="595">
        <f t="shared" si="131"/>
        <v>9212740.5405405406</v>
      </c>
      <c r="J1684" s="595">
        <f t="shared" si="132"/>
        <v>1013401.4594594595</v>
      </c>
      <c r="K1684" s="596">
        <f>1487700+7779132+959310</f>
        <v>10226142</v>
      </c>
      <c r="L1684" s="597"/>
    </row>
    <row r="1685" spans="1:12" x14ac:dyDescent="0.2">
      <c r="A1685" s="316">
        <v>97</v>
      </c>
      <c r="B1685" s="591" t="s">
        <v>5175</v>
      </c>
      <c r="C1685" s="598" t="s">
        <v>5931</v>
      </c>
      <c r="D1685" s="586"/>
      <c r="E1685" s="587" t="s">
        <v>978</v>
      </c>
      <c r="F1685" s="588" t="s">
        <v>590</v>
      </c>
      <c r="G1685" s="586"/>
      <c r="H1685" s="599">
        <v>44816</v>
      </c>
      <c r="I1685" s="595">
        <f t="shared" si="131"/>
        <v>12562491.891891891</v>
      </c>
      <c r="J1685" s="595">
        <f t="shared" si="132"/>
        <v>1381874.1081081079</v>
      </c>
      <c r="K1685" s="596">
        <f>1462050+6685416+5796900</f>
        <v>13944366</v>
      </c>
      <c r="L1685" s="597"/>
    </row>
    <row r="1686" spans="1:12" x14ac:dyDescent="0.2">
      <c r="A1686" s="316">
        <v>98</v>
      </c>
      <c r="B1686" s="591" t="s">
        <v>5176</v>
      </c>
      <c r="C1686" s="598" t="s">
        <v>5777</v>
      </c>
      <c r="D1686" s="586"/>
      <c r="E1686" s="587" t="s">
        <v>5778</v>
      </c>
      <c r="F1686" s="588" t="s">
        <v>5779</v>
      </c>
      <c r="G1686" s="586"/>
      <c r="H1686" s="599">
        <v>44816</v>
      </c>
      <c r="I1686" s="595">
        <f t="shared" si="131"/>
        <v>2179864.8648648649</v>
      </c>
      <c r="J1686" s="595">
        <f t="shared" si="132"/>
        <v>239785.13513513515</v>
      </c>
      <c r="K1686" s="596">
        <v>2419650</v>
      </c>
      <c r="L1686" s="597"/>
    </row>
    <row r="1687" spans="1:12" x14ac:dyDescent="0.2">
      <c r="A1687" s="316">
        <v>99</v>
      </c>
      <c r="B1687" s="591" t="s">
        <v>5177</v>
      </c>
      <c r="C1687" s="598" t="s">
        <v>6099</v>
      </c>
      <c r="D1687" s="586"/>
      <c r="E1687" s="593" t="s">
        <v>1006</v>
      </c>
      <c r="F1687" s="593" t="s">
        <v>984</v>
      </c>
      <c r="G1687" s="586"/>
      <c r="H1687" s="594">
        <v>44816</v>
      </c>
      <c r="I1687" s="595">
        <f t="shared" si="131"/>
        <v>5705854.0540540535</v>
      </c>
      <c r="J1687" s="595">
        <f t="shared" si="132"/>
        <v>627643.94594594592</v>
      </c>
      <c r="K1687" s="596">
        <f>4392477+590976+1350045</f>
        <v>6333498</v>
      </c>
      <c r="L1687" s="597"/>
    </row>
    <row r="1688" spans="1:12" x14ac:dyDescent="0.2">
      <c r="A1688" s="316">
        <v>100</v>
      </c>
      <c r="B1688" s="591" t="s">
        <v>5178</v>
      </c>
      <c r="C1688" s="598" t="s">
        <v>5936</v>
      </c>
      <c r="D1688" s="586"/>
      <c r="E1688" s="593" t="s">
        <v>1090</v>
      </c>
      <c r="F1688" s="593" t="s">
        <v>606</v>
      </c>
      <c r="G1688" s="586"/>
      <c r="H1688" s="594">
        <v>44816</v>
      </c>
      <c r="I1688" s="595">
        <f t="shared" si="131"/>
        <v>6465956.7567567565</v>
      </c>
      <c r="J1688" s="595">
        <f t="shared" si="132"/>
        <v>711255.2432432432</v>
      </c>
      <c r="K1688" s="596">
        <f>1752750+4224042+1200420</f>
        <v>7177212</v>
      </c>
      <c r="L1688" s="597"/>
    </row>
    <row r="1689" spans="1:12" x14ac:dyDescent="0.2">
      <c r="A1689" s="316">
        <v>101</v>
      </c>
      <c r="B1689" s="591" t="s">
        <v>5179</v>
      </c>
      <c r="C1689" s="598" t="s">
        <v>6050</v>
      </c>
      <c r="D1689" s="586"/>
      <c r="E1689" s="587" t="s">
        <v>992</v>
      </c>
      <c r="F1689" s="588" t="s">
        <v>673</v>
      </c>
      <c r="G1689" s="586"/>
      <c r="H1689" s="599">
        <v>44817</v>
      </c>
      <c r="I1689" s="595">
        <f t="shared" si="131"/>
        <v>12582364.864864863</v>
      </c>
      <c r="J1689" s="595">
        <f t="shared" si="132"/>
        <v>1384060.1351351349</v>
      </c>
      <c r="K1689" s="596">
        <f>6049125+837900+7079400</f>
        <v>13966425</v>
      </c>
      <c r="L1689" s="597"/>
    </row>
    <row r="1690" spans="1:12" x14ac:dyDescent="0.2">
      <c r="A1690" s="316">
        <v>102</v>
      </c>
      <c r="B1690" s="591" t="s">
        <v>5180</v>
      </c>
      <c r="C1690" s="598" t="s">
        <v>5782</v>
      </c>
      <c r="D1690" s="586"/>
      <c r="E1690" s="587" t="s">
        <v>2715</v>
      </c>
      <c r="F1690" s="588" t="s">
        <v>1711</v>
      </c>
      <c r="G1690" s="586"/>
      <c r="H1690" s="599">
        <v>44817</v>
      </c>
      <c r="I1690" s="595">
        <f t="shared" si="131"/>
        <v>2994810.8108108104</v>
      </c>
      <c r="J1690" s="595">
        <f t="shared" si="132"/>
        <v>329429.18918918917</v>
      </c>
      <c r="K1690" s="596">
        <v>3324240</v>
      </c>
      <c r="L1690" s="597"/>
    </row>
    <row r="1691" spans="1:12" x14ac:dyDescent="0.2">
      <c r="A1691" s="316">
        <v>103</v>
      </c>
      <c r="B1691" s="591" t="s">
        <v>5181</v>
      </c>
      <c r="C1691" s="598" t="s">
        <v>5783</v>
      </c>
      <c r="D1691" s="586"/>
      <c r="E1691" s="587" t="s">
        <v>5283</v>
      </c>
      <c r="F1691" s="588" t="s">
        <v>620</v>
      </c>
      <c r="G1691" s="586"/>
      <c r="H1691" s="599">
        <v>44817</v>
      </c>
      <c r="I1691" s="595">
        <f t="shared" si="131"/>
        <v>62391.891891891886</v>
      </c>
      <c r="J1691" s="595">
        <f t="shared" si="132"/>
        <v>6863.1081081081074</v>
      </c>
      <c r="K1691" s="596">
        <v>69255</v>
      </c>
      <c r="L1691" s="597"/>
    </row>
    <row r="1692" spans="1:12" x14ac:dyDescent="0.2">
      <c r="A1692" s="316">
        <v>104</v>
      </c>
      <c r="B1692" s="591" t="s">
        <v>5182</v>
      </c>
      <c r="C1692" s="598" t="s">
        <v>5924</v>
      </c>
      <c r="D1692" s="586"/>
      <c r="E1692" s="587" t="s">
        <v>1226</v>
      </c>
      <c r="F1692" s="588" t="s">
        <v>1127</v>
      </c>
      <c r="G1692" s="586"/>
      <c r="H1692" s="599">
        <v>44818</v>
      </c>
      <c r="I1692" s="595">
        <f t="shared" si="131"/>
        <v>584172.9729729729</v>
      </c>
      <c r="J1692" s="595">
        <f t="shared" si="132"/>
        <v>64259.027027027019</v>
      </c>
      <c r="K1692" s="596">
        <v>648432</v>
      </c>
      <c r="L1692" s="597"/>
    </row>
    <row r="1693" spans="1:12" x14ac:dyDescent="0.2">
      <c r="A1693" s="316">
        <v>105</v>
      </c>
      <c r="B1693" s="591" t="s">
        <v>5183</v>
      </c>
      <c r="C1693" s="598" t="s">
        <v>6046</v>
      </c>
      <c r="D1693" s="586"/>
      <c r="E1693" s="587" t="s">
        <v>1083</v>
      </c>
      <c r="F1693" s="588" t="s">
        <v>1084</v>
      </c>
      <c r="G1693" s="586"/>
      <c r="H1693" s="599">
        <v>44818</v>
      </c>
      <c r="I1693" s="595">
        <f t="shared" si="131"/>
        <v>1129151.3513513512</v>
      </c>
      <c r="J1693" s="595">
        <f t="shared" si="132"/>
        <v>124206.64864864864</v>
      </c>
      <c r="K1693" s="596">
        <f>803358+450000</f>
        <v>1253358</v>
      </c>
      <c r="L1693" s="597"/>
    </row>
    <row r="1694" spans="1:12" x14ac:dyDescent="0.2">
      <c r="A1694" s="316">
        <v>106</v>
      </c>
      <c r="B1694" s="591" t="s">
        <v>5184</v>
      </c>
      <c r="C1694" s="598" t="s">
        <v>5925</v>
      </c>
      <c r="D1694" s="586"/>
      <c r="E1694" s="587" t="s">
        <v>1093</v>
      </c>
      <c r="F1694" s="588" t="s">
        <v>1094</v>
      </c>
      <c r="G1694" s="586"/>
      <c r="H1694" s="599">
        <v>44818</v>
      </c>
      <c r="I1694" s="595">
        <f t="shared" si="131"/>
        <v>1563956.7567567567</v>
      </c>
      <c r="J1694" s="595">
        <f t="shared" si="132"/>
        <v>172035.24324324323</v>
      </c>
      <c r="K1694" s="596">
        <v>1735992</v>
      </c>
      <c r="L1694" s="597"/>
    </row>
    <row r="1695" spans="1:12" x14ac:dyDescent="0.2">
      <c r="A1695" s="316">
        <v>107</v>
      </c>
      <c r="B1695" s="591" t="s">
        <v>5185</v>
      </c>
      <c r="C1695" s="598" t="s">
        <v>6080</v>
      </c>
      <c r="D1695" s="586"/>
      <c r="E1695" s="587" t="s">
        <v>1082</v>
      </c>
      <c r="F1695" s="588" t="s">
        <v>1058</v>
      </c>
      <c r="G1695" s="586"/>
      <c r="H1695" s="599">
        <v>44818</v>
      </c>
      <c r="I1695" s="595">
        <f t="shared" si="131"/>
        <v>10118578.378378378</v>
      </c>
      <c r="J1695" s="595">
        <f t="shared" si="132"/>
        <v>1113043.6216216215</v>
      </c>
      <c r="K1695" s="596">
        <f>4213782+2216160+4801680</f>
        <v>11231622</v>
      </c>
      <c r="L1695" s="597"/>
    </row>
    <row r="1696" spans="1:12" x14ac:dyDescent="0.2">
      <c r="A1696" s="316">
        <v>108</v>
      </c>
      <c r="B1696" s="591" t="s">
        <v>5186</v>
      </c>
      <c r="C1696" s="598" t="s">
        <v>5927</v>
      </c>
      <c r="D1696" s="586"/>
      <c r="E1696" s="587" t="s">
        <v>2712</v>
      </c>
      <c r="F1696" s="588" t="s">
        <v>1042</v>
      </c>
      <c r="G1696" s="586"/>
      <c r="H1696" s="599">
        <v>44819</v>
      </c>
      <c r="I1696" s="595">
        <f t="shared" si="131"/>
        <v>4503308.1081081079</v>
      </c>
      <c r="J1696" s="595">
        <f t="shared" si="132"/>
        <v>495363.89189189189</v>
      </c>
      <c r="K1696" s="596">
        <v>4998672</v>
      </c>
      <c r="L1696" s="597"/>
    </row>
    <row r="1697" spans="1:12" x14ac:dyDescent="0.2">
      <c r="A1697" s="316">
        <v>109</v>
      </c>
      <c r="B1697" s="591" t="s">
        <v>5187</v>
      </c>
      <c r="C1697" s="598" t="s">
        <v>5930</v>
      </c>
      <c r="D1697" s="586"/>
      <c r="E1697" s="587" t="s">
        <v>1205</v>
      </c>
      <c r="F1697" s="588" t="s">
        <v>1206</v>
      </c>
      <c r="G1697" s="586"/>
      <c r="H1697" s="599">
        <v>44823</v>
      </c>
      <c r="I1697" s="595">
        <f t="shared" si="131"/>
        <v>801081.08108108107</v>
      </c>
      <c r="J1697" s="595">
        <f t="shared" si="132"/>
        <v>88118.91891891892</v>
      </c>
      <c r="K1697" s="596">
        <v>889200</v>
      </c>
      <c r="L1697" s="597"/>
    </row>
    <row r="1698" spans="1:12" x14ac:dyDescent="0.2">
      <c r="A1698" s="316">
        <v>110</v>
      </c>
      <c r="B1698" s="591" t="s">
        <v>5188</v>
      </c>
      <c r="C1698" s="598" t="s">
        <v>5932</v>
      </c>
      <c r="D1698" s="586"/>
      <c r="E1698" s="587" t="s">
        <v>1783</v>
      </c>
      <c r="F1698" s="588" t="s">
        <v>1008</v>
      </c>
      <c r="G1698" s="586"/>
      <c r="H1698" s="599">
        <v>44819</v>
      </c>
      <c r="I1698" s="595">
        <f t="shared" si="131"/>
        <v>2698102.7027027025</v>
      </c>
      <c r="J1698" s="595">
        <f t="shared" si="132"/>
        <v>296791.29729729728</v>
      </c>
      <c r="K1698" s="596">
        <v>2994894</v>
      </c>
      <c r="L1698" s="597"/>
    </row>
    <row r="1699" spans="1:12" x14ac:dyDescent="0.2">
      <c r="A1699" s="316">
        <v>111</v>
      </c>
      <c r="B1699" s="591" t="s">
        <v>5189</v>
      </c>
      <c r="C1699" s="602" t="s">
        <v>5933</v>
      </c>
      <c r="D1699" s="603"/>
      <c r="E1699" s="604" t="s">
        <v>1243</v>
      </c>
      <c r="F1699" s="605" t="s">
        <v>1244</v>
      </c>
      <c r="G1699" s="654"/>
      <c r="H1699" s="606">
        <v>44819</v>
      </c>
      <c r="I1699" s="595">
        <f t="shared" si="131"/>
        <v>146043.24324324323</v>
      </c>
      <c r="J1699" s="595">
        <f t="shared" si="132"/>
        <v>16064.756756756755</v>
      </c>
      <c r="K1699" s="596">
        <v>162108</v>
      </c>
      <c r="L1699" s="597"/>
    </row>
    <row r="1700" spans="1:12" x14ac:dyDescent="0.2">
      <c r="A1700" s="316">
        <v>112</v>
      </c>
      <c r="B1700" s="591" t="s">
        <v>5190</v>
      </c>
      <c r="C1700" s="598" t="s">
        <v>5938</v>
      </c>
      <c r="D1700" s="586"/>
      <c r="E1700" s="593" t="s">
        <v>978</v>
      </c>
      <c r="F1700" s="593" t="s">
        <v>590</v>
      </c>
      <c r="G1700" s="586"/>
      <c r="H1700" s="599">
        <v>44820</v>
      </c>
      <c r="I1700" s="595">
        <f t="shared" si="131"/>
        <v>14299297.297297295</v>
      </c>
      <c r="J1700" s="595">
        <f t="shared" si="132"/>
        <v>1572922.7027027025</v>
      </c>
      <c r="K1700" s="596">
        <f>3508920+2975400+9387900</f>
        <v>15872220</v>
      </c>
      <c r="L1700" s="597"/>
    </row>
    <row r="1701" spans="1:12" x14ac:dyDescent="0.2">
      <c r="A1701" s="316">
        <v>113</v>
      </c>
      <c r="B1701" s="591" t="s">
        <v>5191</v>
      </c>
      <c r="C1701" s="598" t="s">
        <v>5935</v>
      </c>
      <c r="D1701" s="586"/>
      <c r="E1701" s="587" t="s">
        <v>1014</v>
      </c>
      <c r="F1701" s="588" t="s">
        <v>1015</v>
      </c>
      <c r="G1701" s="586"/>
      <c r="H1701" s="599">
        <v>44820</v>
      </c>
      <c r="I1701" s="595">
        <f t="shared" si="131"/>
        <v>1728486.4864864864</v>
      </c>
      <c r="J1701" s="595">
        <f t="shared" si="132"/>
        <v>190133.51351351349</v>
      </c>
      <c r="K1701" s="596">
        <v>1918620</v>
      </c>
      <c r="L1701" s="597"/>
    </row>
    <row r="1702" spans="1:12" x14ac:dyDescent="0.2">
      <c r="A1702" s="316">
        <v>114</v>
      </c>
      <c r="B1702" s="591" t="s">
        <v>5192</v>
      </c>
      <c r="C1702" s="598" t="s">
        <v>5937</v>
      </c>
      <c r="D1702" s="586"/>
      <c r="E1702" s="587" t="s">
        <v>1220</v>
      </c>
      <c r="F1702" s="588" t="s">
        <v>1221</v>
      </c>
      <c r="G1702" s="586"/>
      <c r="H1702" s="599">
        <v>44821</v>
      </c>
      <c r="I1702" s="595">
        <f t="shared" si="131"/>
        <v>2574243.2432432431</v>
      </c>
      <c r="J1702" s="595">
        <f t="shared" si="132"/>
        <v>283166.75675675675</v>
      </c>
      <c r="K1702" s="596">
        <v>2857410</v>
      </c>
      <c r="L1702" s="597"/>
    </row>
    <row r="1703" spans="1:12" x14ac:dyDescent="0.2">
      <c r="A1703" s="316">
        <v>115</v>
      </c>
      <c r="B1703" s="591" t="s">
        <v>5193</v>
      </c>
      <c r="C1703" s="598" t="s">
        <v>6036</v>
      </c>
      <c r="D1703" s="586"/>
      <c r="E1703" s="587" t="s">
        <v>1054</v>
      </c>
      <c r="F1703" s="588" t="s">
        <v>1055</v>
      </c>
      <c r="G1703" s="586"/>
      <c r="H1703" s="599">
        <v>44823</v>
      </c>
      <c r="I1703" s="595">
        <f t="shared" si="131"/>
        <v>7164437.8378378376</v>
      </c>
      <c r="J1703" s="595">
        <f t="shared" si="132"/>
        <v>788088.16216216213</v>
      </c>
      <c r="K1703" s="596">
        <f>819774+4326642+2806110</f>
        <v>7952526</v>
      </c>
      <c r="L1703" s="597"/>
    </row>
    <row r="1704" spans="1:12" x14ac:dyDescent="0.2">
      <c r="A1704" s="316">
        <v>116</v>
      </c>
      <c r="B1704" s="591" t="s">
        <v>5194</v>
      </c>
      <c r="C1704" s="598" t="s">
        <v>5942</v>
      </c>
      <c r="D1704" s="586"/>
      <c r="E1704" s="587" t="s">
        <v>1032</v>
      </c>
      <c r="F1704" s="588" t="s">
        <v>1033</v>
      </c>
      <c r="G1704" s="586"/>
      <c r="H1704" s="599">
        <v>44823</v>
      </c>
      <c r="I1704" s="595">
        <f t="shared" si="131"/>
        <v>2972972.9729729728</v>
      </c>
      <c r="J1704" s="595">
        <f t="shared" si="132"/>
        <v>327027.02702702698</v>
      </c>
      <c r="K1704" s="596">
        <v>3300000</v>
      </c>
      <c r="L1704" s="597"/>
    </row>
    <row r="1705" spans="1:12" x14ac:dyDescent="0.2">
      <c r="A1705" s="316">
        <v>117</v>
      </c>
      <c r="B1705" s="591" t="s">
        <v>5195</v>
      </c>
      <c r="C1705" s="598" t="s">
        <v>6051</v>
      </c>
      <c r="D1705" s="586"/>
      <c r="E1705" s="587" t="s">
        <v>1090</v>
      </c>
      <c r="F1705" s="588" t="s">
        <v>606</v>
      </c>
      <c r="G1705" s="586"/>
      <c r="H1705" s="599">
        <v>44823</v>
      </c>
      <c r="I1705" s="595">
        <f t="shared" si="131"/>
        <v>16615962.162162161</v>
      </c>
      <c r="J1705" s="595">
        <f t="shared" si="132"/>
        <v>1827755.8378378376</v>
      </c>
      <c r="K1705" s="596">
        <f>2376900+6167970+9898848</f>
        <v>18443718</v>
      </c>
      <c r="L1705" s="597"/>
    </row>
    <row r="1706" spans="1:12" x14ac:dyDescent="0.2">
      <c r="A1706" s="316">
        <v>118</v>
      </c>
      <c r="B1706" s="591" t="s">
        <v>5196</v>
      </c>
      <c r="C1706" s="598" t="s">
        <v>6071</v>
      </c>
      <c r="D1706" s="586"/>
      <c r="E1706" s="587" t="s">
        <v>1744</v>
      </c>
      <c r="F1706" s="588" t="s">
        <v>1745</v>
      </c>
      <c r="G1706" s="586"/>
      <c r="H1706" s="599">
        <v>44823</v>
      </c>
      <c r="I1706" s="595">
        <f t="shared" si="131"/>
        <v>1975281.0810810809</v>
      </c>
      <c r="J1706" s="595">
        <f t="shared" si="132"/>
        <v>217280.91891891891</v>
      </c>
      <c r="K1706" s="596">
        <f>1826280+366282</f>
        <v>2192562</v>
      </c>
      <c r="L1706" s="597"/>
    </row>
    <row r="1707" spans="1:12" x14ac:dyDescent="0.2">
      <c r="A1707" s="316">
        <v>119</v>
      </c>
      <c r="B1707" s="591" t="s">
        <v>5197</v>
      </c>
      <c r="C1707" s="598" t="s">
        <v>5961</v>
      </c>
      <c r="D1707" s="586"/>
      <c r="E1707" s="587" t="s">
        <v>5962</v>
      </c>
      <c r="F1707" s="588" t="s">
        <v>5963</v>
      </c>
      <c r="G1707" s="586"/>
      <c r="H1707" s="599">
        <v>44823</v>
      </c>
      <c r="I1707" s="595">
        <f t="shared" si="131"/>
        <v>549972.9729729729</v>
      </c>
      <c r="J1707" s="595">
        <f t="shared" si="132"/>
        <v>60497.027027027019</v>
      </c>
      <c r="K1707" s="596">
        <v>610470</v>
      </c>
      <c r="L1707" s="597"/>
    </row>
    <row r="1708" spans="1:12" x14ac:dyDescent="0.2">
      <c r="A1708" s="316">
        <v>120</v>
      </c>
      <c r="B1708" s="591" t="s">
        <v>5198</v>
      </c>
      <c r="C1708" s="598" t="s">
        <v>5964</v>
      </c>
      <c r="D1708" s="586"/>
      <c r="E1708" s="587" t="s">
        <v>3001</v>
      </c>
      <c r="F1708" s="588" t="s">
        <v>2368</v>
      </c>
      <c r="G1708" s="586"/>
      <c r="H1708" s="599">
        <v>44815</v>
      </c>
      <c r="I1708" s="595">
        <f t="shared" si="131"/>
        <v>173772.97297297296</v>
      </c>
      <c r="J1708" s="595">
        <f t="shared" si="132"/>
        <v>19115.027027027027</v>
      </c>
      <c r="K1708" s="596">
        <v>192888</v>
      </c>
      <c r="L1708" s="597"/>
    </row>
    <row r="1709" spans="1:12" x14ac:dyDescent="0.2">
      <c r="A1709" s="316">
        <v>121</v>
      </c>
      <c r="B1709" s="591" t="s">
        <v>5199</v>
      </c>
      <c r="C1709" s="598" t="s">
        <v>5973</v>
      </c>
      <c r="D1709" s="586"/>
      <c r="E1709" s="587" t="s">
        <v>1029</v>
      </c>
      <c r="F1709" s="588" t="s">
        <v>966</v>
      </c>
      <c r="G1709" s="586"/>
      <c r="H1709" s="599">
        <v>44809</v>
      </c>
      <c r="I1709" s="595">
        <f t="shared" si="131"/>
        <v>15297567.567567566</v>
      </c>
      <c r="J1709" s="595">
        <f t="shared" si="132"/>
        <v>1682732.4324324324</v>
      </c>
      <c r="K1709" s="596">
        <f>6853680+5047920+5078700</f>
        <v>16980300</v>
      </c>
      <c r="L1709" s="597"/>
    </row>
    <row r="1710" spans="1:12" x14ac:dyDescent="0.2">
      <c r="A1710" s="316">
        <v>122</v>
      </c>
      <c r="B1710" s="591" t="s">
        <v>5200</v>
      </c>
      <c r="C1710" s="602" t="s">
        <v>5965</v>
      </c>
      <c r="D1710" s="603"/>
      <c r="E1710" s="604" t="s">
        <v>2576</v>
      </c>
      <c r="F1710" s="605" t="s">
        <v>2368</v>
      </c>
      <c r="G1710" s="654"/>
      <c r="H1710" s="606">
        <v>44810</v>
      </c>
      <c r="I1710" s="595">
        <f t="shared" si="131"/>
        <v>22888656.756756756</v>
      </c>
      <c r="J1710" s="595">
        <f t="shared" si="132"/>
        <v>2517752.2432432431</v>
      </c>
      <c r="K1710" s="596">
        <f>1428192+9125841+1354320+9603360+3894696</f>
        <v>25406409</v>
      </c>
      <c r="L1710" s="597"/>
    </row>
    <row r="1711" spans="1:12" x14ac:dyDescent="0.2">
      <c r="A1711" s="316">
        <v>123</v>
      </c>
      <c r="B1711" s="591" t="s">
        <v>5201</v>
      </c>
      <c r="C1711" s="598" t="s">
        <v>5966</v>
      </c>
      <c r="D1711" s="586"/>
      <c r="E1711" s="593" t="s">
        <v>974</v>
      </c>
      <c r="F1711" s="593" t="s">
        <v>975</v>
      </c>
      <c r="G1711" s="586"/>
      <c r="H1711" s="599">
        <v>44810</v>
      </c>
      <c r="I1711" s="595">
        <f t="shared" si="131"/>
        <v>3220720.7207207205</v>
      </c>
      <c r="J1711" s="595">
        <f t="shared" si="132"/>
        <v>354279.27927927923</v>
      </c>
      <c r="K1711" s="596">
        <f>2900000+675000</f>
        <v>3575000</v>
      </c>
      <c r="L1711" s="597"/>
    </row>
    <row r="1712" spans="1:12" x14ac:dyDescent="0.2">
      <c r="A1712" s="316">
        <v>124</v>
      </c>
      <c r="B1712" s="591" t="s">
        <v>5202</v>
      </c>
      <c r="C1712" s="598" t="s">
        <v>5969</v>
      </c>
      <c r="D1712" s="586"/>
      <c r="E1712" s="587" t="s">
        <v>1869</v>
      </c>
      <c r="F1712" s="588" t="s">
        <v>1022</v>
      </c>
      <c r="G1712" s="586"/>
      <c r="H1712" s="599">
        <v>44816</v>
      </c>
      <c r="I1712" s="595">
        <f t="shared" si="131"/>
        <v>32322478.378378376</v>
      </c>
      <c r="J1712" s="595">
        <f t="shared" si="132"/>
        <v>3555472.6216216213</v>
      </c>
      <c r="K1712" s="596">
        <f>18185607+17692344</f>
        <v>35877951</v>
      </c>
      <c r="L1712" s="597"/>
    </row>
    <row r="1713" spans="1:12" x14ac:dyDescent="0.2">
      <c r="A1713" s="316">
        <v>125</v>
      </c>
      <c r="B1713" s="591" t="s">
        <v>5203</v>
      </c>
      <c r="C1713" s="598" t="s">
        <v>5968</v>
      </c>
      <c r="D1713" s="586"/>
      <c r="E1713" s="587" t="s">
        <v>1869</v>
      </c>
      <c r="F1713" s="588" t="s">
        <v>1022</v>
      </c>
      <c r="G1713" s="586"/>
      <c r="H1713" s="599">
        <v>44834</v>
      </c>
      <c r="I1713" s="595">
        <f t="shared" si="131"/>
        <v>31804767.567567565</v>
      </c>
      <c r="J1713" s="595">
        <f t="shared" si="132"/>
        <v>3498524.4324324322</v>
      </c>
      <c r="K1713" s="596">
        <v>35303292</v>
      </c>
      <c r="L1713" s="597"/>
    </row>
    <row r="1714" spans="1:12" x14ac:dyDescent="0.2">
      <c r="A1714" s="316">
        <v>126</v>
      </c>
      <c r="B1714" s="591" t="s">
        <v>5204</v>
      </c>
      <c r="C1714" s="598" t="s">
        <v>5972</v>
      </c>
      <c r="D1714" s="586"/>
      <c r="E1714" s="587" t="s">
        <v>965</v>
      </c>
      <c r="F1714" s="588" t="s">
        <v>966</v>
      </c>
      <c r="G1714" s="586"/>
      <c r="H1714" s="599">
        <v>44812</v>
      </c>
      <c r="I1714" s="595">
        <f t="shared" si="131"/>
        <v>19780540.540540539</v>
      </c>
      <c r="J1714" s="595">
        <f t="shared" si="132"/>
        <v>2175859.4594594594</v>
      </c>
      <c r="K1714" s="596">
        <f>10212804+4310226+7433370</f>
        <v>21956400</v>
      </c>
      <c r="L1714" s="597"/>
    </row>
    <row r="1715" spans="1:12" x14ac:dyDescent="0.2">
      <c r="A1715" s="316">
        <v>127</v>
      </c>
      <c r="B1715" s="591" t="s">
        <v>5205</v>
      </c>
      <c r="C1715" s="598" t="s">
        <v>5970</v>
      </c>
      <c r="D1715" s="586"/>
      <c r="E1715" s="587" t="s">
        <v>1062</v>
      </c>
      <c r="F1715" s="588" t="s">
        <v>966</v>
      </c>
      <c r="G1715" s="586"/>
      <c r="H1715" s="599">
        <v>44816</v>
      </c>
      <c r="I1715" s="595">
        <f t="shared" si="131"/>
        <v>14046032.432432432</v>
      </c>
      <c r="J1715" s="595">
        <f t="shared" si="132"/>
        <v>1545063.5675675676</v>
      </c>
      <c r="K1715" s="596">
        <f>2123820+7200468+6266808</f>
        <v>15591096</v>
      </c>
      <c r="L1715" s="597"/>
    </row>
    <row r="1716" spans="1:12" x14ac:dyDescent="0.2">
      <c r="A1716" s="316">
        <v>128</v>
      </c>
      <c r="B1716" s="591" t="s">
        <v>5206</v>
      </c>
      <c r="C1716" s="598" t="s">
        <v>6054</v>
      </c>
      <c r="D1716" s="586"/>
      <c r="E1716" s="587" t="s">
        <v>1062</v>
      </c>
      <c r="F1716" s="588" t="s">
        <v>966</v>
      </c>
      <c r="G1716" s="586"/>
      <c r="H1716" s="599">
        <v>44819</v>
      </c>
      <c r="I1716" s="595">
        <f t="shared" si="131"/>
        <v>28756654.054054052</v>
      </c>
      <c r="J1716" s="595">
        <f t="shared" si="132"/>
        <v>3163231.9459459456</v>
      </c>
      <c r="K1716" s="596">
        <f>7372836+13025070+11521980</f>
        <v>31919886</v>
      </c>
      <c r="L1716" s="597"/>
    </row>
    <row r="1717" spans="1:12" x14ac:dyDescent="0.2">
      <c r="A1717" s="316">
        <v>129</v>
      </c>
      <c r="B1717" s="591" t="s">
        <v>5207</v>
      </c>
      <c r="C1717" s="598" t="s">
        <v>5971</v>
      </c>
      <c r="D1717" s="586"/>
      <c r="E1717" s="587" t="s">
        <v>2585</v>
      </c>
      <c r="F1717" s="588" t="s">
        <v>587</v>
      </c>
      <c r="G1717" s="586"/>
      <c r="H1717" s="599">
        <v>44819</v>
      </c>
      <c r="I1717" s="595">
        <f t="shared" si="131"/>
        <v>243243.24324324323</v>
      </c>
      <c r="J1717" s="595">
        <f t="shared" si="132"/>
        <v>26756.756756756757</v>
      </c>
      <c r="K1717" s="596">
        <v>270000</v>
      </c>
      <c r="L1717" s="597"/>
    </row>
    <row r="1718" spans="1:12" x14ac:dyDescent="0.2">
      <c r="A1718" s="316">
        <v>130</v>
      </c>
      <c r="B1718" s="591" t="s">
        <v>5208</v>
      </c>
      <c r="C1718" s="598" t="s">
        <v>6073</v>
      </c>
      <c r="D1718" s="586"/>
      <c r="E1718" s="587" t="s">
        <v>1315</v>
      </c>
      <c r="F1718" s="588" t="s">
        <v>966</v>
      </c>
      <c r="G1718" s="586"/>
      <c r="H1718" s="599">
        <v>44820</v>
      </c>
      <c r="I1718" s="595">
        <f t="shared" si="131"/>
        <v>12965805.405405404</v>
      </c>
      <c r="J1718" s="595">
        <f t="shared" si="132"/>
        <v>1426238.5945945946</v>
      </c>
      <c r="K1718" s="596">
        <f>8848224+2520000+3023820</f>
        <v>14392044</v>
      </c>
      <c r="L1718" s="597"/>
    </row>
    <row r="1719" spans="1:12" x14ac:dyDescent="0.2">
      <c r="A1719" s="316">
        <v>131</v>
      </c>
      <c r="B1719" s="591" t="s">
        <v>5209</v>
      </c>
      <c r="C1719" s="598" t="s">
        <v>6075</v>
      </c>
      <c r="D1719" s="586"/>
      <c r="E1719" s="587" t="s">
        <v>972</v>
      </c>
      <c r="F1719" s="588" t="s">
        <v>966</v>
      </c>
      <c r="G1719" s="586"/>
      <c r="H1719" s="599">
        <v>44820</v>
      </c>
      <c r="I1719" s="595">
        <f t="shared" si="131"/>
        <v>16661099.999999998</v>
      </c>
      <c r="J1719" s="595">
        <f t="shared" si="132"/>
        <v>1832720.9999999998</v>
      </c>
      <c r="K1719" s="596">
        <f>1551312+9776925+7165584</f>
        <v>18493821</v>
      </c>
      <c r="L1719" s="597"/>
    </row>
    <row r="1720" spans="1:12" x14ac:dyDescent="0.2">
      <c r="A1720" s="316">
        <v>132</v>
      </c>
      <c r="B1720" s="591" t="s">
        <v>5210</v>
      </c>
      <c r="C1720" s="598" t="s">
        <v>6076</v>
      </c>
      <c r="D1720" s="586"/>
      <c r="E1720" s="587" t="s">
        <v>969</v>
      </c>
      <c r="F1720" s="588" t="s">
        <v>966</v>
      </c>
      <c r="G1720" s="586"/>
      <c r="H1720" s="599">
        <v>44823</v>
      </c>
      <c r="I1720" s="595">
        <f t="shared" si="131"/>
        <v>23018602.702702701</v>
      </c>
      <c r="J1720" s="595">
        <f t="shared" si="132"/>
        <v>2532046.297297297</v>
      </c>
      <c r="K1720" s="596">
        <f>4653936+4760640+16136073</f>
        <v>25550649</v>
      </c>
      <c r="L1720" s="597"/>
    </row>
    <row r="1721" spans="1:12" x14ac:dyDescent="0.2">
      <c r="A1721" s="316">
        <v>133</v>
      </c>
      <c r="B1721" s="591" t="s">
        <v>5211</v>
      </c>
      <c r="C1721" s="602" t="s">
        <v>3223</v>
      </c>
      <c r="D1721" s="603"/>
      <c r="E1721" s="604" t="s">
        <v>1325</v>
      </c>
      <c r="F1721" s="605" t="s">
        <v>579</v>
      </c>
      <c r="G1721" s="654"/>
      <c r="H1721" s="606">
        <v>44824</v>
      </c>
      <c r="I1721" s="595">
        <f t="shared" si="131"/>
        <v>399999.99999999994</v>
      </c>
      <c r="J1721" s="595">
        <f t="shared" si="132"/>
        <v>43999.999999999993</v>
      </c>
      <c r="K1721" s="596">
        <v>444000</v>
      </c>
      <c r="L1721" s="597"/>
    </row>
    <row r="1722" spans="1:12" x14ac:dyDescent="0.2">
      <c r="A1722" s="316">
        <v>134</v>
      </c>
      <c r="B1722" s="591" t="s">
        <v>5212</v>
      </c>
      <c r="C1722" s="598" t="s">
        <v>6031</v>
      </c>
      <c r="D1722" s="586"/>
      <c r="E1722" s="593" t="s">
        <v>1210</v>
      </c>
      <c r="F1722" s="593" t="s">
        <v>1127</v>
      </c>
      <c r="G1722" s="586"/>
      <c r="H1722" s="599">
        <v>44824</v>
      </c>
      <c r="I1722" s="595">
        <f t="shared" si="131"/>
        <v>2982794.5945945946</v>
      </c>
      <c r="J1722" s="595">
        <f t="shared" si="132"/>
        <v>328107.40540540538</v>
      </c>
      <c r="K1722" s="596">
        <v>3310902</v>
      </c>
      <c r="L1722" s="597"/>
    </row>
    <row r="1723" spans="1:12" x14ac:dyDescent="0.2">
      <c r="A1723" s="316">
        <v>135</v>
      </c>
      <c r="B1723" s="591" t="s">
        <v>5213</v>
      </c>
      <c r="C1723" s="598" t="s">
        <v>6032</v>
      </c>
      <c r="D1723" s="586"/>
      <c r="E1723" s="587" t="s">
        <v>2739</v>
      </c>
      <c r="F1723" s="588" t="s">
        <v>2740</v>
      </c>
      <c r="G1723" s="586"/>
      <c r="H1723" s="599">
        <v>44825</v>
      </c>
      <c r="I1723" s="595">
        <f t="shared" si="131"/>
        <v>3024612.6126126125</v>
      </c>
      <c r="J1723" s="595">
        <f t="shared" si="132"/>
        <v>332707.3873873874</v>
      </c>
      <c r="K1723" s="596">
        <f>2353806+1003514</f>
        <v>3357320</v>
      </c>
      <c r="L1723" s="597"/>
    </row>
    <row r="1724" spans="1:12" x14ac:dyDescent="0.2">
      <c r="A1724" s="316">
        <v>136</v>
      </c>
      <c r="B1724" s="591" t="s">
        <v>5214</v>
      </c>
      <c r="C1724" s="598" t="s">
        <v>6077</v>
      </c>
      <c r="D1724" s="586"/>
      <c r="E1724" s="587" t="s">
        <v>981</v>
      </c>
      <c r="F1724" s="588" t="s">
        <v>980</v>
      </c>
      <c r="G1724" s="586"/>
      <c r="H1724" s="599">
        <v>44825</v>
      </c>
      <c r="I1724" s="595">
        <f t="shared" si="131"/>
        <v>14768245.045045044</v>
      </c>
      <c r="J1724" s="595">
        <f t="shared" si="132"/>
        <v>1624506.9549549548</v>
      </c>
      <c r="K1724" s="596">
        <f>12223088+1805760+2363904</f>
        <v>16392752</v>
      </c>
      <c r="L1724" s="597"/>
    </row>
    <row r="1725" spans="1:12" x14ac:dyDescent="0.2">
      <c r="A1725" s="316">
        <v>137</v>
      </c>
      <c r="B1725" s="591" t="s">
        <v>5215</v>
      </c>
      <c r="C1725" s="598" t="s">
        <v>6049</v>
      </c>
      <c r="D1725" s="586"/>
      <c r="E1725" s="587" t="s">
        <v>992</v>
      </c>
      <c r="F1725" s="588" t="s">
        <v>1075</v>
      </c>
      <c r="G1725" s="586"/>
      <c r="H1725" s="599">
        <v>44825</v>
      </c>
      <c r="I1725" s="595">
        <f t="shared" si="131"/>
        <v>8018513.5135135129</v>
      </c>
      <c r="J1725" s="595">
        <f t="shared" si="132"/>
        <v>882036.48648648639</v>
      </c>
      <c r="K1725" s="596">
        <f>656640+1462050+6781860</f>
        <v>8900550</v>
      </c>
      <c r="L1725" s="597"/>
    </row>
    <row r="1726" spans="1:12" x14ac:dyDescent="0.2">
      <c r="A1726" s="316">
        <v>138</v>
      </c>
      <c r="B1726" s="591" t="s">
        <v>5216</v>
      </c>
      <c r="C1726" s="598" t="s">
        <v>6066</v>
      </c>
      <c r="D1726" s="586"/>
      <c r="E1726" s="587" t="s">
        <v>979</v>
      </c>
      <c r="F1726" s="588" t="s">
        <v>980</v>
      </c>
      <c r="G1726" s="586"/>
      <c r="H1726" s="599">
        <v>44825</v>
      </c>
      <c r="I1726" s="595">
        <f t="shared" si="131"/>
        <v>16081961.26126126</v>
      </c>
      <c r="J1726" s="595">
        <f t="shared" si="132"/>
        <v>1769015.7387387387</v>
      </c>
      <c r="K1726" s="596">
        <f>4654565+12106800+1089612</f>
        <v>17850977</v>
      </c>
      <c r="L1726" s="597"/>
    </row>
    <row r="1727" spans="1:12" x14ac:dyDescent="0.2">
      <c r="A1727" s="316">
        <v>139</v>
      </c>
      <c r="B1727" s="591" t="s">
        <v>5217</v>
      </c>
      <c r="C1727" s="598" t="s">
        <v>6097</v>
      </c>
      <c r="D1727" s="586"/>
      <c r="E1727" s="587" t="s">
        <v>1712</v>
      </c>
      <c r="F1727" s="588" t="s">
        <v>1094</v>
      </c>
      <c r="G1727" s="586"/>
      <c r="H1727" s="599">
        <v>44825</v>
      </c>
      <c r="I1727" s="595">
        <f t="shared" si="131"/>
        <v>8536036.036036035</v>
      </c>
      <c r="J1727" s="595">
        <f t="shared" si="132"/>
        <v>938963.96396396391</v>
      </c>
      <c r="K1727" s="596">
        <f>1650000+2790000+5035000</f>
        <v>9475000</v>
      </c>
      <c r="L1727" s="597"/>
    </row>
    <row r="1728" spans="1:12" x14ac:dyDescent="0.2">
      <c r="A1728" s="316">
        <v>140</v>
      </c>
      <c r="B1728" s="591" t="s">
        <v>5218</v>
      </c>
      <c r="C1728" s="598" t="s">
        <v>6053</v>
      </c>
      <c r="D1728" s="586"/>
      <c r="E1728" s="587" t="s">
        <v>1317</v>
      </c>
      <c r="F1728" s="588" t="s">
        <v>966</v>
      </c>
      <c r="G1728" s="586"/>
      <c r="H1728" s="599">
        <v>44826</v>
      </c>
      <c r="I1728" s="595">
        <f t="shared" si="131"/>
        <v>8620248.6486486476</v>
      </c>
      <c r="J1728" s="595">
        <f t="shared" si="132"/>
        <v>948227.35135135124</v>
      </c>
      <c r="K1728" s="596">
        <f>2123820+7444656</f>
        <v>9568476</v>
      </c>
      <c r="L1728" s="597"/>
    </row>
    <row r="1729" spans="1:12" x14ac:dyDescent="0.2">
      <c r="A1729" s="316">
        <v>141</v>
      </c>
      <c r="B1729" s="591" t="s">
        <v>5219</v>
      </c>
      <c r="C1729" s="598" t="s">
        <v>6086</v>
      </c>
      <c r="D1729" s="586"/>
      <c r="E1729" s="587" t="s">
        <v>965</v>
      </c>
      <c r="F1729" s="588" t="s">
        <v>966</v>
      </c>
      <c r="G1729" s="586"/>
      <c r="H1729" s="599">
        <v>44826</v>
      </c>
      <c r="I1729" s="595">
        <f t="shared" si="131"/>
        <v>12039847.747747747</v>
      </c>
      <c r="J1729" s="595">
        <f t="shared" si="132"/>
        <v>1324383.2522522523</v>
      </c>
      <c r="K1729" s="596">
        <f>2694447+7054160+3615624</f>
        <v>13364231</v>
      </c>
      <c r="L1729" s="597"/>
    </row>
    <row r="1730" spans="1:12" x14ac:dyDescent="0.2">
      <c r="A1730" s="316">
        <v>142</v>
      </c>
      <c r="B1730" s="591" t="s">
        <v>5220</v>
      </c>
      <c r="C1730" s="598" t="s">
        <v>6058</v>
      </c>
      <c r="D1730" s="586"/>
      <c r="E1730" s="587" t="s">
        <v>1036</v>
      </c>
      <c r="F1730" s="588" t="s">
        <v>1008</v>
      </c>
      <c r="G1730" s="586"/>
      <c r="H1730" s="599">
        <v>44826</v>
      </c>
      <c r="I1730" s="595">
        <f t="shared" si="131"/>
        <v>2637097.297297297</v>
      </c>
      <c r="J1730" s="595">
        <f t="shared" si="132"/>
        <v>290080.70270270266</v>
      </c>
      <c r="K1730" s="596">
        <f>1554390+1372788</f>
        <v>2927178</v>
      </c>
      <c r="L1730" s="597"/>
    </row>
    <row r="1731" spans="1:12" x14ac:dyDescent="0.2">
      <c r="A1731" s="316">
        <v>143</v>
      </c>
      <c r="B1731" s="591" t="s">
        <v>5221</v>
      </c>
      <c r="C1731" s="598" t="s">
        <v>6044</v>
      </c>
      <c r="D1731" s="586"/>
      <c r="E1731" s="587" t="s">
        <v>1750</v>
      </c>
      <c r="F1731" s="588" t="s">
        <v>1328</v>
      </c>
      <c r="G1731" s="586"/>
      <c r="H1731" s="599">
        <v>44826</v>
      </c>
      <c r="I1731" s="595">
        <f t="shared" si="131"/>
        <v>1476608.1081081079</v>
      </c>
      <c r="J1731" s="595">
        <f t="shared" si="132"/>
        <v>162426.89189189186</v>
      </c>
      <c r="K1731" s="596">
        <v>1639035</v>
      </c>
      <c r="L1731" s="597"/>
    </row>
    <row r="1732" spans="1:12" x14ac:dyDescent="0.2">
      <c r="A1732" s="316">
        <v>144</v>
      </c>
      <c r="B1732" s="591" t="s">
        <v>5222</v>
      </c>
      <c r="C1732" s="602" t="s">
        <v>6045</v>
      </c>
      <c r="D1732" s="603"/>
      <c r="E1732" s="604" t="s">
        <v>4755</v>
      </c>
      <c r="F1732" s="605" t="s">
        <v>993</v>
      </c>
      <c r="G1732" s="654"/>
      <c r="H1732" s="606">
        <v>44826</v>
      </c>
      <c r="I1732" s="595">
        <f t="shared" ref="I1732:I1803" si="133">K1732/1.11</f>
        <v>696478.37837837834</v>
      </c>
      <c r="J1732" s="595">
        <f t="shared" ref="J1732:J1803" si="134">I1732*11%</f>
        <v>76612.621621621613</v>
      </c>
      <c r="K1732" s="596">
        <v>773091</v>
      </c>
      <c r="L1732" s="597"/>
    </row>
    <row r="1733" spans="1:12" x14ac:dyDescent="0.2">
      <c r="A1733" s="316">
        <v>145</v>
      </c>
      <c r="B1733" s="591" t="s">
        <v>5223</v>
      </c>
      <c r="C1733" s="598" t="s">
        <v>6068</v>
      </c>
      <c r="D1733" s="586"/>
      <c r="E1733" s="593" t="s">
        <v>992</v>
      </c>
      <c r="F1733" s="593" t="s">
        <v>993</v>
      </c>
      <c r="G1733" s="586"/>
      <c r="H1733" s="599">
        <v>44826</v>
      </c>
      <c r="I1733" s="595">
        <f t="shared" si="133"/>
        <v>10470281.081081079</v>
      </c>
      <c r="J1733" s="595">
        <f t="shared" si="134"/>
        <v>1151730.9189189188</v>
      </c>
      <c r="K1733" s="596">
        <f>4807320+1277370+5537322</f>
        <v>11622012</v>
      </c>
      <c r="L1733" s="597"/>
    </row>
    <row r="1734" spans="1:12" x14ac:dyDescent="0.2">
      <c r="A1734" s="316">
        <v>146</v>
      </c>
      <c r="B1734" s="591" t="s">
        <v>5224</v>
      </c>
      <c r="C1734" s="598" t="s">
        <v>6047</v>
      </c>
      <c r="D1734" s="586"/>
      <c r="E1734" s="587" t="s">
        <v>1747</v>
      </c>
      <c r="F1734" s="588" t="s">
        <v>1745</v>
      </c>
      <c r="G1734" s="586"/>
      <c r="H1734" s="599">
        <v>44827</v>
      </c>
      <c r="I1734" s="595">
        <f t="shared" si="133"/>
        <v>116464.86486486485</v>
      </c>
      <c r="J1734" s="595">
        <f t="shared" si="134"/>
        <v>12811.135135135133</v>
      </c>
      <c r="K1734" s="596">
        <v>129276</v>
      </c>
      <c r="L1734" s="597"/>
    </row>
    <row r="1735" spans="1:12" x14ac:dyDescent="0.2">
      <c r="A1735" s="316">
        <v>147</v>
      </c>
      <c r="B1735" s="591" t="s">
        <v>5225</v>
      </c>
      <c r="C1735" s="598" t="s">
        <v>6079</v>
      </c>
      <c r="D1735" s="586"/>
      <c r="E1735" s="587" t="s">
        <v>1054</v>
      </c>
      <c r="F1735" s="588" t="s">
        <v>1055</v>
      </c>
      <c r="G1735" s="586"/>
      <c r="H1735" s="599">
        <v>44827</v>
      </c>
      <c r="I1735" s="595">
        <f t="shared" si="133"/>
        <v>4052237.8378378376</v>
      </c>
      <c r="J1735" s="595">
        <f t="shared" si="134"/>
        <v>445746.16216216213</v>
      </c>
      <c r="K1735" s="596">
        <f>1608768+2889216</f>
        <v>4497984</v>
      </c>
      <c r="L1735" s="597"/>
    </row>
    <row r="1736" spans="1:12" x14ac:dyDescent="0.2">
      <c r="A1736" s="316">
        <v>148</v>
      </c>
      <c r="B1736" s="591" t="s">
        <v>5226</v>
      </c>
      <c r="C1736" s="598" t="s">
        <v>6078</v>
      </c>
      <c r="D1736" s="586"/>
      <c r="E1736" s="587" t="s">
        <v>985</v>
      </c>
      <c r="F1736" s="588" t="s">
        <v>426</v>
      </c>
      <c r="G1736" s="586"/>
      <c r="H1736" s="599">
        <v>44827</v>
      </c>
      <c r="I1736" s="595">
        <f t="shared" si="133"/>
        <v>34233583.783783779</v>
      </c>
      <c r="J1736" s="595">
        <f t="shared" si="134"/>
        <v>3765694.2162162159</v>
      </c>
      <c r="K1736" s="596">
        <f>20968533+17030745</f>
        <v>37999278</v>
      </c>
      <c r="L1736" s="597"/>
    </row>
    <row r="1737" spans="1:12" x14ac:dyDescent="0.2">
      <c r="A1737" s="316">
        <v>149</v>
      </c>
      <c r="B1737" s="591" t="s">
        <v>5227</v>
      </c>
      <c r="C1737" s="598" t="s">
        <v>6095</v>
      </c>
      <c r="D1737" s="586"/>
      <c r="E1737" s="587" t="s">
        <v>1082</v>
      </c>
      <c r="F1737" s="588" t="s">
        <v>1058</v>
      </c>
      <c r="G1737" s="586"/>
      <c r="H1737" s="599">
        <v>44827</v>
      </c>
      <c r="I1737" s="595">
        <f t="shared" si="133"/>
        <v>11149970.270270269</v>
      </c>
      <c r="J1737" s="595">
        <f t="shared" si="134"/>
        <v>1226496.7297297297</v>
      </c>
      <c r="K1737" s="596">
        <f>11200842+1175625</f>
        <v>12376467</v>
      </c>
      <c r="L1737" s="597"/>
    </row>
    <row r="1738" spans="1:12" x14ac:dyDescent="0.2">
      <c r="A1738" s="316">
        <v>150</v>
      </c>
      <c r="B1738" s="591" t="s">
        <v>5228</v>
      </c>
      <c r="C1738" s="598" t="s">
        <v>6082</v>
      </c>
      <c r="D1738" s="586"/>
      <c r="E1738" s="587" t="s">
        <v>986</v>
      </c>
      <c r="F1738" s="588" t="s">
        <v>980</v>
      </c>
      <c r="G1738" s="586"/>
      <c r="H1738" s="599">
        <v>44827</v>
      </c>
      <c r="I1738" s="595">
        <f t="shared" si="133"/>
        <v>5386962.1621621614</v>
      </c>
      <c r="J1738" s="595">
        <f t="shared" si="134"/>
        <v>592565.83783783775</v>
      </c>
      <c r="K1738" s="596">
        <f>1177848+4801680</f>
        <v>5979528</v>
      </c>
      <c r="L1738" s="597"/>
    </row>
    <row r="1739" spans="1:12" x14ac:dyDescent="0.2">
      <c r="A1739" s="316">
        <v>151</v>
      </c>
      <c r="B1739" s="591" t="s">
        <v>5229</v>
      </c>
      <c r="C1739" s="598" t="s">
        <v>6098</v>
      </c>
      <c r="D1739" s="586"/>
      <c r="E1739" s="587" t="s">
        <v>1021</v>
      </c>
      <c r="F1739" s="588" t="s">
        <v>1022</v>
      </c>
      <c r="G1739" s="586"/>
      <c r="H1739" s="599">
        <v>44827</v>
      </c>
      <c r="I1739" s="595">
        <f t="shared" si="133"/>
        <v>2177708.1081081079</v>
      </c>
      <c r="J1739" s="595">
        <f t="shared" si="134"/>
        <v>239547.89189189186</v>
      </c>
      <c r="K1739" s="596">
        <f>1064988+1352268</f>
        <v>2417256</v>
      </c>
      <c r="L1739" s="597"/>
    </row>
    <row r="1740" spans="1:12" x14ac:dyDescent="0.2">
      <c r="A1740" s="316">
        <v>153</v>
      </c>
      <c r="B1740" s="591" t="s">
        <v>5231</v>
      </c>
      <c r="C1740" s="598" t="s">
        <v>6055</v>
      </c>
      <c r="D1740" s="586"/>
      <c r="E1740" s="587" t="s">
        <v>1009</v>
      </c>
      <c r="F1740" s="588" t="s">
        <v>1008</v>
      </c>
      <c r="G1740" s="586"/>
      <c r="H1740" s="599">
        <v>44827</v>
      </c>
      <c r="I1740" s="595">
        <f t="shared" si="133"/>
        <v>3152709.9099099096</v>
      </c>
      <c r="J1740" s="595">
        <f t="shared" si="134"/>
        <v>346798.09009009006</v>
      </c>
      <c r="K1740" s="596">
        <f>2624508+875000</f>
        <v>3499508</v>
      </c>
      <c r="L1740" s="597"/>
    </row>
    <row r="1741" spans="1:12" x14ac:dyDescent="0.2">
      <c r="A1741" s="316">
        <v>154</v>
      </c>
      <c r="B1741" s="591" t="s">
        <v>5232</v>
      </c>
      <c r="C1741" s="598" t="s">
        <v>6074</v>
      </c>
      <c r="D1741" s="586"/>
      <c r="E1741" s="587" t="s">
        <v>2583</v>
      </c>
      <c r="F1741" s="588" t="s">
        <v>966</v>
      </c>
      <c r="G1741" s="586"/>
      <c r="H1741" s="599">
        <v>44827</v>
      </c>
      <c r="I1741" s="595">
        <f t="shared" si="133"/>
        <v>12311075.675675675</v>
      </c>
      <c r="J1741" s="595">
        <f t="shared" si="134"/>
        <v>1354218.3243243243</v>
      </c>
      <c r="K1741" s="596">
        <f>8032554+5632740</f>
        <v>13665294</v>
      </c>
      <c r="L1741" s="597"/>
    </row>
    <row r="1742" spans="1:12" x14ac:dyDescent="0.2">
      <c r="A1742" s="316">
        <v>155</v>
      </c>
      <c r="B1742" s="591" t="s">
        <v>5233</v>
      </c>
      <c r="C1742" s="602" t="s">
        <v>6056</v>
      </c>
      <c r="D1742" s="603"/>
      <c r="E1742" s="604" t="s">
        <v>1238</v>
      </c>
      <c r="F1742" s="605" t="s">
        <v>1042</v>
      </c>
      <c r="G1742" s="654"/>
      <c r="H1742" s="606">
        <v>44827</v>
      </c>
      <c r="I1742" s="595">
        <f t="shared" si="133"/>
        <v>2251351.351351351</v>
      </c>
      <c r="J1742" s="595">
        <f t="shared" si="134"/>
        <v>247648.64864864861</v>
      </c>
      <c r="K1742" s="596">
        <v>2499000</v>
      </c>
      <c r="L1742" s="597"/>
    </row>
    <row r="1743" spans="1:12" x14ac:dyDescent="0.2">
      <c r="A1743" s="316">
        <v>156</v>
      </c>
      <c r="B1743" s="591" t="s">
        <v>5234</v>
      </c>
      <c r="C1743" s="598" t="s">
        <v>6057</v>
      </c>
      <c r="D1743" s="586"/>
      <c r="E1743" s="587" t="s">
        <v>992</v>
      </c>
      <c r="F1743" s="588" t="s">
        <v>1127</v>
      </c>
      <c r="G1743" s="586"/>
      <c r="H1743" s="599">
        <v>44827</v>
      </c>
      <c r="I1743" s="595">
        <f t="shared" si="133"/>
        <v>7230064.8648648644</v>
      </c>
      <c r="J1743" s="595">
        <f t="shared" si="134"/>
        <v>795307.13513513503</v>
      </c>
      <c r="K1743" s="596">
        <v>8025372</v>
      </c>
      <c r="L1743" s="597"/>
    </row>
    <row r="1744" spans="1:12" x14ac:dyDescent="0.2">
      <c r="A1744" s="316">
        <v>157</v>
      </c>
      <c r="B1744" s="591" t="s">
        <v>5235</v>
      </c>
      <c r="C1744" s="598" t="s">
        <v>6059</v>
      </c>
      <c r="D1744" s="586"/>
      <c r="E1744" s="587" t="s">
        <v>1864</v>
      </c>
      <c r="F1744" s="588" t="s">
        <v>1042</v>
      </c>
      <c r="G1744" s="586"/>
      <c r="H1744" s="599">
        <v>44827</v>
      </c>
      <c r="I1744" s="595">
        <f t="shared" si="133"/>
        <v>1293419.8198198196</v>
      </c>
      <c r="J1744" s="595">
        <f t="shared" si="134"/>
        <v>142276.18018018015</v>
      </c>
      <c r="K1744" s="596">
        <v>1435696</v>
      </c>
      <c r="L1744" s="597"/>
    </row>
    <row r="1745" spans="1:12" x14ac:dyDescent="0.2">
      <c r="A1745" s="316">
        <v>158</v>
      </c>
      <c r="B1745" s="591" t="s">
        <v>5236</v>
      </c>
      <c r="C1745" s="598" t="s">
        <v>6060</v>
      </c>
      <c r="D1745" s="586"/>
      <c r="E1745" s="587" t="s">
        <v>1800</v>
      </c>
      <c r="F1745" s="588" t="s">
        <v>620</v>
      </c>
      <c r="G1745" s="586"/>
      <c r="H1745" s="599">
        <v>44828</v>
      </c>
      <c r="I1745" s="595">
        <f t="shared" si="133"/>
        <v>227477.47747747746</v>
      </c>
      <c r="J1745" s="595">
        <f t="shared" si="134"/>
        <v>25022.522522522519</v>
      </c>
      <c r="K1745" s="596">
        <v>252500</v>
      </c>
      <c r="L1745" s="597"/>
    </row>
    <row r="1746" spans="1:12" x14ac:dyDescent="0.2">
      <c r="A1746" s="316">
        <v>159</v>
      </c>
      <c r="B1746" s="591" t="s">
        <v>5237</v>
      </c>
      <c r="C1746" s="598" t="s">
        <v>6061</v>
      </c>
      <c r="D1746" s="586"/>
      <c r="E1746" s="587" t="s">
        <v>6062</v>
      </c>
      <c r="F1746" s="588" t="s">
        <v>1042</v>
      </c>
      <c r="G1746" s="586"/>
      <c r="H1746" s="599">
        <v>44828</v>
      </c>
      <c r="I1746" s="595">
        <f t="shared" si="133"/>
        <v>349394.59459459456</v>
      </c>
      <c r="J1746" s="595">
        <f t="shared" si="134"/>
        <v>38433.4054054054</v>
      </c>
      <c r="K1746" s="596">
        <v>387828</v>
      </c>
      <c r="L1746" s="597"/>
    </row>
    <row r="1747" spans="1:12" x14ac:dyDescent="0.2">
      <c r="A1747" s="316">
        <v>160</v>
      </c>
      <c r="B1747" s="591" t="s">
        <v>5238</v>
      </c>
      <c r="C1747" s="602" t="s">
        <v>6063</v>
      </c>
      <c r="D1747" s="603"/>
      <c r="E1747" s="604" t="s">
        <v>1063</v>
      </c>
      <c r="F1747" s="605" t="s">
        <v>993</v>
      </c>
      <c r="G1747" s="654"/>
      <c r="H1747" s="606">
        <v>44828</v>
      </c>
      <c r="I1747" s="595">
        <f t="shared" si="133"/>
        <v>13177167.567567566</v>
      </c>
      <c r="J1747" s="595">
        <f t="shared" si="134"/>
        <v>1449488.4324324324</v>
      </c>
      <c r="K1747" s="596">
        <v>14626656</v>
      </c>
      <c r="L1747" s="597"/>
    </row>
    <row r="1748" spans="1:12" x14ac:dyDescent="0.2">
      <c r="A1748" s="316">
        <v>161</v>
      </c>
      <c r="B1748" s="591" t="s">
        <v>5239</v>
      </c>
      <c r="C1748" s="598" t="s">
        <v>6093</v>
      </c>
      <c r="D1748" s="586"/>
      <c r="E1748" s="587" t="s">
        <v>1068</v>
      </c>
      <c r="F1748" s="588" t="s">
        <v>1058</v>
      </c>
      <c r="G1748" s="586"/>
      <c r="H1748" s="599">
        <v>44828</v>
      </c>
      <c r="I1748" s="595">
        <f t="shared" si="133"/>
        <v>12016216.216216216</v>
      </c>
      <c r="J1748" s="595">
        <f t="shared" si="134"/>
        <v>1321783.7837837837</v>
      </c>
      <c r="K1748" s="596">
        <f>5889240+4395384+3053376</f>
        <v>13338000</v>
      </c>
      <c r="L1748" s="597"/>
    </row>
    <row r="1749" spans="1:12" x14ac:dyDescent="0.2">
      <c r="A1749" s="316">
        <v>162</v>
      </c>
      <c r="B1749" s="591" t="s">
        <v>5240</v>
      </c>
      <c r="C1749" s="598" t="s">
        <v>6064</v>
      </c>
      <c r="D1749" s="586"/>
      <c r="E1749" s="587" t="s">
        <v>1023</v>
      </c>
      <c r="F1749" s="588" t="s">
        <v>1025</v>
      </c>
      <c r="G1749" s="586"/>
      <c r="H1749" s="599">
        <v>44830</v>
      </c>
      <c r="I1749" s="595">
        <f t="shared" si="133"/>
        <v>3512612.6126126121</v>
      </c>
      <c r="J1749" s="595">
        <f t="shared" si="134"/>
        <v>386387.38738738734</v>
      </c>
      <c r="K1749" s="596">
        <v>3899000</v>
      </c>
      <c r="L1749" s="597"/>
    </row>
    <row r="1750" spans="1:12" x14ac:dyDescent="0.2">
      <c r="A1750" s="316">
        <v>163</v>
      </c>
      <c r="B1750" s="591" t="s">
        <v>5241</v>
      </c>
      <c r="C1750" s="598" t="s">
        <v>6109</v>
      </c>
      <c r="D1750" s="586"/>
      <c r="E1750" s="587" t="s">
        <v>992</v>
      </c>
      <c r="F1750" s="588" t="s">
        <v>1075</v>
      </c>
      <c r="G1750" s="586"/>
      <c r="H1750" s="599">
        <v>44830</v>
      </c>
      <c r="I1750" s="595">
        <f t="shared" si="133"/>
        <v>5569978.3783783782</v>
      </c>
      <c r="J1750" s="595">
        <f t="shared" si="134"/>
        <v>612697.62162162166</v>
      </c>
      <c r="K1750" s="596">
        <f>385776+3991140+1805760</f>
        <v>6182676</v>
      </c>
      <c r="L1750" s="597"/>
    </row>
    <row r="1751" spans="1:12" x14ac:dyDescent="0.2">
      <c r="A1751" s="316">
        <v>164</v>
      </c>
      <c r="B1751" s="591" t="s">
        <v>5242</v>
      </c>
      <c r="C1751" s="598" t="s">
        <v>6111</v>
      </c>
      <c r="D1751" s="586"/>
      <c r="E1751" s="587" t="s">
        <v>1090</v>
      </c>
      <c r="F1751" s="588" t="s">
        <v>606</v>
      </c>
      <c r="G1751" s="586"/>
      <c r="H1751" s="599">
        <v>44830</v>
      </c>
      <c r="I1751" s="595">
        <f t="shared" si="133"/>
        <v>10322854.054054054</v>
      </c>
      <c r="J1751" s="595">
        <f t="shared" si="134"/>
        <v>1135513.9459459458</v>
      </c>
      <c r="K1751" s="596">
        <f>7772976+3685392</f>
        <v>11458368</v>
      </c>
      <c r="L1751" s="597"/>
    </row>
    <row r="1752" spans="1:12" x14ac:dyDescent="0.2">
      <c r="A1752" s="316">
        <v>165</v>
      </c>
      <c r="B1752" s="591" t="s">
        <v>5243</v>
      </c>
      <c r="C1752" s="617" t="s">
        <v>6094</v>
      </c>
      <c r="D1752" s="618"/>
      <c r="E1752" s="619" t="s">
        <v>978</v>
      </c>
      <c r="F1752" s="620" t="s">
        <v>590</v>
      </c>
      <c r="G1752" s="655"/>
      <c r="H1752" s="621">
        <v>44830</v>
      </c>
      <c r="I1752" s="595">
        <f t="shared" si="133"/>
        <v>21772459.459459458</v>
      </c>
      <c r="J1752" s="595">
        <f t="shared" si="134"/>
        <v>2394970.5405405401</v>
      </c>
      <c r="K1752" s="623">
        <f>18734760+1699056+3733614</f>
        <v>24167430</v>
      </c>
      <c r="L1752" s="624"/>
    </row>
    <row r="1753" spans="1:12" x14ac:dyDescent="0.2">
      <c r="A1753" s="316">
        <v>166</v>
      </c>
      <c r="B1753" s="591" t="s">
        <v>5981</v>
      </c>
      <c r="C1753" s="598" t="s">
        <v>6069</v>
      </c>
      <c r="D1753" s="586"/>
      <c r="E1753" s="587" t="s">
        <v>1739</v>
      </c>
      <c r="F1753" s="588" t="s">
        <v>1328</v>
      </c>
      <c r="G1753" s="586"/>
      <c r="H1753" s="599">
        <v>44830</v>
      </c>
      <c r="I1753" s="595">
        <f t="shared" ref="I1753:I1772" si="135">K1753/1.11</f>
        <v>2639870.2702702698</v>
      </c>
      <c r="J1753" s="595">
        <f t="shared" ref="J1753:J1772" si="136">I1753*11%</f>
        <v>290385.7297297297</v>
      </c>
      <c r="K1753" s="596">
        <v>2930256</v>
      </c>
      <c r="L1753" s="597"/>
    </row>
    <row r="1754" spans="1:12" x14ac:dyDescent="0.2">
      <c r="A1754" s="316">
        <v>167</v>
      </c>
      <c r="B1754" s="591" t="s">
        <v>5982</v>
      </c>
      <c r="C1754" s="598" t="s">
        <v>6070</v>
      </c>
      <c r="D1754" s="586"/>
      <c r="E1754" s="587" t="s">
        <v>1716</v>
      </c>
      <c r="F1754" s="588" t="s">
        <v>1055</v>
      </c>
      <c r="G1754" s="586"/>
      <c r="H1754" s="599">
        <v>44830</v>
      </c>
      <c r="I1754" s="595">
        <f t="shared" si="135"/>
        <v>1505724.3243243243</v>
      </c>
      <c r="J1754" s="595">
        <f t="shared" si="136"/>
        <v>165629.67567567568</v>
      </c>
      <c r="K1754" s="596">
        <v>1671354</v>
      </c>
      <c r="L1754" s="597"/>
    </row>
    <row r="1755" spans="1:12" x14ac:dyDescent="0.2">
      <c r="A1755" s="316">
        <v>168</v>
      </c>
      <c r="B1755" s="591" t="s">
        <v>5983</v>
      </c>
      <c r="C1755" s="598" t="s">
        <v>6110</v>
      </c>
      <c r="D1755" s="586"/>
      <c r="E1755" s="587" t="s">
        <v>992</v>
      </c>
      <c r="F1755" s="588" t="s">
        <v>673</v>
      </c>
      <c r="G1755" s="586"/>
      <c r="H1755" s="599">
        <v>44830</v>
      </c>
      <c r="I1755" s="595">
        <f t="shared" si="135"/>
        <v>24656197.297297295</v>
      </c>
      <c r="J1755" s="595">
        <f t="shared" si="136"/>
        <v>2712181.7027027025</v>
      </c>
      <c r="K1755" s="596">
        <f>7695000+17826579+1846800</f>
        <v>27368379</v>
      </c>
      <c r="L1755" s="597"/>
    </row>
    <row r="1756" spans="1:12" x14ac:dyDescent="0.2">
      <c r="A1756" s="316">
        <v>169</v>
      </c>
      <c r="B1756" s="591" t="s">
        <v>5984</v>
      </c>
      <c r="C1756" s="598" t="s">
        <v>6083</v>
      </c>
      <c r="D1756" s="586"/>
      <c r="E1756" s="587" t="s">
        <v>1225</v>
      </c>
      <c r="F1756" s="588" t="s">
        <v>980</v>
      </c>
      <c r="G1756" s="586"/>
      <c r="H1756" s="599">
        <v>44831</v>
      </c>
      <c r="I1756" s="595">
        <f t="shared" si="135"/>
        <v>933129.7297297297</v>
      </c>
      <c r="J1756" s="595">
        <f t="shared" si="136"/>
        <v>102644.27027027027</v>
      </c>
      <c r="K1756" s="596">
        <v>1035774</v>
      </c>
      <c r="L1756" s="597"/>
    </row>
    <row r="1757" spans="1:12" x14ac:dyDescent="0.2">
      <c r="A1757" s="316">
        <v>170</v>
      </c>
      <c r="B1757" s="591" t="s">
        <v>5985</v>
      </c>
      <c r="C1757" s="598" t="s">
        <v>6084</v>
      </c>
      <c r="D1757" s="586"/>
      <c r="E1757" s="587" t="s">
        <v>979</v>
      </c>
      <c r="F1757" s="588" t="s">
        <v>980</v>
      </c>
      <c r="G1757" s="586"/>
      <c r="H1757" s="599">
        <v>44831</v>
      </c>
      <c r="I1757" s="595">
        <f t="shared" si="135"/>
        <v>476951.3513513513</v>
      </c>
      <c r="J1757" s="595">
        <f t="shared" si="136"/>
        <v>52464.648648648646</v>
      </c>
      <c r="K1757" s="596">
        <v>529416</v>
      </c>
      <c r="L1757" s="597"/>
    </row>
    <row r="1758" spans="1:12" x14ac:dyDescent="0.2">
      <c r="A1758" s="316">
        <v>171</v>
      </c>
      <c r="B1758" s="591" t="s">
        <v>5986</v>
      </c>
      <c r="C1758" s="598" t="s">
        <v>6087</v>
      </c>
      <c r="D1758" s="586"/>
      <c r="E1758" s="587" t="s">
        <v>970</v>
      </c>
      <c r="F1758" s="588" t="s">
        <v>971</v>
      </c>
      <c r="G1758" s="586"/>
      <c r="H1758" s="599">
        <v>44832</v>
      </c>
      <c r="I1758" s="595">
        <f t="shared" si="135"/>
        <v>3372859.4594594589</v>
      </c>
      <c r="J1758" s="595">
        <f t="shared" si="136"/>
        <v>371014.54054054047</v>
      </c>
      <c r="K1758" s="596">
        <v>3743874</v>
      </c>
      <c r="L1758" s="597"/>
    </row>
    <row r="1759" spans="1:12" x14ac:dyDescent="0.2">
      <c r="A1759" s="316">
        <v>172</v>
      </c>
      <c r="B1759" s="591" t="s">
        <v>5987</v>
      </c>
      <c r="C1759" s="598" t="s">
        <v>6089</v>
      </c>
      <c r="D1759" s="586"/>
      <c r="E1759" s="587" t="s">
        <v>2493</v>
      </c>
      <c r="F1759" s="588" t="s">
        <v>996</v>
      </c>
      <c r="G1759" s="586"/>
      <c r="H1759" s="599">
        <v>44832</v>
      </c>
      <c r="I1759" s="595">
        <f t="shared" si="135"/>
        <v>405405.40540540538</v>
      </c>
      <c r="J1759" s="595">
        <f t="shared" si="136"/>
        <v>44594.594594594593</v>
      </c>
      <c r="K1759" s="596">
        <v>450000</v>
      </c>
      <c r="L1759" s="597"/>
    </row>
    <row r="1760" spans="1:12" x14ac:dyDescent="0.2">
      <c r="A1760" s="316">
        <v>173</v>
      </c>
      <c r="B1760" s="591" t="s">
        <v>5988</v>
      </c>
      <c r="C1760" s="598" t="s">
        <v>6091</v>
      </c>
      <c r="D1760" s="586"/>
      <c r="E1760" s="587" t="s">
        <v>992</v>
      </c>
      <c r="F1760" s="588" t="s">
        <v>1033</v>
      </c>
      <c r="G1760" s="586"/>
      <c r="H1760" s="599">
        <v>44833</v>
      </c>
      <c r="I1760" s="595">
        <f t="shared" si="135"/>
        <v>1338729.7297297297</v>
      </c>
      <c r="J1760" s="595">
        <f t="shared" si="136"/>
        <v>147260.27027027027</v>
      </c>
      <c r="K1760" s="596">
        <v>1485990</v>
      </c>
      <c r="L1760" s="597"/>
    </row>
    <row r="1761" spans="1:12" x14ac:dyDescent="0.2">
      <c r="A1761" s="316">
        <v>174</v>
      </c>
      <c r="B1761" s="591" t="s">
        <v>5989</v>
      </c>
      <c r="C1761" s="598" t="s">
        <v>6092</v>
      </c>
      <c r="D1761" s="586"/>
      <c r="E1761" s="587" t="s">
        <v>995</v>
      </c>
      <c r="F1761" s="588" t="s">
        <v>996</v>
      </c>
      <c r="G1761" s="586"/>
      <c r="H1761" s="599">
        <v>44833</v>
      </c>
      <c r="I1761" s="595">
        <f t="shared" si="135"/>
        <v>3639527.0270270268</v>
      </c>
      <c r="J1761" s="595">
        <f t="shared" si="136"/>
        <v>400347.97297297296</v>
      </c>
      <c r="K1761" s="596">
        <v>4039875</v>
      </c>
      <c r="L1761" s="597"/>
    </row>
    <row r="1762" spans="1:12" x14ac:dyDescent="0.2">
      <c r="A1762" s="316">
        <v>175</v>
      </c>
      <c r="B1762" s="591" t="s">
        <v>5990</v>
      </c>
      <c r="C1762" s="602" t="s">
        <v>3277</v>
      </c>
      <c r="D1762" s="603"/>
      <c r="E1762" s="604" t="s">
        <v>978</v>
      </c>
      <c r="F1762" s="605" t="s">
        <v>996</v>
      </c>
      <c r="G1762" s="654"/>
      <c r="H1762" s="606">
        <v>44833</v>
      </c>
      <c r="I1762" s="595">
        <f t="shared" si="135"/>
        <v>855855.85585585574</v>
      </c>
      <c r="J1762" s="595">
        <f t="shared" si="136"/>
        <v>94144.144144144127</v>
      </c>
      <c r="K1762" s="596">
        <v>950000</v>
      </c>
      <c r="L1762" s="597"/>
    </row>
    <row r="1763" spans="1:12" x14ac:dyDescent="0.2">
      <c r="A1763" s="316">
        <v>176</v>
      </c>
      <c r="B1763" s="591" t="s">
        <v>5991</v>
      </c>
      <c r="C1763" s="598" t="s">
        <v>615</v>
      </c>
      <c r="D1763" s="586"/>
      <c r="E1763" s="587" t="s">
        <v>1037</v>
      </c>
      <c r="F1763" s="588" t="s">
        <v>1038</v>
      </c>
      <c r="G1763" s="586"/>
      <c r="H1763" s="599">
        <v>44834</v>
      </c>
      <c r="I1763" s="595">
        <f t="shared" si="135"/>
        <v>419643.2432432432</v>
      </c>
      <c r="J1763" s="595">
        <f t="shared" si="136"/>
        <v>46160.756756756753</v>
      </c>
      <c r="K1763" s="596">
        <v>465804</v>
      </c>
      <c r="L1763" s="597"/>
    </row>
    <row r="1764" spans="1:12" x14ac:dyDescent="0.2">
      <c r="A1764" s="316">
        <v>177</v>
      </c>
      <c r="B1764" s="591" t="s">
        <v>5992</v>
      </c>
      <c r="C1764" s="598" t="s">
        <v>6101</v>
      </c>
      <c r="D1764" s="586"/>
      <c r="E1764" s="587" t="s">
        <v>1020</v>
      </c>
      <c r="F1764" s="588" t="s">
        <v>984</v>
      </c>
      <c r="G1764" s="586"/>
      <c r="H1764" s="599">
        <v>44834</v>
      </c>
      <c r="I1764" s="595">
        <f t="shared" si="135"/>
        <v>3005565.7657657657</v>
      </c>
      <c r="J1764" s="595">
        <f t="shared" si="136"/>
        <v>330612.2342342342</v>
      </c>
      <c r="K1764" s="596">
        <f>2259318+1076860</f>
        <v>3336178</v>
      </c>
      <c r="L1764" s="597"/>
    </row>
    <row r="1765" spans="1:12" x14ac:dyDescent="0.2">
      <c r="A1765" s="316">
        <v>178</v>
      </c>
      <c r="B1765" s="591" t="s">
        <v>5993</v>
      </c>
      <c r="C1765" s="598" t="s">
        <v>6102</v>
      </c>
      <c r="D1765" s="586"/>
      <c r="E1765" s="587" t="s">
        <v>976</v>
      </c>
      <c r="F1765" s="588" t="s">
        <v>977</v>
      </c>
      <c r="G1765" s="586"/>
      <c r="H1765" s="599">
        <v>44834</v>
      </c>
      <c r="I1765" s="595">
        <f t="shared" si="135"/>
        <v>345945.94594594592</v>
      </c>
      <c r="J1765" s="595">
        <f t="shared" si="136"/>
        <v>38054.054054054053</v>
      </c>
      <c r="K1765" s="596">
        <v>384000</v>
      </c>
      <c r="L1765" s="597" t="s">
        <v>3129</v>
      </c>
    </row>
    <row r="1766" spans="1:12" x14ac:dyDescent="0.2">
      <c r="A1766" s="316">
        <v>179</v>
      </c>
      <c r="B1766" s="591" t="s">
        <v>5994</v>
      </c>
      <c r="C1766" s="598" t="s">
        <v>6103</v>
      </c>
      <c r="D1766" s="586"/>
      <c r="E1766" s="587" t="s">
        <v>992</v>
      </c>
      <c r="F1766" s="588" t="s">
        <v>583</v>
      </c>
      <c r="G1766" s="586"/>
      <c r="H1766" s="599">
        <v>44834</v>
      </c>
      <c r="I1766" s="595">
        <f t="shared" si="135"/>
        <v>4325837.8378378376</v>
      </c>
      <c r="J1766" s="595">
        <f t="shared" si="136"/>
        <v>475842.16216216213</v>
      </c>
      <c r="K1766" s="596">
        <v>4801680</v>
      </c>
      <c r="L1766" s="597"/>
    </row>
    <row r="1767" spans="1:12" x14ac:dyDescent="0.2">
      <c r="A1767" s="316">
        <v>180</v>
      </c>
      <c r="B1767" s="591" t="s">
        <v>5995</v>
      </c>
      <c r="C1767" s="602" t="s">
        <v>6104</v>
      </c>
      <c r="D1767" s="603"/>
      <c r="E1767" s="604" t="s">
        <v>1016</v>
      </c>
      <c r="F1767" s="605" t="s">
        <v>1017</v>
      </c>
      <c r="G1767" s="654"/>
      <c r="H1767" s="606">
        <v>44834</v>
      </c>
      <c r="I1767" s="595">
        <f t="shared" si="135"/>
        <v>3809720.7207207205</v>
      </c>
      <c r="J1767" s="595">
        <f t="shared" si="136"/>
        <v>419069.27927927923</v>
      </c>
      <c r="K1767" s="596">
        <v>4228790</v>
      </c>
      <c r="L1767" s="597"/>
    </row>
    <row r="1768" spans="1:12" x14ac:dyDescent="0.2">
      <c r="A1768" s="316">
        <v>181</v>
      </c>
      <c r="B1768" s="591" t="s">
        <v>5996</v>
      </c>
      <c r="C1768" s="598" t="s">
        <v>6105</v>
      </c>
      <c r="D1768" s="586"/>
      <c r="E1768" s="587" t="s">
        <v>2494</v>
      </c>
      <c r="F1768" s="588" t="s">
        <v>996</v>
      </c>
      <c r="G1768" s="586"/>
      <c r="H1768" s="599">
        <v>44834</v>
      </c>
      <c r="I1768" s="595">
        <f t="shared" si="135"/>
        <v>7432432.4324324317</v>
      </c>
      <c r="J1768" s="595">
        <f t="shared" si="136"/>
        <v>817567.56756756746</v>
      </c>
      <c r="K1768" s="596">
        <v>8250000</v>
      </c>
      <c r="L1768" s="597"/>
    </row>
    <row r="1769" spans="1:12" x14ac:dyDescent="0.2">
      <c r="A1769" s="316">
        <v>182</v>
      </c>
      <c r="B1769" s="591" t="s">
        <v>5997</v>
      </c>
      <c r="C1769" s="598" t="s">
        <v>6106</v>
      </c>
      <c r="D1769" s="586"/>
      <c r="E1769" s="587" t="s">
        <v>1286</v>
      </c>
      <c r="F1769" s="588" t="s">
        <v>996</v>
      </c>
      <c r="G1769" s="586"/>
      <c r="H1769" s="599">
        <v>44834</v>
      </c>
      <c r="I1769" s="595">
        <f t="shared" si="135"/>
        <v>6486486.4864864862</v>
      </c>
      <c r="J1769" s="595">
        <f t="shared" si="136"/>
        <v>713513.51351351349</v>
      </c>
      <c r="K1769" s="596">
        <v>7200000</v>
      </c>
      <c r="L1769" s="597"/>
    </row>
    <row r="1770" spans="1:12" x14ac:dyDescent="0.2">
      <c r="A1770" s="316">
        <v>183</v>
      </c>
      <c r="B1770" s="591" t="s">
        <v>5998</v>
      </c>
      <c r="C1770" s="598" t="s">
        <v>6107</v>
      </c>
      <c r="D1770" s="586"/>
      <c r="E1770" s="587" t="s">
        <v>6108</v>
      </c>
      <c r="F1770" s="588" t="s">
        <v>583</v>
      </c>
      <c r="G1770" s="586"/>
      <c r="H1770" s="599">
        <v>44834</v>
      </c>
      <c r="I1770" s="595">
        <f t="shared" si="135"/>
        <v>21629189.189189188</v>
      </c>
      <c r="J1770" s="595">
        <f t="shared" si="136"/>
        <v>2379210.8108108109</v>
      </c>
      <c r="K1770" s="596">
        <v>24008400</v>
      </c>
      <c r="L1770" s="597"/>
    </row>
    <row r="1771" spans="1:12" x14ac:dyDescent="0.2">
      <c r="A1771" s="316">
        <v>184</v>
      </c>
      <c r="B1771" s="591" t="s">
        <v>5999</v>
      </c>
      <c r="C1771" s="598" t="s">
        <v>6112</v>
      </c>
      <c r="D1771" s="586"/>
      <c r="E1771" s="587" t="s">
        <v>1053</v>
      </c>
      <c r="F1771" s="588" t="s">
        <v>1064</v>
      </c>
      <c r="G1771" s="586"/>
      <c r="H1771" s="599">
        <v>44834</v>
      </c>
      <c r="I1771" s="595">
        <f t="shared" si="135"/>
        <v>2337616.2162162159</v>
      </c>
      <c r="J1771" s="595">
        <f t="shared" si="136"/>
        <v>257137.78378378376</v>
      </c>
      <c r="K1771" s="596">
        <v>2594754</v>
      </c>
      <c r="L1771" s="597"/>
    </row>
    <row r="1772" spans="1:12" x14ac:dyDescent="0.2">
      <c r="A1772" s="316">
        <v>185</v>
      </c>
      <c r="B1772" s="591" t="s">
        <v>6000</v>
      </c>
      <c r="C1772" s="617"/>
      <c r="D1772" s="618"/>
      <c r="E1772" s="619"/>
      <c r="F1772" s="620"/>
      <c r="G1772" s="655"/>
      <c r="H1772" s="621"/>
      <c r="I1772" s="595">
        <f t="shared" si="135"/>
        <v>0</v>
      </c>
      <c r="J1772" s="595">
        <f t="shared" si="136"/>
        <v>0</v>
      </c>
      <c r="K1772" s="623"/>
      <c r="L1772" s="624"/>
    </row>
    <row r="1773" spans="1:12" x14ac:dyDescent="0.2">
      <c r="A1773" s="316">
        <v>186</v>
      </c>
      <c r="B1773" s="591" t="s">
        <v>6001</v>
      </c>
      <c r="C1773" s="598"/>
      <c r="D1773" s="586"/>
      <c r="E1773" s="587"/>
      <c r="F1773" s="588"/>
      <c r="G1773" s="586"/>
      <c r="H1773" s="599"/>
      <c r="I1773" s="595">
        <f t="shared" si="133"/>
        <v>0</v>
      </c>
      <c r="J1773" s="595">
        <f t="shared" si="134"/>
        <v>0</v>
      </c>
      <c r="K1773" s="596"/>
      <c r="L1773" s="597"/>
    </row>
    <row r="1774" spans="1:12" x14ac:dyDescent="0.2">
      <c r="A1774" s="316">
        <v>187</v>
      </c>
      <c r="B1774" s="591" t="s">
        <v>6002</v>
      </c>
      <c r="C1774" s="598"/>
      <c r="D1774" s="586"/>
      <c r="E1774" s="587"/>
      <c r="F1774" s="588"/>
      <c r="G1774" s="586"/>
      <c r="H1774" s="599"/>
      <c r="I1774" s="595">
        <f t="shared" si="133"/>
        <v>0</v>
      </c>
      <c r="J1774" s="595">
        <f t="shared" si="134"/>
        <v>0</v>
      </c>
      <c r="K1774" s="596"/>
      <c r="L1774" s="597"/>
    </row>
    <row r="1775" spans="1:12" x14ac:dyDescent="0.2">
      <c r="A1775" s="316">
        <v>188</v>
      </c>
      <c r="B1775" s="591" t="s">
        <v>6003</v>
      </c>
      <c r="C1775" s="598"/>
      <c r="D1775" s="586"/>
      <c r="E1775" s="587"/>
      <c r="F1775" s="588"/>
      <c r="G1775" s="586"/>
      <c r="H1775" s="599"/>
      <c r="I1775" s="595">
        <f t="shared" si="133"/>
        <v>0</v>
      </c>
      <c r="J1775" s="595">
        <f t="shared" si="134"/>
        <v>0</v>
      </c>
      <c r="K1775" s="596"/>
      <c r="L1775" s="597"/>
    </row>
    <row r="1776" spans="1:12" x14ac:dyDescent="0.2">
      <c r="A1776" s="316">
        <v>189</v>
      </c>
      <c r="B1776" s="591" t="s">
        <v>6004</v>
      </c>
      <c r="C1776" s="598"/>
      <c r="D1776" s="586"/>
      <c r="E1776" s="587"/>
      <c r="F1776" s="588"/>
      <c r="G1776" s="586"/>
      <c r="H1776" s="599"/>
      <c r="I1776" s="595">
        <f t="shared" si="133"/>
        <v>0</v>
      </c>
      <c r="J1776" s="595">
        <f t="shared" si="134"/>
        <v>0</v>
      </c>
      <c r="K1776" s="596"/>
      <c r="L1776" s="597"/>
    </row>
    <row r="1777" spans="1:12" x14ac:dyDescent="0.2">
      <c r="A1777" s="316">
        <v>190</v>
      </c>
      <c r="B1777" s="591" t="s">
        <v>6005</v>
      </c>
      <c r="C1777" s="598"/>
      <c r="D1777" s="586"/>
      <c r="E1777" s="587"/>
      <c r="F1777" s="588"/>
      <c r="G1777" s="586"/>
      <c r="H1777" s="599"/>
      <c r="I1777" s="595">
        <f t="shared" si="133"/>
        <v>0</v>
      </c>
      <c r="J1777" s="595">
        <f t="shared" si="134"/>
        <v>0</v>
      </c>
      <c r="K1777" s="596"/>
      <c r="L1777" s="597"/>
    </row>
    <row r="1778" spans="1:12" x14ac:dyDescent="0.2">
      <c r="A1778" s="316">
        <v>191</v>
      </c>
      <c r="B1778" s="591" t="s">
        <v>6006</v>
      </c>
      <c r="C1778" s="598"/>
      <c r="D1778" s="586"/>
      <c r="E1778" s="587"/>
      <c r="F1778" s="588"/>
      <c r="G1778" s="586"/>
      <c r="H1778" s="599"/>
      <c r="I1778" s="595">
        <f t="shared" si="133"/>
        <v>0</v>
      </c>
      <c r="J1778" s="595">
        <f t="shared" si="134"/>
        <v>0</v>
      </c>
      <c r="K1778" s="596"/>
      <c r="L1778" s="597"/>
    </row>
    <row r="1779" spans="1:12" x14ac:dyDescent="0.2">
      <c r="A1779" s="316">
        <v>192</v>
      </c>
      <c r="B1779" s="591" t="s">
        <v>6007</v>
      </c>
      <c r="C1779" s="598"/>
      <c r="D1779" s="586"/>
      <c r="E1779" s="587"/>
      <c r="F1779" s="588"/>
      <c r="G1779" s="586"/>
      <c r="H1779" s="599"/>
      <c r="I1779" s="595">
        <f t="shared" si="133"/>
        <v>0</v>
      </c>
      <c r="J1779" s="595">
        <f t="shared" si="134"/>
        <v>0</v>
      </c>
      <c r="K1779" s="596"/>
      <c r="L1779" s="597"/>
    </row>
    <row r="1780" spans="1:12" x14ac:dyDescent="0.2">
      <c r="A1780" s="316">
        <v>193</v>
      </c>
      <c r="B1780" s="591" t="s">
        <v>6008</v>
      </c>
      <c r="C1780" s="598"/>
      <c r="D1780" s="586"/>
      <c r="E1780" s="587"/>
      <c r="F1780" s="588"/>
      <c r="G1780" s="586"/>
      <c r="H1780" s="599"/>
      <c r="I1780" s="595">
        <f t="shared" si="133"/>
        <v>0</v>
      </c>
      <c r="J1780" s="595">
        <f t="shared" si="134"/>
        <v>0</v>
      </c>
      <c r="K1780" s="596"/>
      <c r="L1780" s="597"/>
    </row>
    <row r="1781" spans="1:12" x14ac:dyDescent="0.2">
      <c r="A1781" s="316">
        <v>194</v>
      </c>
      <c r="B1781" s="591" t="s">
        <v>6009</v>
      </c>
      <c r="C1781" s="598"/>
      <c r="D1781" s="586"/>
      <c r="E1781" s="587"/>
      <c r="F1781" s="588"/>
      <c r="G1781" s="586"/>
      <c r="H1781" s="599"/>
      <c r="I1781" s="595">
        <f t="shared" si="133"/>
        <v>0</v>
      </c>
      <c r="J1781" s="595">
        <f t="shared" si="134"/>
        <v>0</v>
      </c>
      <c r="K1781" s="596"/>
      <c r="L1781" s="597"/>
    </row>
    <row r="1782" spans="1:12" x14ac:dyDescent="0.2">
      <c r="A1782" s="316">
        <v>195</v>
      </c>
      <c r="B1782" s="591" t="s">
        <v>6010</v>
      </c>
      <c r="C1782" s="602"/>
      <c r="D1782" s="603"/>
      <c r="E1782" s="604"/>
      <c r="F1782" s="605"/>
      <c r="G1782" s="654"/>
      <c r="H1782" s="606"/>
      <c r="I1782" s="595">
        <f t="shared" si="133"/>
        <v>0</v>
      </c>
      <c r="J1782" s="595">
        <f t="shared" si="134"/>
        <v>0</v>
      </c>
      <c r="K1782" s="596"/>
      <c r="L1782" s="597"/>
    </row>
    <row r="1783" spans="1:12" x14ac:dyDescent="0.2">
      <c r="A1783" s="316">
        <v>196</v>
      </c>
      <c r="B1783" s="591" t="s">
        <v>6011</v>
      </c>
      <c r="C1783" s="598"/>
      <c r="D1783" s="586"/>
      <c r="E1783" s="587"/>
      <c r="F1783" s="588"/>
      <c r="G1783" s="586"/>
      <c r="H1783" s="599"/>
      <c r="I1783" s="595">
        <f t="shared" ref="I1783:I1792" si="137">K1783/1.11</f>
        <v>0</v>
      </c>
      <c r="J1783" s="595">
        <f t="shared" ref="J1783:J1792" si="138">I1783*11%</f>
        <v>0</v>
      </c>
      <c r="K1783" s="596"/>
      <c r="L1783" s="597"/>
    </row>
    <row r="1784" spans="1:12" x14ac:dyDescent="0.2">
      <c r="A1784" s="316">
        <v>197</v>
      </c>
      <c r="B1784" s="591" t="s">
        <v>6012</v>
      </c>
      <c r="C1784" s="598"/>
      <c r="D1784" s="586"/>
      <c r="E1784" s="587"/>
      <c r="F1784" s="588"/>
      <c r="G1784" s="586"/>
      <c r="H1784" s="599"/>
      <c r="I1784" s="595">
        <f t="shared" si="137"/>
        <v>0</v>
      </c>
      <c r="J1784" s="595">
        <f t="shared" si="138"/>
        <v>0</v>
      </c>
      <c r="K1784" s="596"/>
      <c r="L1784" s="597"/>
    </row>
    <row r="1785" spans="1:12" x14ac:dyDescent="0.2">
      <c r="A1785" s="316">
        <v>198</v>
      </c>
      <c r="B1785" s="591" t="s">
        <v>6013</v>
      </c>
      <c r="C1785" s="598"/>
      <c r="D1785" s="586"/>
      <c r="E1785" s="587"/>
      <c r="F1785" s="588"/>
      <c r="G1785" s="586"/>
      <c r="H1785" s="599"/>
      <c r="I1785" s="595">
        <f t="shared" si="137"/>
        <v>0</v>
      </c>
      <c r="J1785" s="595">
        <f t="shared" si="138"/>
        <v>0</v>
      </c>
      <c r="K1785" s="596"/>
      <c r="L1785" s="597"/>
    </row>
    <row r="1786" spans="1:12" x14ac:dyDescent="0.2">
      <c r="A1786" s="316">
        <v>199</v>
      </c>
      <c r="B1786" s="591" t="s">
        <v>6014</v>
      </c>
      <c r="C1786" s="598"/>
      <c r="D1786" s="586"/>
      <c r="E1786" s="587"/>
      <c r="F1786" s="588"/>
      <c r="G1786" s="586"/>
      <c r="H1786" s="599"/>
      <c r="I1786" s="595">
        <f t="shared" si="137"/>
        <v>0</v>
      </c>
      <c r="J1786" s="595">
        <f t="shared" si="138"/>
        <v>0</v>
      </c>
      <c r="K1786" s="596"/>
      <c r="L1786" s="597"/>
    </row>
    <row r="1787" spans="1:12" x14ac:dyDescent="0.2">
      <c r="A1787" s="316">
        <v>200</v>
      </c>
      <c r="B1787" s="591" t="s">
        <v>6015</v>
      </c>
      <c r="C1787" s="602"/>
      <c r="D1787" s="603"/>
      <c r="E1787" s="604"/>
      <c r="F1787" s="605"/>
      <c r="G1787" s="654"/>
      <c r="H1787" s="606"/>
      <c r="I1787" s="595">
        <f t="shared" si="137"/>
        <v>0</v>
      </c>
      <c r="J1787" s="595">
        <f t="shared" si="138"/>
        <v>0</v>
      </c>
      <c r="K1787" s="596"/>
      <c r="L1787" s="597"/>
    </row>
    <row r="1788" spans="1:12" x14ac:dyDescent="0.2">
      <c r="A1788" s="316">
        <v>201</v>
      </c>
      <c r="B1788" s="591" t="s">
        <v>6016</v>
      </c>
      <c r="C1788" s="598"/>
      <c r="D1788" s="586"/>
      <c r="E1788" s="587"/>
      <c r="F1788" s="588"/>
      <c r="G1788" s="586"/>
      <c r="H1788" s="599"/>
      <c r="I1788" s="595">
        <f t="shared" si="137"/>
        <v>0</v>
      </c>
      <c r="J1788" s="595">
        <f t="shared" si="138"/>
        <v>0</v>
      </c>
      <c r="K1788" s="596"/>
      <c r="L1788" s="597"/>
    </row>
    <row r="1789" spans="1:12" x14ac:dyDescent="0.2">
      <c r="A1789" s="316">
        <v>202</v>
      </c>
      <c r="B1789" s="591" t="s">
        <v>6017</v>
      </c>
      <c r="C1789" s="598"/>
      <c r="D1789" s="586"/>
      <c r="E1789" s="587"/>
      <c r="F1789" s="588"/>
      <c r="G1789" s="586"/>
      <c r="H1789" s="599"/>
      <c r="I1789" s="595">
        <f t="shared" si="137"/>
        <v>0</v>
      </c>
      <c r="J1789" s="595">
        <f t="shared" si="138"/>
        <v>0</v>
      </c>
      <c r="K1789" s="596"/>
      <c r="L1789" s="597"/>
    </row>
    <row r="1790" spans="1:12" x14ac:dyDescent="0.2">
      <c r="A1790" s="316">
        <v>203</v>
      </c>
      <c r="B1790" s="591" t="s">
        <v>6018</v>
      </c>
      <c r="C1790" s="598"/>
      <c r="D1790" s="586"/>
      <c r="E1790" s="587"/>
      <c r="F1790" s="588"/>
      <c r="G1790" s="586"/>
      <c r="H1790" s="599"/>
      <c r="I1790" s="595">
        <f t="shared" si="137"/>
        <v>0</v>
      </c>
      <c r="J1790" s="595">
        <f t="shared" si="138"/>
        <v>0</v>
      </c>
      <c r="K1790" s="596"/>
      <c r="L1790" s="597"/>
    </row>
    <row r="1791" spans="1:12" x14ac:dyDescent="0.2">
      <c r="A1791" s="316">
        <v>204</v>
      </c>
      <c r="B1791" s="591" t="s">
        <v>6019</v>
      </c>
      <c r="C1791" s="598"/>
      <c r="D1791" s="586"/>
      <c r="E1791" s="587"/>
      <c r="F1791" s="588"/>
      <c r="G1791" s="586"/>
      <c r="H1791" s="599"/>
      <c r="I1791" s="595">
        <f t="shared" si="137"/>
        <v>0</v>
      </c>
      <c r="J1791" s="595">
        <f t="shared" si="138"/>
        <v>0</v>
      </c>
      <c r="K1791" s="596"/>
      <c r="L1791" s="597"/>
    </row>
    <row r="1792" spans="1:12" x14ac:dyDescent="0.2">
      <c r="A1792" s="316">
        <v>205</v>
      </c>
      <c r="B1792" s="591" t="s">
        <v>6020</v>
      </c>
      <c r="C1792" s="617"/>
      <c r="D1792" s="618"/>
      <c r="E1792" s="619"/>
      <c r="F1792" s="620"/>
      <c r="G1792" s="655"/>
      <c r="H1792" s="621"/>
      <c r="I1792" s="595">
        <f t="shared" si="137"/>
        <v>0</v>
      </c>
      <c r="J1792" s="595">
        <f t="shared" si="138"/>
        <v>0</v>
      </c>
      <c r="K1792" s="623"/>
      <c r="L1792" s="624"/>
    </row>
    <row r="1793" spans="1:12" x14ac:dyDescent="0.2">
      <c r="A1793" s="316">
        <v>206</v>
      </c>
      <c r="B1793" s="591" t="s">
        <v>6021</v>
      </c>
      <c r="C1793" s="598"/>
      <c r="D1793" s="586"/>
      <c r="E1793" s="587"/>
      <c r="F1793" s="588"/>
      <c r="G1793" s="586"/>
      <c r="H1793" s="599"/>
      <c r="I1793" s="595">
        <f t="shared" si="133"/>
        <v>0</v>
      </c>
      <c r="J1793" s="595">
        <f t="shared" si="134"/>
        <v>0</v>
      </c>
      <c r="K1793" s="596"/>
      <c r="L1793" s="597"/>
    </row>
    <row r="1794" spans="1:12" x14ac:dyDescent="0.2">
      <c r="A1794" s="316">
        <v>207</v>
      </c>
      <c r="B1794" s="591" t="s">
        <v>6022</v>
      </c>
      <c r="C1794" s="598"/>
      <c r="D1794" s="586"/>
      <c r="E1794" s="587"/>
      <c r="F1794" s="588"/>
      <c r="G1794" s="586"/>
      <c r="H1794" s="599"/>
      <c r="I1794" s="595">
        <f t="shared" si="133"/>
        <v>0</v>
      </c>
      <c r="J1794" s="595">
        <f t="shared" si="134"/>
        <v>0</v>
      </c>
      <c r="K1794" s="596"/>
      <c r="L1794" s="597"/>
    </row>
    <row r="1795" spans="1:12" x14ac:dyDescent="0.2">
      <c r="A1795" s="316">
        <v>208</v>
      </c>
      <c r="B1795" s="591" t="s">
        <v>6023</v>
      </c>
      <c r="C1795" s="598"/>
      <c r="D1795" s="586"/>
      <c r="E1795" s="587"/>
      <c r="F1795" s="588"/>
      <c r="G1795" s="586"/>
      <c r="H1795" s="599"/>
      <c r="I1795" s="595">
        <f t="shared" si="133"/>
        <v>0</v>
      </c>
      <c r="J1795" s="595">
        <f t="shared" si="134"/>
        <v>0</v>
      </c>
      <c r="K1795" s="596"/>
      <c r="L1795" s="597"/>
    </row>
    <row r="1796" spans="1:12" x14ac:dyDescent="0.2">
      <c r="A1796" s="316">
        <v>209</v>
      </c>
      <c r="B1796" s="591" t="s">
        <v>6024</v>
      </c>
      <c r="C1796" s="598"/>
      <c r="D1796" s="586"/>
      <c r="E1796" s="587"/>
      <c r="F1796" s="588"/>
      <c r="G1796" s="586"/>
      <c r="H1796" s="599"/>
      <c r="I1796" s="595">
        <f t="shared" si="133"/>
        <v>0</v>
      </c>
      <c r="J1796" s="595">
        <f t="shared" si="134"/>
        <v>0</v>
      </c>
      <c r="K1796" s="596"/>
      <c r="L1796" s="597"/>
    </row>
    <row r="1797" spans="1:12" x14ac:dyDescent="0.2">
      <c r="A1797" s="316">
        <v>210</v>
      </c>
      <c r="B1797" s="591" t="s">
        <v>6025</v>
      </c>
      <c r="C1797" s="602"/>
      <c r="D1797" s="603"/>
      <c r="E1797" s="604"/>
      <c r="F1797" s="605"/>
      <c r="G1797" s="654"/>
      <c r="H1797" s="606"/>
      <c r="I1797" s="595">
        <f t="shared" si="133"/>
        <v>0</v>
      </c>
      <c r="J1797" s="595">
        <f t="shared" si="134"/>
        <v>0</v>
      </c>
      <c r="K1797" s="596"/>
      <c r="L1797" s="597"/>
    </row>
    <row r="1798" spans="1:12" x14ac:dyDescent="0.2">
      <c r="A1798" s="316">
        <v>211</v>
      </c>
      <c r="B1798" s="591" t="s">
        <v>6026</v>
      </c>
      <c r="C1798" s="598"/>
      <c r="D1798" s="586"/>
      <c r="E1798" s="587"/>
      <c r="F1798" s="588"/>
      <c r="G1798" s="586"/>
      <c r="H1798" s="599"/>
      <c r="I1798" s="595">
        <f t="shared" si="133"/>
        <v>0</v>
      </c>
      <c r="J1798" s="595">
        <f t="shared" si="134"/>
        <v>0</v>
      </c>
      <c r="K1798" s="596"/>
      <c r="L1798" s="597"/>
    </row>
    <row r="1799" spans="1:12" x14ac:dyDescent="0.2">
      <c r="A1799" s="316">
        <v>212</v>
      </c>
      <c r="B1799" s="591" t="s">
        <v>6027</v>
      </c>
      <c r="C1799" s="598"/>
      <c r="D1799" s="586"/>
      <c r="E1799" s="587"/>
      <c r="F1799" s="588"/>
      <c r="G1799" s="586"/>
      <c r="H1799" s="599"/>
      <c r="I1799" s="595">
        <f t="shared" si="133"/>
        <v>0</v>
      </c>
      <c r="J1799" s="595">
        <f t="shared" si="134"/>
        <v>0</v>
      </c>
      <c r="K1799" s="596"/>
      <c r="L1799" s="597"/>
    </row>
    <row r="1800" spans="1:12" x14ac:dyDescent="0.2">
      <c r="A1800" s="316">
        <v>213</v>
      </c>
      <c r="B1800" s="591" t="s">
        <v>6028</v>
      </c>
      <c r="C1800" s="598"/>
      <c r="D1800" s="586"/>
      <c r="E1800" s="587"/>
      <c r="F1800" s="588"/>
      <c r="G1800" s="586"/>
      <c r="H1800" s="599"/>
      <c r="I1800" s="595">
        <f t="shared" si="133"/>
        <v>0</v>
      </c>
      <c r="J1800" s="595">
        <f t="shared" si="134"/>
        <v>0</v>
      </c>
      <c r="K1800" s="596"/>
      <c r="L1800" s="597"/>
    </row>
    <row r="1801" spans="1:12" x14ac:dyDescent="0.2">
      <c r="A1801" s="316">
        <v>214</v>
      </c>
      <c r="B1801" s="591" t="s">
        <v>6029</v>
      </c>
      <c r="C1801" s="598"/>
      <c r="D1801" s="586"/>
      <c r="E1801" s="587"/>
      <c r="F1801" s="588"/>
      <c r="G1801" s="586"/>
      <c r="H1801" s="599"/>
      <c r="I1801" s="595">
        <f t="shared" si="133"/>
        <v>0</v>
      </c>
      <c r="J1801" s="595">
        <f t="shared" si="134"/>
        <v>0</v>
      </c>
      <c r="K1801" s="596"/>
      <c r="L1801" s="597"/>
    </row>
    <row r="1802" spans="1:12" x14ac:dyDescent="0.2">
      <c r="A1802" s="316">
        <v>215</v>
      </c>
      <c r="B1802" s="591" t="s">
        <v>6030</v>
      </c>
      <c r="C1802" s="617"/>
      <c r="D1802" s="618"/>
      <c r="E1802" s="619"/>
      <c r="F1802" s="620"/>
      <c r="G1802" s="655"/>
      <c r="H1802" s="621"/>
      <c r="I1802" s="595">
        <f t="shared" ref="I1802" si="139">K1802/1.11</f>
        <v>0</v>
      </c>
      <c r="J1802" s="595">
        <f t="shared" ref="J1802" si="140">I1802*11%</f>
        <v>0</v>
      </c>
      <c r="K1802" s="623"/>
      <c r="L1802" s="624"/>
    </row>
    <row r="1803" spans="1:12" x14ac:dyDescent="0.2">
      <c r="B1803" s="616"/>
      <c r="C1803" s="617"/>
      <c r="D1803" s="618"/>
      <c r="E1803" s="619"/>
      <c r="F1803" s="620"/>
      <c r="G1803" s="655"/>
      <c r="H1803" s="621"/>
      <c r="I1803" s="595">
        <f t="shared" si="133"/>
        <v>0</v>
      </c>
      <c r="J1803" s="595">
        <f t="shared" si="134"/>
        <v>0</v>
      </c>
      <c r="K1803" s="623"/>
      <c r="L1803" s="624"/>
    </row>
    <row r="1804" spans="1:12" ht="18" x14ac:dyDescent="0.25">
      <c r="B1804" s="630" t="s">
        <v>295</v>
      </c>
      <c r="C1804" s="631"/>
      <c r="D1804" s="632"/>
      <c r="E1804" s="633"/>
      <c r="F1804" s="634"/>
      <c r="G1804" s="656"/>
      <c r="H1804" s="635"/>
      <c r="I1804" s="636">
        <f>SUM(I1588:I1803)</f>
        <v>1371928554.9549556</v>
      </c>
      <c r="J1804" s="636">
        <f>SUM(J1588:J1803)</f>
        <v>150912141.04504502</v>
      </c>
      <c r="K1804" s="637">
        <f>SUM(K1588:K1803)</f>
        <v>1522840696</v>
      </c>
      <c r="L1804" s="638"/>
    </row>
    <row r="1805" spans="1:12" s="429" customFormat="1" ht="20.25" x14ac:dyDescent="0.3">
      <c r="A1805" s="316"/>
      <c r="B1805" s="639" t="s">
        <v>107</v>
      </c>
      <c r="C1805" s="626"/>
      <c r="D1805" s="627"/>
      <c r="E1805" s="627"/>
      <c r="F1805" s="627"/>
      <c r="G1805" s="627"/>
      <c r="H1805" s="640"/>
      <c r="I1805" s="641"/>
      <c r="J1805" s="641"/>
      <c r="K1805" s="642"/>
      <c r="L1805" s="643"/>
    </row>
    <row r="1806" spans="1:12" s="429" customFormat="1" x14ac:dyDescent="0.2">
      <c r="A1806" s="316">
        <v>1</v>
      </c>
      <c r="B1806" s="591"/>
      <c r="C1806" s="598"/>
      <c r="D1806" s="586"/>
      <c r="E1806" s="593"/>
      <c r="F1806" s="593"/>
      <c r="G1806" s="761" t="s">
        <v>3492</v>
      </c>
      <c r="H1806" s="594"/>
      <c r="I1806" s="595">
        <f t="shared" ref="I1806:I1869" si="141">K1806/1.11</f>
        <v>0</v>
      </c>
      <c r="J1806" s="595">
        <f t="shared" ref="J1806:J1869" si="142">I1806*11%</f>
        <v>0</v>
      </c>
      <c r="K1806" s="596"/>
      <c r="L1806" s="759"/>
    </row>
    <row r="1807" spans="1:12" s="429" customFormat="1" x14ac:dyDescent="0.2">
      <c r="A1807" s="316">
        <v>2</v>
      </c>
      <c r="B1807" s="591"/>
      <c r="C1807" s="592"/>
      <c r="D1807" s="586"/>
      <c r="E1807" s="593"/>
      <c r="F1807" s="593"/>
      <c r="G1807" s="776" t="s">
        <v>3493</v>
      </c>
      <c r="H1807" s="594"/>
      <c r="I1807" s="595">
        <f t="shared" si="141"/>
        <v>0</v>
      </c>
      <c r="J1807" s="595">
        <f t="shared" si="142"/>
        <v>0</v>
      </c>
      <c r="K1807" s="596"/>
      <c r="L1807" s="597"/>
    </row>
    <row r="1808" spans="1:12" s="429" customFormat="1" x14ac:dyDescent="0.2">
      <c r="A1808" s="316">
        <v>3</v>
      </c>
      <c r="B1808" s="591"/>
      <c r="C1808" s="598"/>
      <c r="D1808" s="586"/>
      <c r="E1808" s="593"/>
      <c r="F1808" s="593"/>
      <c r="G1808" s="776" t="s">
        <v>3494</v>
      </c>
      <c r="H1808" s="594"/>
      <c r="I1808" s="595">
        <f t="shared" si="141"/>
        <v>0</v>
      </c>
      <c r="J1808" s="595">
        <f t="shared" si="142"/>
        <v>0</v>
      </c>
      <c r="K1808" s="596"/>
      <c r="L1808" s="597"/>
    </row>
    <row r="1809" spans="1:12" s="429" customFormat="1" x14ac:dyDescent="0.2">
      <c r="A1809" s="316">
        <v>4</v>
      </c>
      <c r="B1809" s="591"/>
      <c r="C1809" s="598"/>
      <c r="D1809" s="586"/>
      <c r="E1809" s="593"/>
      <c r="F1809" s="593"/>
      <c r="G1809" s="761" t="s">
        <v>3495</v>
      </c>
      <c r="H1809" s="594"/>
      <c r="I1809" s="595">
        <f t="shared" si="141"/>
        <v>0</v>
      </c>
      <c r="J1809" s="595">
        <f t="shared" si="142"/>
        <v>0</v>
      </c>
      <c r="K1809" s="596"/>
      <c r="L1809" s="597"/>
    </row>
    <row r="1810" spans="1:12" s="429" customFormat="1" x14ac:dyDescent="0.2">
      <c r="A1810" s="316">
        <v>5</v>
      </c>
      <c r="B1810" s="591"/>
      <c r="C1810" s="598"/>
      <c r="D1810" s="586"/>
      <c r="E1810" s="593"/>
      <c r="F1810" s="593"/>
      <c r="G1810" s="776" t="s">
        <v>3496</v>
      </c>
      <c r="H1810" s="594"/>
      <c r="I1810" s="595">
        <f t="shared" si="141"/>
        <v>0</v>
      </c>
      <c r="J1810" s="595">
        <f t="shared" si="142"/>
        <v>0</v>
      </c>
      <c r="K1810" s="596"/>
      <c r="L1810" s="597"/>
    </row>
    <row r="1811" spans="1:12" s="429" customFormat="1" x14ac:dyDescent="0.2">
      <c r="A1811" s="316">
        <v>6</v>
      </c>
      <c r="B1811" s="591"/>
      <c r="C1811" s="598"/>
      <c r="D1811" s="586"/>
      <c r="E1811" s="587"/>
      <c r="F1811" s="588"/>
      <c r="G1811" s="776" t="s">
        <v>3497</v>
      </c>
      <c r="H1811" s="599"/>
      <c r="I1811" s="595">
        <f t="shared" si="141"/>
        <v>0</v>
      </c>
      <c r="J1811" s="595">
        <f t="shared" si="142"/>
        <v>0</v>
      </c>
      <c r="K1811" s="596"/>
      <c r="L1811" s="597"/>
    </row>
    <row r="1812" spans="1:12" s="429" customFormat="1" x14ac:dyDescent="0.2">
      <c r="A1812" s="316">
        <v>7</v>
      </c>
      <c r="B1812" s="591"/>
      <c r="C1812" s="598"/>
      <c r="D1812" s="586"/>
      <c r="E1812" s="587"/>
      <c r="F1812" s="588"/>
      <c r="G1812" s="761" t="s">
        <v>3498</v>
      </c>
      <c r="H1812" s="599"/>
      <c r="I1812" s="595">
        <f t="shared" si="141"/>
        <v>0</v>
      </c>
      <c r="J1812" s="595">
        <f t="shared" si="142"/>
        <v>0</v>
      </c>
      <c r="K1812" s="596"/>
      <c r="L1812" s="597"/>
    </row>
    <row r="1813" spans="1:12" s="429" customFormat="1" x14ac:dyDescent="0.2">
      <c r="A1813" s="316">
        <v>8</v>
      </c>
      <c r="B1813" s="591"/>
      <c r="C1813" s="598"/>
      <c r="D1813" s="586"/>
      <c r="E1813" s="587"/>
      <c r="F1813" s="588"/>
      <c r="G1813" s="776" t="s">
        <v>3499</v>
      </c>
      <c r="H1813" s="599"/>
      <c r="I1813" s="595">
        <f t="shared" si="141"/>
        <v>0</v>
      </c>
      <c r="J1813" s="595">
        <f t="shared" si="142"/>
        <v>0</v>
      </c>
      <c r="K1813" s="596"/>
      <c r="L1813" s="597"/>
    </row>
    <row r="1814" spans="1:12" s="429" customFormat="1" x14ac:dyDescent="0.2">
      <c r="A1814" s="316">
        <v>9</v>
      </c>
      <c r="B1814" s="591"/>
      <c r="C1814" s="598"/>
      <c r="D1814" s="586"/>
      <c r="E1814" s="593"/>
      <c r="F1814" s="593"/>
      <c r="G1814" s="776" t="s">
        <v>3500</v>
      </c>
      <c r="H1814" s="599"/>
      <c r="I1814" s="595">
        <f t="shared" si="141"/>
        <v>0</v>
      </c>
      <c r="J1814" s="595">
        <f t="shared" si="142"/>
        <v>0</v>
      </c>
      <c r="K1814" s="596"/>
      <c r="L1814" s="597"/>
    </row>
    <row r="1815" spans="1:12" s="429" customFormat="1" x14ac:dyDescent="0.2">
      <c r="A1815" s="316">
        <v>10</v>
      </c>
      <c r="B1815" s="591"/>
      <c r="C1815" s="598"/>
      <c r="D1815" s="586"/>
      <c r="E1815" s="587"/>
      <c r="F1815" s="588"/>
      <c r="G1815" s="776" t="s">
        <v>5786</v>
      </c>
      <c r="H1815" s="599"/>
      <c r="I1815" s="595">
        <f t="shared" si="141"/>
        <v>0</v>
      </c>
      <c r="J1815" s="595">
        <f t="shared" si="142"/>
        <v>0</v>
      </c>
      <c r="K1815" s="596"/>
      <c r="L1815" s="597"/>
    </row>
    <row r="1816" spans="1:12" s="429" customFormat="1" x14ac:dyDescent="0.2">
      <c r="A1816" s="316">
        <v>11</v>
      </c>
      <c r="B1816" s="591"/>
      <c r="C1816" s="598"/>
      <c r="D1816" s="586"/>
      <c r="E1816" s="593"/>
      <c r="F1816" s="593"/>
      <c r="G1816" s="776" t="s">
        <v>5787</v>
      </c>
      <c r="H1816" s="599"/>
      <c r="I1816" s="595">
        <f t="shared" si="141"/>
        <v>0</v>
      </c>
      <c r="J1816" s="595">
        <f t="shared" si="142"/>
        <v>0</v>
      </c>
      <c r="K1816" s="596"/>
      <c r="L1816" s="597"/>
    </row>
    <row r="1817" spans="1:12" s="429" customFormat="1" x14ac:dyDescent="0.2">
      <c r="A1817" s="316">
        <v>12</v>
      </c>
      <c r="B1817" s="591"/>
      <c r="C1817" s="598"/>
      <c r="D1817" s="586"/>
      <c r="E1817" s="587"/>
      <c r="F1817" s="588"/>
      <c r="G1817" s="776" t="s">
        <v>5788</v>
      </c>
      <c r="H1817" s="599"/>
      <c r="I1817" s="595">
        <f t="shared" si="141"/>
        <v>0</v>
      </c>
      <c r="J1817" s="595">
        <f t="shared" si="142"/>
        <v>0</v>
      </c>
      <c r="K1817" s="596"/>
      <c r="L1817" s="597"/>
    </row>
    <row r="1818" spans="1:12" s="429" customFormat="1" x14ac:dyDescent="0.2">
      <c r="A1818" s="316">
        <v>13</v>
      </c>
      <c r="B1818" s="591"/>
      <c r="C1818" s="598"/>
      <c r="D1818" s="586"/>
      <c r="E1818" s="587"/>
      <c r="F1818" s="588"/>
      <c r="G1818" s="776" t="s">
        <v>5789</v>
      </c>
      <c r="H1818" s="599"/>
      <c r="I1818" s="595">
        <f t="shared" si="141"/>
        <v>0</v>
      </c>
      <c r="J1818" s="595">
        <f t="shared" si="142"/>
        <v>0</v>
      </c>
      <c r="K1818" s="596"/>
      <c r="L1818" s="597"/>
    </row>
    <row r="1819" spans="1:12" s="429" customFormat="1" x14ac:dyDescent="0.2">
      <c r="A1819" s="316">
        <v>14</v>
      </c>
      <c r="B1819" s="591"/>
      <c r="C1819" s="598"/>
      <c r="D1819" s="586"/>
      <c r="E1819" s="593"/>
      <c r="F1819" s="593"/>
      <c r="G1819" s="776" t="s">
        <v>5790</v>
      </c>
      <c r="H1819" s="599"/>
      <c r="I1819" s="595">
        <f t="shared" si="141"/>
        <v>0</v>
      </c>
      <c r="J1819" s="595">
        <f t="shared" si="142"/>
        <v>0</v>
      </c>
      <c r="K1819" s="596"/>
      <c r="L1819" s="597"/>
    </row>
    <row r="1820" spans="1:12" s="429" customFormat="1" x14ac:dyDescent="0.2">
      <c r="A1820" s="316">
        <v>15</v>
      </c>
      <c r="B1820" s="591"/>
      <c r="C1820" s="598"/>
      <c r="D1820" s="586"/>
      <c r="E1820" s="587"/>
      <c r="F1820" s="588"/>
      <c r="G1820" s="776" t="s">
        <v>5791</v>
      </c>
      <c r="H1820" s="599"/>
      <c r="I1820" s="595">
        <f t="shared" si="141"/>
        <v>0</v>
      </c>
      <c r="J1820" s="595">
        <f t="shared" si="142"/>
        <v>0</v>
      </c>
      <c r="K1820" s="596"/>
      <c r="L1820" s="597"/>
    </row>
    <row r="1821" spans="1:12" s="429" customFormat="1" x14ac:dyDescent="0.2">
      <c r="A1821" s="316">
        <v>16</v>
      </c>
      <c r="B1821" s="591"/>
      <c r="C1821" s="598"/>
      <c r="D1821" s="586"/>
      <c r="E1821" s="593"/>
      <c r="F1821" s="593"/>
      <c r="G1821" s="776" t="s">
        <v>5792</v>
      </c>
      <c r="H1821" s="599"/>
      <c r="I1821" s="595">
        <f t="shared" si="141"/>
        <v>0</v>
      </c>
      <c r="J1821" s="595">
        <f t="shared" si="142"/>
        <v>0</v>
      </c>
      <c r="K1821" s="596"/>
      <c r="L1821" s="597"/>
    </row>
    <row r="1822" spans="1:12" s="429" customFormat="1" x14ac:dyDescent="0.2">
      <c r="A1822" s="316">
        <v>17</v>
      </c>
      <c r="B1822" s="591"/>
      <c r="C1822" s="598"/>
      <c r="D1822" s="586"/>
      <c r="E1822" s="587"/>
      <c r="F1822" s="588"/>
      <c r="G1822" s="776" t="s">
        <v>5793</v>
      </c>
      <c r="H1822" s="599"/>
      <c r="I1822" s="595">
        <f t="shared" si="141"/>
        <v>0</v>
      </c>
      <c r="J1822" s="595">
        <f t="shared" si="142"/>
        <v>0</v>
      </c>
      <c r="K1822" s="596"/>
      <c r="L1822" s="597"/>
    </row>
    <row r="1823" spans="1:12" s="429" customFormat="1" x14ac:dyDescent="0.2">
      <c r="A1823" s="316">
        <v>18</v>
      </c>
      <c r="B1823" s="591"/>
      <c r="C1823" s="598"/>
      <c r="D1823" s="586"/>
      <c r="E1823" s="587"/>
      <c r="F1823" s="588"/>
      <c r="G1823" s="776" t="s">
        <v>5794</v>
      </c>
      <c r="H1823" s="599"/>
      <c r="I1823" s="595">
        <f t="shared" si="141"/>
        <v>0</v>
      </c>
      <c r="J1823" s="595">
        <f t="shared" si="142"/>
        <v>0</v>
      </c>
      <c r="K1823" s="596"/>
      <c r="L1823" s="597"/>
    </row>
    <row r="1824" spans="1:12" s="429" customFormat="1" x14ac:dyDescent="0.2">
      <c r="A1824" s="316">
        <v>19</v>
      </c>
      <c r="B1824" s="591"/>
      <c r="C1824" s="598"/>
      <c r="D1824" s="586"/>
      <c r="E1824" s="587"/>
      <c r="F1824" s="588"/>
      <c r="G1824" s="776" t="s">
        <v>5795</v>
      </c>
      <c r="H1824" s="599"/>
      <c r="I1824" s="595">
        <f t="shared" si="141"/>
        <v>0</v>
      </c>
      <c r="J1824" s="595">
        <f t="shared" si="142"/>
        <v>0</v>
      </c>
      <c r="K1824" s="596"/>
      <c r="L1824" s="597"/>
    </row>
    <row r="1825" spans="1:12" s="429" customFormat="1" x14ac:dyDescent="0.2">
      <c r="A1825" s="316">
        <v>20</v>
      </c>
      <c r="B1825" s="591"/>
      <c r="C1825" s="598"/>
      <c r="D1825" s="586"/>
      <c r="E1825" s="593"/>
      <c r="F1825" s="593"/>
      <c r="G1825" s="776" t="s">
        <v>5796</v>
      </c>
      <c r="H1825" s="594"/>
      <c r="I1825" s="595">
        <f t="shared" si="141"/>
        <v>0</v>
      </c>
      <c r="J1825" s="595">
        <f t="shared" si="142"/>
        <v>0</v>
      </c>
      <c r="K1825" s="596"/>
      <c r="L1825" s="597"/>
    </row>
    <row r="1826" spans="1:12" s="429" customFormat="1" x14ac:dyDescent="0.2">
      <c r="A1826" s="316">
        <v>21</v>
      </c>
      <c r="B1826" s="591"/>
      <c r="C1826" s="598"/>
      <c r="D1826" s="586"/>
      <c r="E1826" s="587"/>
      <c r="F1826" s="588"/>
      <c r="G1826" s="776" t="s">
        <v>5797</v>
      </c>
      <c r="H1826" s="599"/>
      <c r="I1826" s="595">
        <f t="shared" si="141"/>
        <v>0</v>
      </c>
      <c r="J1826" s="595">
        <f t="shared" si="142"/>
        <v>0</v>
      </c>
      <c r="K1826" s="596"/>
      <c r="L1826" s="597"/>
    </row>
    <row r="1827" spans="1:12" s="429" customFormat="1" x14ac:dyDescent="0.2">
      <c r="A1827" s="316">
        <v>22</v>
      </c>
      <c r="B1827" s="591"/>
      <c r="C1827" s="598"/>
      <c r="D1827" s="586"/>
      <c r="E1827" s="587"/>
      <c r="F1827" s="588"/>
      <c r="G1827" s="776" t="s">
        <v>5798</v>
      </c>
      <c r="H1827" s="599"/>
      <c r="I1827" s="595">
        <f t="shared" si="141"/>
        <v>0</v>
      </c>
      <c r="J1827" s="595">
        <f t="shared" si="142"/>
        <v>0</v>
      </c>
      <c r="K1827" s="596"/>
      <c r="L1827" s="597"/>
    </row>
    <row r="1828" spans="1:12" s="429" customFormat="1" x14ac:dyDescent="0.2">
      <c r="A1828" s="316">
        <v>23</v>
      </c>
      <c r="B1828" s="591"/>
      <c r="C1828" s="598"/>
      <c r="D1828" s="586"/>
      <c r="E1828" s="587"/>
      <c r="F1828" s="588"/>
      <c r="G1828" s="776" t="s">
        <v>5799</v>
      </c>
      <c r="H1828" s="599"/>
      <c r="I1828" s="595">
        <f t="shared" si="141"/>
        <v>0</v>
      </c>
      <c r="J1828" s="595">
        <f t="shared" si="142"/>
        <v>0</v>
      </c>
      <c r="K1828" s="596"/>
      <c r="L1828" s="597"/>
    </row>
    <row r="1829" spans="1:12" s="429" customFormat="1" x14ac:dyDescent="0.2">
      <c r="A1829" s="316">
        <v>24</v>
      </c>
      <c r="B1829" s="591"/>
      <c r="C1829" s="598"/>
      <c r="D1829" s="586"/>
      <c r="E1829" s="587"/>
      <c r="F1829" s="588"/>
      <c r="G1829" s="776" t="s">
        <v>5800</v>
      </c>
      <c r="H1829" s="599"/>
      <c r="I1829" s="595">
        <f t="shared" si="141"/>
        <v>0</v>
      </c>
      <c r="J1829" s="595">
        <f t="shared" si="142"/>
        <v>0</v>
      </c>
      <c r="K1829" s="596"/>
      <c r="L1829" s="597"/>
    </row>
    <row r="1830" spans="1:12" s="429" customFormat="1" x14ac:dyDescent="0.2">
      <c r="A1830" s="316">
        <v>25</v>
      </c>
      <c r="B1830" s="591"/>
      <c r="C1830" s="598"/>
      <c r="D1830" s="586"/>
      <c r="E1830" s="587"/>
      <c r="F1830" s="588"/>
      <c r="G1830" s="776" t="s">
        <v>5801</v>
      </c>
      <c r="H1830" s="599"/>
      <c r="I1830" s="595">
        <f t="shared" si="141"/>
        <v>0</v>
      </c>
      <c r="J1830" s="595">
        <f t="shared" si="142"/>
        <v>0</v>
      </c>
      <c r="K1830" s="596"/>
      <c r="L1830" s="597"/>
    </row>
    <row r="1831" spans="1:12" x14ac:dyDescent="0.2">
      <c r="A1831" s="316">
        <v>26</v>
      </c>
      <c r="B1831" s="591"/>
      <c r="C1831" s="598"/>
      <c r="D1831" s="586"/>
      <c r="E1831" s="587"/>
      <c r="F1831" s="588"/>
      <c r="G1831" s="776" t="s">
        <v>5802</v>
      </c>
      <c r="H1831" s="599"/>
      <c r="I1831" s="595">
        <f t="shared" si="141"/>
        <v>0</v>
      </c>
      <c r="J1831" s="595">
        <f t="shared" si="142"/>
        <v>0</v>
      </c>
      <c r="K1831" s="596"/>
      <c r="L1831" s="597"/>
    </row>
    <row r="1832" spans="1:12" x14ac:dyDescent="0.2">
      <c r="A1832" s="316">
        <v>27</v>
      </c>
      <c r="B1832" s="591"/>
      <c r="C1832" s="598"/>
      <c r="D1832" s="586"/>
      <c r="E1832" s="587"/>
      <c r="F1832" s="588"/>
      <c r="G1832" s="776" t="s">
        <v>5803</v>
      </c>
      <c r="H1832" s="599"/>
      <c r="I1832" s="595">
        <f t="shared" si="141"/>
        <v>0</v>
      </c>
      <c r="J1832" s="595">
        <f t="shared" si="142"/>
        <v>0</v>
      </c>
      <c r="K1832" s="596"/>
      <c r="L1832" s="597"/>
    </row>
    <row r="1833" spans="1:12" x14ac:dyDescent="0.2">
      <c r="A1833" s="316">
        <v>28</v>
      </c>
      <c r="B1833" s="591"/>
      <c r="C1833" s="598"/>
      <c r="D1833" s="586"/>
      <c r="E1833" s="587"/>
      <c r="F1833" s="588"/>
      <c r="G1833" s="776" t="s">
        <v>5804</v>
      </c>
      <c r="H1833" s="599"/>
      <c r="I1833" s="595">
        <f t="shared" si="141"/>
        <v>0</v>
      </c>
      <c r="J1833" s="595">
        <f t="shared" si="142"/>
        <v>0</v>
      </c>
      <c r="K1833" s="596"/>
      <c r="L1833" s="597"/>
    </row>
    <row r="1834" spans="1:12" x14ac:dyDescent="0.2">
      <c r="A1834" s="316">
        <v>29</v>
      </c>
      <c r="B1834" s="591"/>
      <c r="C1834" s="598"/>
      <c r="D1834" s="586"/>
      <c r="E1834" s="587"/>
      <c r="F1834" s="588"/>
      <c r="G1834" s="776" t="s">
        <v>5805</v>
      </c>
      <c r="H1834" s="599"/>
      <c r="I1834" s="595">
        <f t="shared" si="141"/>
        <v>0</v>
      </c>
      <c r="J1834" s="595">
        <f t="shared" si="142"/>
        <v>0</v>
      </c>
      <c r="K1834" s="596"/>
      <c r="L1834" s="597"/>
    </row>
    <row r="1835" spans="1:12" x14ac:dyDescent="0.2">
      <c r="A1835" s="316">
        <v>30</v>
      </c>
      <c r="B1835" s="591"/>
      <c r="C1835" s="598"/>
      <c r="D1835" s="586"/>
      <c r="E1835" s="587"/>
      <c r="F1835" s="588"/>
      <c r="G1835" s="776" t="s">
        <v>5806</v>
      </c>
      <c r="H1835" s="599"/>
      <c r="I1835" s="595">
        <f t="shared" si="141"/>
        <v>0</v>
      </c>
      <c r="J1835" s="595">
        <f t="shared" si="142"/>
        <v>0</v>
      </c>
      <c r="K1835" s="596"/>
      <c r="L1835" s="597"/>
    </row>
    <row r="1836" spans="1:12" x14ac:dyDescent="0.2">
      <c r="A1836" s="316">
        <v>31</v>
      </c>
      <c r="B1836" s="591"/>
      <c r="C1836" s="598"/>
      <c r="D1836" s="586"/>
      <c r="E1836" s="587"/>
      <c r="F1836" s="588"/>
      <c r="G1836" s="776" t="s">
        <v>5807</v>
      </c>
      <c r="H1836" s="599"/>
      <c r="I1836" s="595">
        <f t="shared" si="141"/>
        <v>0</v>
      </c>
      <c r="J1836" s="595">
        <f t="shared" si="142"/>
        <v>0</v>
      </c>
      <c r="K1836" s="596"/>
      <c r="L1836" s="597"/>
    </row>
    <row r="1837" spans="1:12" x14ac:dyDescent="0.2">
      <c r="A1837" s="316">
        <v>32</v>
      </c>
      <c r="B1837" s="591"/>
      <c r="C1837" s="598"/>
      <c r="D1837" s="586"/>
      <c r="E1837" s="587"/>
      <c r="F1837" s="588"/>
      <c r="G1837" s="776" t="s">
        <v>5808</v>
      </c>
      <c r="H1837" s="599"/>
      <c r="I1837" s="595">
        <f t="shared" si="141"/>
        <v>0</v>
      </c>
      <c r="J1837" s="595">
        <f t="shared" si="142"/>
        <v>0</v>
      </c>
      <c r="K1837" s="596"/>
      <c r="L1837" s="597"/>
    </row>
    <row r="1838" spans="1:12" x14ac:dyDescent="0.2">
      <c r="A1838" s="316">
        <v>33</v>
      </c>
      <c r="B1838" s="591"/>
      <c r="C1838" s="598"/>
      <c r="D1838" s="586"/>
      <c r="E1838" s="593"/>
      <c r="F1838" s="593"/>
      <c r="G1838" s="776" t="s">
        <v>5809</v>
      </c>
      <c r="H1838" s="594"/>
      <c r="I1838" s="595">
        <f t="shared" si="141"/>
        <v>0</v>
      </c>
      <c r="J1838" s="595">
        <f t="shared" si="142"/>
        <v>0</v>
      </c>
      <c r="K1838" s="596"/>
      <c r="L1838" s="600"/>
    </row>
    <row r="1839" spans="1:12" x14ac:dyDescent="0.2">
      <c r="A1839" s="316">
        <v>34</v>
      </c>
      <c r="B1839" s="591"/>
      <c r="C1839" s="598"/>
      <c r="D1839" s="586"/>
      <c r="E1839" s="587"/>
      <c r="F1839" s="588"/>
      <c r="G1839" s="776" t="s">
        <v>5810</v>
      </c>
      <c r="H1839" s="599"/>
      <c r="I1839" s="595">
        <f t="shared" si="141"/>
        <v>0</v>
      </c>
      <c r="J1839" s="595">
        <f t="shared" si="142"/>
        <v>0</v>
      </c>
      <c r="K1839" s="596"/>
      <c r="L1839" s="597"/>
    </row>
    <row r="1840" spans="1:12" x14ac:dyDescent="0.2">
      <c r="A1840" s="316">
        <v>35</v>
      </c>
      <c r="B1840" s="591"/>
      <c r="C1840" s="598"/>
      <c r="D1840" s="586"/>
      <c r="E1840" s="587"/>
      <c r="F1840" s="588"/>
      <c r="G1840" s="776" t="s">
        <v>5811</v>
      </c>
      <c r="H1840" s="599"/>
      <c r="I1840" s="595">
        <f t="shared" si="141"/>
        <v>0</v>
      </c>
      <c r="J1840" s="595">
        <f t="shared" si="142"/>
        <v>0</v>
      </c>
      <c r="K1840" s="596"/>
      <c r="L1840" s="597"/>
    </row>
    <row r="1841" spans="1:12" x14ac:dyDescent="0.2">
      <c r="A1841" s="316">
        <v>36</v>
      </c>
      <c r="B1841" s="591"/>
      <c r="C1841" s="598"/>
      <c r="D1841" s="586"/>
      <c r="E1841" s="587"/>
      <c r="F1841" s="588"/>
      <c r="G1841" s="776" t="s">
        <v>5812</v>
      </c>
      <c r="H1841" s="599"/>
      <c r="I1841" s="595">
        <f t="shared" si="141"/>
        <v>0</v>
      </c>
      <c r="J1841" s="595">
        <f t="shared" si="142"/>
        <v>0</v>
      </c>
      <c r="K1841" s="596"/>
      <c r="L1841" s="597"/>
    </row>
    <row r="1842" spans="1:12" x14ac:dyDescent="0.2">
      <c r="A1842" s="316">
        <v>37</v>
      </c>
      <c r="B1842" s="591"/>
      <c r="C1842" s="598"/>
      <c r="D1842" s="586"/>
      <c r="E1842" s="587"/>
      <c r="F1842" s="588"/>
      <c r="G1842" s="776" t="s">
        <v>5813</v>
      </c>
      <c r="H1842" s="599"/>
      <c r="I1842" s="595">
        <f t="shared" si="141"/>
        <v>0</v>
      </c>
      <c r="J1842" s="595">
        <f t="shared" si="142"/>
        <v>0</v>
      </c>
      <c r="K1842" s="596"/>
      <c r="L1842" s="597"/>
    </row>
    <row r="1843" spans="1:12" x14ac:dyDescent="0.2">
      <c r="A1843" s="316">
        <v>38</v>
      </c>
      <c r="B1843" s="591"/>
      <c r="C1843" s="598"/>
      <c r="D1843" s="586"/>
      <c r="E1843" s="587"/>
      <c r="F1843" s="588"/>
      <c r="G1843" s="776" t="s">
        <v>5814</v>
      </c>
      <c r="H1843" s="599"/>
      <c r="I1843" s="595">
        <f t="shared" si="141"/>
        <v>0</v>
      </c>
      <c r="J1843" s="595">
        <f t="shared" si="142"/>
        <v>0</v>
      </c>
      <c r="K1843" s="596"/>
      <c r="L1843" s="597"/>
    </row>
    <row r="1844" spans="1:12" x14ac:dyDescent="0.2">
      <c r="A1844" s="316">
        <v>39</v>
      </c>
      <c r="B1844" s="591"/>
      <c r="C1844" s="598"/>
      <c r="D1844" s="586"/>
      <c r="E1844" s="587"/>
      <c r="F1844" s="588"/>
      <c r="G1844" s="776" t="s">
        <v>5815</v>
      </c>
      <c r="H1844" s="599"/>
      <c r="I1844" s="595">
        <f t="shared" si="141"/>
        <v>0</v>
      </c>
      <c r="J1844" s="595">
        <f t="shared" si="142"/>
        <v>0</v>
      </c>
      <c r="K1844" s="596"/>
      <c r="L1844" s="597"/>
    </row>
    <row r="1845" spans="1:12" x14ac:dyDescent="0.2">
      <c r="A1845" s="316">
        <v>40</v>
      </c>
      <c r="B1845" s="591"/>
      <c r="C1845" s="598"/>
      <c r="D1845" s="586"/>
      <c r="E1845" s="587"/>
      <c r="F1845" s="588"/>
      <c r="G1845" s="776" t="s">
        <v>5816</v>
      </c>
      <c r="H1845" s="599"/>
      <c r="I1845" s="595">
        <f t="shared" si="141"/>
        <v>0</v>
      </c>
      <c r="J1845" s="595">
        <f t="shared" si="142"/>
        <v>0</v>
      </c>
      <c r="K1845" s="596"/>
      <c r="L1845" s="597"/>
    </row>
    <row r="1846" spans="1:12" x14ac:dyDescent="0.2">
      <c r="A1846" s="316">
        <v>41</v>
      </c>
      <c r="B1846" s="591"/>
      <c r="C1846" s="598"/>
      <c r="D1846" s="586"/>
      <c r="E1846" s="593"/>
      <c r="F1846" s="593"/>
      <c r="G1846" s="776" t="s">
        <v>5817</v>
      </c>
      <c r="H1846" s="599"/>
      <c r="I1846" s="595">
        <f t="shared" si="141"/>
        <v>0</v>
      </c>
      <c r="J1846" s="595">
        <f t="shared" si="142"/>
        <v>0</v>
      </c>
      <c r="K1846" s="596"/>
      <c r="L1846" s="597"/>
    </row>
    <row r="1847" spans="1:12" x14ac:dyDescent="0.2">
      <c r="A1847" s="316">
        <v>42</v>
      </c>
      <c r="B1847" s="591"/>
      <c r="C1847" s="598"/>
      <c r="D1847" s="586"/>
      <c r="E1847" s="593"/>
      <c r="F1847" s="593"/>
      <c r="G1847" s="776" t="s">
        <v>5818</v>
      </c>
      <c r="H1847" s="594"/>
      <c r="I1847" s="595">
        <f t="shared" si="141"/>
        <v>0</v>
      </c>
      <c r="J1847" s="595">
        <f t="shared" si="142"/>
        <v>0</v>
      </c>
      <c r="K1847" s="596"/>
      <c r="L1847" s="597"/>
    </row>
    <row r="1848" spans="1:12" x14ac:dyDescent="0.2">
      <c r="A1848" s="316">
        <v>43</v>
      </c>
      <c r="B1848" s="591"/>
      <c r="C1848" s="598"/>
      <c r="D1848" s="586"/>
      <c r="E1848" s="587"/>
      <c r="F1848" s="588"/>
      <c r="G1848" s="776" t="s">
        <v>5819</v>
      </c>
      <c r="H1848" s="599"/>
      <c r="I1848" s="595">
        <f t="shared" si="141"/>
        <v>0</v>
      </c>
      <c r="J1848" s="595">
        <f t="shared" si="142"/>
        <v>0</v>
      </c>
      <c r="K1848" s="596"/>
      <c r="L1848" s="597"/>
    </row>
    <row r="1849" spans="1:12" x14ac:dyDescent="0.2">
      <c r="A1849" s="316">
        <v>44</v>
      </c>
      <c r="B1849" s="591"/>
      <c r="C1849" s="598"/>
      <c r="D1849" s="586"/>
      <c r="E1849" s="587"/>
      <c r="F1849" s="588"/>
      <c r="G1849" s="776" t="s">
        <v>5820</v>
      </c>
      <c r="H1849" s="599"/>
      <c r="I1849" s="595">
        <f t="shared" si="141"/>
        <v>0</v>
      </c>
      <c r="J1849" s="595">
        <f t="shared" si="142"/>
        <v>0</v>
      </c>
      <c r="K1849" s="596"/>
      <c r="L1849" s="597"/>
    </row>
    <row r="1850" spans="1:12" x14ac:dyDescent="0.2">
      <c r="A1850" s="316">
        <v>45</v>
      </c>
      <c r="B1850" s="591"/>
      <c r="C1850" s="598"/>
      <c r="D1850" s="586"/>
      <c r="E1850" s="587"/>
      <c r="F1850" s="588"/>
      <c r="G1850" s="776" t="s">
        <v>5821</v>
      </c>
      <c r="H1850" s="599"/>
      <c r="I1850" s="595">
        <f t="shared" si="141"/>
        <v>0</v>
      </c>
      <c r="J1850" s="595">
        <f t="shared" si="142"/>
        <v>0</v>
      </c>
      <c r="K1850" s="596"/>
      <c r="L1850" s="597"/>
    </row>
    <row r="1851" spans="1:12" x14ac:dyDescent="0.2">
      <c r="A1851" s="316">
        <v>46</v>
      </c>
      <c r="B1851" s="591"/>
      <c r="C1851" s="598"/>
      <c r="D1851" s="586"/>
      <c r="E1851" s="587"/>
      <c r="F1851" s="588"/>
      <c r="G1851" s="776" t="s">
        <v>5822</v>
      </c>
      <c r="H1851" s="599"/>
      <c r="I1851" s="595">
        <f t="shared" si="141"/>
        <v>0</v>
      </c>
      <c r="J1851" s="595">
        <f t="shared" si="142"/>
        <v>0</v>
      </c>
      <c r="K1851" s="596"/>
      <c r="L1851" s="597"/>
    </row>
    <row r="1852" spans="1:12" x14ac:dyDescent="0.2">
      <c r="A1852" s="316">
        <v>47</v>
      </c>
      <c r="B1852" s="591"/>
      <c r="C1852" s="598"/>
      <c r="D1852" s="586"/>
      <c r="E1852" s="587"/>
      <c r="F1852" s="588"/>
      <c r="G1852" s="776" t="s">
        <v>5823</v>
      </c>
      <c r="H1852" s="599"/>
      <c r="I1852" s="595">
        <f t="shared" si="141"/>
        <v>0</v>
      </c>
      <c r="J1852" s="595">
        <f t="shared" si="142"/>
        <v>0</v>
      </c>
      <c r="K1852" s="596"/>
      <c r="L1852" s="597"/>
    </row>
    <row r="1853" spans="1:12" x14ac:dyDescent="0.2">
      <c r="A1853" s="316">
        <v>48</v>
      </c>
      <c r="B1853" s="591"/>
      <c r="C1853" s="598"/>
      <c r="D1853" s="586"/>
      <c r="E1853" s="587"/>
      <c r="F1853" s="588"/>
      <c r="G1853" s="776" t="s">
        <v>5824</v>
      </c>
      <c r="H1853" s="599"/>
      <c r="I1853" s="595">
        <f t="shared" si="141"/>
        <v>0</v>
      </c>
      <c r="J1853" s="595">
        <f t="shared" si="142"/>
        <v>0</v>
      </c>
      <c r="K1853" s="596"/>
      <c r="L1853" s="597"/>
    </row>
    <row r="1854" spans="1:12" x14ac:dyDescent="0.2">
      <c r="A1854" s="316">
        <v>49</v>
      </c>
      <c r="B1854" s="591"/>
      <c r="C1854" s="598"/>
      <c r="D1854" s="586"/>
      <c r="E1854" s="587"/>
      <c r="F1854" s="588"/>
      <c r="G1854" s="776" t="s">
        <v>5825</v>
      </c>
      <c r="H1854" s="599"/>
      <c r="I1854" s="595">
        <f t="shared" si="141"/>
        <v>0</v>
      </c>
      <c r="J1854" s="595">
        <f t="shared" si="142"/>
        <v>0</v>
      </c>
      <c r="K1854" s="596"/>
      <c r="L1854" s="597"/>
    </row>
    <row r="1855" spans="1:12" x14ac:dyDescent="0.2">
      <c r="A1855" s="316">
        <v>50</v>
      </c>
      <c r="B1855" s="591"/>
      <c r="C1855" s="598"/>
      <c r="D1855" s="586"/>
      <c r="E1855" s="587"/>
      <c r="F1855" s="588"/>
      <c r="G1855" s="776" t="s">
        <v>5826</v>
      </c>
      <c r="H1855" s="599"/>
      <c r="I1855" s="595">
        <f t="shared" si="141"/>
        <v>0</v>
      </c>
      <c r="J1855" s="595">
        <f t="shared" si="142"/>
        <v>0</v>
      </c>
      <c r="K1855" s="596"/>
      <c r="L1855" s="597"/>
    </row>
    <row r="1856" spans="1:12" x14ac:dyDescent="0.2">
      <c r="A1856" s="316">
        <v>51</v>
      </c>
      <c r="B1856" s="591"/>
      <c r="C1856" s="598"/>
      <c r="D1856" s="586"/>
      <c r="E1856" s="587"/>
      <c r="F1856" s="588"/>
      <c r="G1856" s="776" t="s">
        <v>5827</v>
      </c>
      <c r="H1856" s="599"/>
      <c r="I1856" s="595">
        <f t="shared" si="141"/>
        <v>0</v>
      </c>
      <c r="J1856" s="595">
        <f t="shared" si="142"/>
        <v>0</v>
      </c>
      <c r="K1856" s="596"/>
      <c r="L1856" s="597"/>
    </row>
    <row r="1857" spans="1:12" x14ac:dyDescent="0.2">
      <c r="A1857" s="316">
        <v>52</v>
      </c>
      <c r="B1857" s="591"/>
      <c r="C1857" s="598"/>
      <c r="D1857" s="586"/>
      <c r="E1857" s="587"/>
      <c r="F1857" s="588"/>
      <c r="G1857" s="776" t="s">
        <v>5828</v>
      </c>
      <c r="H1857" s="599"/>
      <c r="I1857" s="595">
        <f t="shared" si="141"/>
        <v>0</v>
      </c>
      <c r="J1857" s="595">
        <f t="shared" si="142"/>
        <v>0</v>
      </c>
      <c r="K1857" s="596"/>
      <c r="L1857" s="597"/>
    </row>
    <row r="1858" spans="1:12" x14ac:dyDescent="0.2">
      <c r="A1858" s="316">
        <v>53</v>
      </c>
      <c r="B1858" s="591"/>
      <c r="C1858" s="598"/>
      <c r="D1858" s="586"/>
      <c r="E1858" s="593"/>
      <c r="F1858" s="593"/>
      <c r="G1858" s="776" t="s">
        <v>5829</v>
      </c>
      <c r="H1858" s="594"/>
      <c r="I1858" s="595">
        <f t="shared" si="141"/>
        <v>0</v>
      </c>
      <c r="J1858" s="595">
        <f t="shared" si="142"/>
        <v>0</v>
      </c>
      <c r="K1858" s="596"/>
      <c r="L1858" s="597"/>
    </row>
    <row r="1859" spans="1:12" x14ac:dyDescent="0.2">
      <c r="A1859" s="316">
        <v>54</v>
      </c>
      <c r="B1859" s="591"/>
      <c r="C1859" s="598"/>
      <c r="D1859" s="586"/>
      <c r="E1859" s="587"/>
      <c r="F1859" s="588"/>
      <c r="G1859" s="776" t="s">
        <v>5830</v>
      </c>
      <c r="H1859" s="599"/>
      <c r="I1859" s="595">
        <f t="shared" si="141"/>
        <v>0</v>
      </c>
      <c r="J1859" s="595">
        <f t="shared" si="142"/>
        <v>0</v>
      </c>
      <c r="K1859" s="596"/>
      <c r="L1859" s="597"/>
    </row>
    <row r="1860" spans="1:12" x14ac:dyDescent="0.2">
      <c r="A1860" s="316">
        <v>55</v>
      </c>
      <c r="B1860" s="591"/>
      <c r="C1860" s="598"/>
      <c r="D1860" s="586"/>
      <c r="E1860" s="587"/>
      <c r="F1860" s="588"/>
      <c r="G1860" s="776" t="s">
        <v>5831</v>
      </c>
      <c r="H1860" s="599"/>
      <c r="I1860" s="595">
        <f t="shared" si="141"/>
        <v>0</v>
      </c>
      <c r="J1860" s="595">
        <f t="shared" si="142"/>
        <v>0</v>
      </c>
      <c r="K1860" s="596"/>
      <c r="L1860" s="597"/>
    </row>
    <row r="1861" spans="1:12" x14ac:dyDescent="0.2">
      <c r="A1861" s="316">
        <v>56</v>
      </c>
      <c r="B1861" s="591"/>
      <c r="C1861" s="598"/>
      <c r="D1861" s="586"/>
      <c r="E1861" s="601"/>
      <c r="F1861" s="588"/>
      <c r="G1861" s="776" t="s">
        <v>5832</v>
      </c>
      <c r="H1861" s="599"/>
      <c r="I1861" s="595">
        <f t="shared" si="141"/>
        <v>0</v>
      </c>
      <c r="J1861" s="595">
        <f t="shared" si="142"/>
        <v>0</v>
      </c>
      <c r="K1861" s="596"/>
      <c r="L1861" s="597"/>
    </row>
    <row r="1862" spans="1:12" x14ac:dyDescent="0.2">
      <c r="A1862" s="316">
        <v>57</v>
      </c>
      <c r="B1862" s="591"/>
      <c r="C1862" s="598"/>
      <c r="D1862" s="586"/>
      <c r="E1862" s="587"/>
      <c r="F1862" s="588"/>
      <c r="G1862" s="776" t="s">
        <v>5833</v>
      </c>
      <c r="H1862" s="599"/>
      <c r="I1862" s="595">
        <f t="shared" si="141"/>
        <v>0</v>
      </c>
      <c r="J1862" s="595">
        <f t="shared" si="142"/>
        <v>0</v>
      </c>
      <c r="K1862" s="596"/>
      <c r="L1862" s="597"/>
    </row>
    <row r="1863" spans="1:12" x14ac:dyDescent="0.2">
      <c r="A1863" s="316">
        <v>58</v>
      </c>
      <c r="B1863" s="591"/>
      <c r="C1863" s="598"/>
      <c r="D1863" s="586"/>
      <c r="E1863" s="587"/>
      <c r="F1863" s="588"/>
      <c r="G1863" s="776" t="s">
        <v>5834</v>
      </c>
      <c r="H1863" s="599"/>
      <c r="I1863" s="595">
        <f t="shared" si="141"/>
        <v>0</v>
      </c>
      <c r="J1863" s="595">
        <f t="shared" si="142"/>
        <v>0</v>
      </c>
      <c r="K1863" s="596"/>
      <c r="L1863" s="597"/>
    </row>
    <row r="1864" spans="1:12" x14ac:dyDescent="0.2">
      <c r="A1864" s="316">
        <v>59</v>
      </c>
      <c r="B1864" s="591"/>
      <c r="C1864" s="598"/>
      <c r="D1864" s="586"/>
      <c r="E1864" s="587"/>
      <c r="F1864" s="588"/>
      <c r="G1864" s="776" t="s">
        <v>5835</v>
      </c>
      <c r="H1864" s="599"/>
      <c r="I1864" s="595">
        <f t="shared" si="141"/>
        <v>0</v>
      </c>
      <c r="J1864" s="595">
        <f t="shared" si="142"/>
        <v>0</v>
      </c>
      <c r="K1864" s="596"/>
      <c r="L1864" s="597"/>
    </row>
    <row r="1865" spans="1:12" x14ac:dyDescent="0.2">
      <c r="A1865" s="316">
        <v>60</v>
      </c>
      <c r="B1865" s="591"/>
      <c r="C1865" s="598"/>
      <c r="D1865" s="586"/>
      <c r="E1865" s="587"/>
      <c r="F1865" s="588"/>
      <c r="G1865" s="776" t="s">
        <v>5836</v>
      </c>
      <c r="H1865" s="599"/>
      <c r="I1865" s="595">
        <f t="shared" si="141"/>
        <v>0</v>
      </c>
      <c r="J1865" s="595">
        <f t="shared" si="142"/>
        <v>0</v>
      </c>
      <c r="K1865" s="596"/>
      <c r="L1865" s="597"/>
    </row>
    <row r="1866" spans="1:12" x14ac:dyDescent="0.2">
      <c r="A1866" s="316">
        <v>61</v>
      </c>
      <c r="B1866" s="591"/>
      <c r="C1866" s="598"/>
      <c r="D1866" s="586"/>
      <c r="E1866" s="587"/>
      <c r="F1866" s="588"/>
      <c r="G1866" s="776" t="s">
        <v>5837</v>
      </c>
      <c r="H1866" s="599"/>
      <c r="I1866" s="595">
        <f t="shared" si="141"/>
        <v>0</v>
      </c>
      <c r="J1866" s="595">
        <f t="shared" si="142"/>
        <v>0</v>
      </c>
      <c r="K1866" s="596"/>
      <c r="L1866" s="597"/>
    </row>
    <row r="1867" spans="1:12" x14ac:dyDescent="0.2">
      <c r="A1867" s="316">
        <v>62</v>
      </c>
      <c r="B1867" s="591"/>
      <c r="C1867" s="598"/>
      <c r="D1867" s="586"/>
      <c r="E1867" s="587"/>
      <c r="F1867" s="588"/>
      <c r="G1867" s="776" t="s">
        <v>5838</v>
      </c>
      <c r="H1867" s="599"/>
      <c r="I1867" s="595">
        <f t="shared" si="141"/>
        <v>0</v>
      </c>
      <c r="J1867" s="595">
        <f t="shared" si="142"/>
        <v>0</v>
      </c>
      <c r="K1867" s="596"/>
      <c r="L1867" s="597"/>
    </row>
    <row r="1868" spans="1:12" x14ac:dyDescent="0.2">
      <c r="A1868" s="316">
        <v>63</v>
      </c>
      <c r="B1868" s="591"/>
      <c r="C1868" s="598"/>
      <c r="D1868" s="586"/>
      <c r="E1868" s="587"/>
      <c r="F1868" s="588"/>
      <c r="G1868" s="776" t="s">
        <v>5839</v>
      </c>
      <c r="H1868" s="599"/>
      <c r="I1868" s="595">
        <f t="shared" si="141"/>
        <v>0</v>
      </c>
      <c r="J1868" s="595">
        <f t="shared" si="142"/>
        <v>0</v>
      </c>
      <c r="K1868" s="596"/>
      <c r="L1868" s="597"/>
    </row>
    <row r="1869" spans="1:12" x14ac:dyDescent="0.2">
      <c r="A1869" s="316">
        <v>64</v>
      </c>
      <c r="B1869" s="591"/>
      <c r="C1869" s="598"/>
      <c r="D1869" s="586"/>
      <c r="E1869" s="587"/>
      <c r="F1869" s="588"/>
      <c r="G1869" s="776" t="s">
        <v>5840</v>
      </c>
      <c r="H1869" s="599"/>
      <c r="I1869" s="595">
        <f t="shared" si="141"/>
        <v>0</v>
      </c>
      <c r="J1869" s="595">
        <f t="shared" si="142"/>
        <v>0</v>
      </c>
      <c r="K1869" s="596"/>
      <c r="L1869" s="597"/>
    </row>
    <row r="1870" spans="1:12" x14ac:dyDescent="0.2">
      <c r="A1870" s="316">
        <v>65</v>
      </c>
      <c r="B1870" s="591"/>
      <c r="C1870" s="598"/>
      <c r="D1870" s="586"/>
      <c r="E1870" s="587"/>
      <c r="F1870" s="588"/>
      <c r="G1870" s="776" t="s">
        <v>5841</v>
      </c>
      <c r="H1870" s="599"/>
      <c r="I1870" s="595">
        <f t="shared" ref="I1870:I1933" si="143">K1870/1.11</f>
        <v>0</v>
      </c>
      <c r="J1870" s="595">
        <f t="shared" ref="J1870:J1933" si="144">I1870*11%</f>
        <v>0</v>
      </c>
      <c r="K1870" s="596"/>
      <c r="L1870" s="597"/>
    </row>
    <row r="1871" spans="1:12" x14ac:dyDescent="0.2">
      <c r="A1871" s="316">
        <v>66</v>
      </c>
      <c r="B1871" s="591"/>
      <c r="C1871" s="598"/>
      <c r="D1871" s="586"/>
      <c r="E1871" s="587"/>
      <c r="F1871" s="588"/>
      <c r="G1871" s="776" t="s">
        <v>5842</v>
      </c>
      <c r="H1871" s="599"/>
      <c r="I1871" s="595">
        <f t="shared" si="143"/>
        <v>0</v>
      </c>
      <c r="J1871" s="595">
        <f t="shared" si="144"/>
        <v>0</v>
      </c>
      <c r="K1871" s="596"/>
      <c r="L1871" s="597"/>
    </row>
    <row r="1872" spans="1:12" x14ac:dyDescent="0.2">
      <c r="A1872" s="316">
        <v>67</v>
      </c>
      <c r="B1872" s="591"/>
      <c r="C1872" s="598"/>
      <c r="D1872" s="586"/>
      <c r="E1872" s="587"/>
      <c r="F1872" s="588"/>
      <c r="G1872" s="776" t="s">
        <v>5843</v>
      </c>
      <c r="H1872" s="599"/>
      <c r="I1872" s="595">
        <f t="shared" si="143"/>
        <v>0</v>
      </c>
      <c r="J1872" s="595">
        <f t="shared" si="144"/>
        <v>0</v>
      </c>
      <c r="K1872" s="596"/>
      <c r="L1872" s="597"/>
    </row>
    <row r="1873" spans="1:12" x14ac:dyDescent="0.2">
      <c r="A1873" s="316">
        <v>68</v>
      </c>
      <c r="B1873" s="591"/>
      <c r="C1873" s="598"/>
      <c r="D1873" s="586"/>
      <c r="E1873" s="587"/>
      <c r="F1873" s="588"/>
      <c r="G1873" s="776" t="s">
        <v>5844</v>
      </c>
      <c r="H1873" s="599"/>
      <c r="I1873" s="595">
        <f t="shared" si="143"/>
        <v>0</v>
      </c>
      <c r="J1873" s="595">
        <f t="shared" si="144"/>
        <v>0</v>
      </c>
      <c r="K1873" s="596"/>
      <c r="L1873" s="597"/>
    </row>
    <row r="1874" spans="1:12" x14ac:dyDescent="0.2">
      <c r="A1874" s="316">
        <v>69</v>
      </c>
      <c r="B1874" s="591"/>
      <c r="C1874" s="598"/>
      <c r="D1874" s="586"/>
      <c r="E1874" s="587"/>
      <c r="F1874" s="588"/>
      <c r="G1874" s="776" t="s">
        <v>5845</v>
      </c>
      <c r="H1874" s="599"/>
      <c r="I1874" s="595">
        <f t="shared" si="143"/>
        <v>0</v>
      </c>
      <c r="J1874" s="595">
        <f t="shared" si="144"/>
        <v>0</v>
      </c>
      <c r="K1874" s="596"/>
      <c r="L1874" s="597"/>
    </row>
    <row r="1875" spans="1:12" x14ac:dyDescent="0.2">
      <c r="A1875" s="316">
        <v>70</v>
      </c>
      <c r="B1875" s="591"/>
      <c r="C1875" s="598"/>
      <c r="D1875" s="586"/>
      <c r="E1875" s="587"/>
      <c r="F1875" s="588"/>
      <c r="G1875" s="776" t="s">
        <v>5846</v>
      </c>
      <c r="H1875" s="599"/>
      <c r="I1875" s="595">
        <f t="shared" si="143"/>
        <v>0</v>
      </c>
      <c r="J1875" s="595">
        <f t="shared" si="144"/>
        <v>0</v>
      </c>
      <c r="K1875" s="596"/>
      <c r="L1875" s="597"/>
    </row>
    <row r="1876" spans="1:12" x14ac:dyDescent="0.2">
      <c r="A1876" s="316">
        <v>71</v>
      </c>
      <c r="B1876" s="591"/>
      <c r="C1876" s="598"/>
      <c r="D1876" s="586"/>
      <c r="E1876" s="587"/>
      <c r="F1876" s="588"/>
      <c r="G1876" s="776" t="s">
        <v>5847</v>
      </c>
      <c r="H1876" s="599"/>
      <c r="I1876" s="595">
        <f t="shared" si="143"/>
        <v>0</v>
      </c>
      <c r="J1876" s="595">
        <f t="shared" si="144"/>
        <v>0</v>
      </c>
      <c r="K1876" s="596"/>
      <c r="L1876" s="597"/>
    </row>
    <row r="1877" spans="1:12" x14ac:dyDescent="0.2">
      <c r="A1877" s="316">
        <v>72</v>
      </c>
      <c r="B1877" s="591"/>
      <c r="C1877" s="598"/>
      <c r="D1877" s="586"/>
      <c r="E1877" s="587"/>
      <c r="F1877" s="588"/>
      <c r="G1877" s="776" t="s">
        <v>5848</v>
      </c>
      <c r="H1877" s="599"/>
      <c r="I1877" s="595">
        <f t="shared" si="143"/>
        <v>0</v>
      </c>
      <c r="J1877" s="595">
        <f t="shared" si="144"/>
        <v>0</v>
      </c>
      <c r="K1877" s="596"/>
      <c r="L1877" s="597"/>
    </row>
    <row r="1878" spans="1:12" x14ac:dyDescent="0.2">
      <c r="A1878" s="316">
        <v>73</v>
      </c>
      <c r="B1878" s="591"/>
      <c r="C1878" s="598"/>
      <c r="D1878" s="586"/>
      <c r="E1878" s="593"/>
      <c r="F1878" s="593"/>
      <c r="G1878" s="776" t="s">
        <v>5849</v>
      </c>
      <c r="H1878" s="594"/>
      <c r="I1878" s="595">
        <f t="shared" si="143"/>
        <v>0</v>
      </c>
      <c r="J1878" s="595">
        <f t="shared" si="144"/>
        <v>0</v>
      </c>
      <c r="K1878" s="596"/>
      <c r="L1878" s="597"/>
    </row>
    <row r="1879" spans="1:12" x14ac:dyDescent="0.2">
      <c r="A1879" s="316">
        <v>74</v>
      </c>
      <c r="B1879" s="591"/>
      <c r="C1879" s="598"/>
      <c r="D1879" s="586"/>
      <c r="E1879" s="587"/>
      <c r="F1879" s="588"/>
      <c r="G1879" s="776" t="s">
        <v>5850</v>
      </c>
      <c r="H1879" s="599"/>
      <c r="I1879" s="595">
        <f t="shared" si="143"/>
        <v>0</v>
      </c>
      <c r="J1879" s="595">
        <f t="shared" si="144"/>
        <v>0</v>
      </c>
      <c r="K1879" s="596"/>
      <c r="L1879" s="597"/>
    </row>
    <row r="1880" spans="1:12" x14ac:dyDescent="0.2">
      <c r="A1880" s="316">
        <v>75</v>
      </c>
      <c r="B1880" s="591"/>
      <c r="C1880" s="598"/>
      <c r="D1880" s="586"/>
      <c r="E1880" s="587"/>
      <c r="F1880" s="588"/>
      <c r="G1880" s="776" t="s">
        <v>5851</v>
      </c>
      <c r="H1880" s="599"/>
      <c r="I1880" s="595">
        <f t="shared" si="143"/>
        <v>0</v>
      </c>
      <c r="J1880" s="595">
        <f t="shared" si="144"/>
        <v>0</v>
      </c>
      <c r="K1880" s="596"/>
      <c r="L1880" s="597"/>
    </row>
    <row r="1881" spans="1:12" x14ac:dyDescent="0.2">
      <c r="A1881" s="316">
        <v>76</v>
      </c>
      <c r="B1881" s="591"/>
      <c r="C1881" s="598"/>
      <c r="D1881" s="586"/>
      <c r="E1881" s="587"/>
      <c r="F1881" s="588"/>
      <c r="G1881" s="776" t="s">
        <v>5852</v>
      </c>
      <c r="H1881" s="599"/>
      <c r="I1881" s="595">
        <f t="shared" si="143"/>
        <v>0</v>
      </c>
      <c r="J1881" s="595">
        <f t="shared" si="144"/>
        <v>0</v>
      </c>
      <c r="K1881" s="596"/>
      <c r="L1881" s="597"/>
    </row>
    <row r="1882" spans="1:12" x14ac:dyDescent="0.2">
      <c r="A1882" s="316">
        <v>77</v>
      </c>
      <c r="B1882" s="591"/>
      <c r="C1882" s="598"/>
      <c r="D1882" s="586"/>
      <c r="E1882" s="587"/>
      <c r="F1882" s="588"/>
      <c r="G1882" s="776" t="s">
        <v>5853</v>
      </c>
      <c r="H1882" s="599"/>
      <c r="I1882" s="595">
        <f t="shared" si="143"/>
        <v>0</v>
      </c>
      <c r="J1882" s="595">
        <f t="shared" si="144"/>
        <v>0</v>
      </c>
      <c r="K1882" s="596"/>
      <c r="L1882" s="597"/>
    </row>
    <row r="1883" spans="1:12" x14ac:dyDescent="0.2">
      <c r="A1883" s="316">
        <v>78</v>
      </c>
      <c r="B1883" s="591"/>
      <c r="C1883" s="598"/>
      <c r="D1883" s="586"/>
      <c r="E1883" s="587"/>
      <c r="F1883" s="588"/>
      <c r="G1883" s="776" t="s">
        <v>5854</v>
      </c>
      <c r="H1883" s="599"/>
      <c r="I1883" s="595">
        <f t="shared" si="143"/>
        <v>0</v>
      </c>
      <c r="J1883" s="595">
        <f t="shared" si="144"/>
        <v>0</v>
      </c>
      <c r="K1883" s="596"/>
      <c r="L1883" s="597"/>
    </row>
    <row r="1884" spans="1:12" x14ac:dyDescent="0.2">
      <c r="A1884" s="316">
        <v>79</v>
      </c>
      <c r="B1884" s="591"/>
      <c r="C1884" s="598"/>
      <c r="D1884" s="586"/>
      <c r="E1884" s="587"/>
      <c r="F1884" s="588"/>
      <c r="G1884" s="776" t="s">
        <v>5855</v>
      </c>
      <c r="H1884" s="599"/>
      <c r="I1884" s="595">
        <f t="shared" si="143"/>
        <v>0</v>
      </c>
      <c r="J1884" s="595">
        <f t="shared" si="144"/>
        <v>0</v>
      </c>
      <c r="K1884" s="596"/>
      <c r="L1884" s="597"/>
    </row>
    <row r="1885" spans="1:12" x14ac:dyDescent="0.2">
      <c r="A1885" s="316">
        <v>80</v>
      </c>
      <c r="B1885" s="591"/>
      <c r="C1885" s="598"/>
      <c r="D1885" s="586"/>
      <c r="E1885" s="587"/>
      <c r="F1885" s="588"/>
      <c r="G1885" s="776" t="s">
        <v>5856</v>
      </c>
      <c r="H1885" s="599"/>
      <c r="I1885" s="595">
        <f t="shared" si="143"/>
        <v>0</v>
      </c>
      <c r="J1885" s="595">
        <f t="shared" si="144"/>
        <v>0</v>
      </c>
      <c r="K1885" s="596"/>
      <c r="L1885" s="597"/>
    </row>
    <row r="1886" spans="1:12" x14ac:dyDescent="0.2">
      <c r="A1886" s="316">
        <v>81</v>
      </c>
      <c r="B1886" s="591"/>
      <c r="C1886" s="598"/>
      <c r="D1886" s="586"/>
      <c r="E1886" s="587"/>
      <c r="F1886" s="588"/>
      <c r="G1886" s="776" t="s">
        <v>5857</v>
      </c>
      <c r="H1886" s="599"/>
      <c r="I1886" s="595">
        <f t="shared" si="143"/>
        <v>0</v>
      </c>
      <c r="J1886" s="595">
        <f t="shared" si="144"/>
        <v>0</v>
      </c>
      <c r="K1886" s="596"/>
      <c r="L1886" s="597"/>
    </row>
    <row r="1887" spans="1:12" x14ac:dyDescent="0.2">
      <c r="A1887" s="316">
        <v>82</v>
      </c>
      <c r="B1887" s="591"/>
      <c r="C1887" s="598"/>
      <c r="D1887" s="586"/>
      <c r="E1887" s="587"/>
      <c r="F1887" s="588"/>
      <c r="G1887" s="776" t="s">
        <v>5858</v>
      </c>
      <c r="H1887" s="599"/>
      <c r="I1887" s="595">
        <f t="shared" si="143"/>
        <v>0</v>
      </c>
      <c r="J1887" s="595">
        <f t="shared" si="144"/>
        <v>0</v>
      </c>
      <c r="K1887" s="596"/>
      <c r="L1887" s="597"/>
    </row>
    <row r="1888" spans="1:12" x14ac:dyDescent="0.2">
      <c r="A1888" s="316">
        <v>83</v>
      </c>
      <c r="B1888" s="591"/>
      <c r="C1888" s="598"/>
      <c r="D1888" s="586"/>
      <c r="E1888" s="587"/>
      <c r="F1888" s="588"/>
      <c r="G1888" s="776" t="s">
        <v>5859</v>
      </c>
      <c r="H1888" s="599"/>
      <c r="I1888" s="595">
        <f t="shared" si="143"/>
        <v>0</v>
      </c>
      <c r="J1888" s="595">
        <f t="shared" si="144"/>
        <v>0</v>
      </c>
      <c r="K1888" s="596"/>
      <c r="L1888" s="597"/>
    </row>
    <row r="1889" spans="1:12" x14ac:dyDescent="0.2">
      <c r="A1889" s="316">
        <v>84</v>
      </c>
      <c r="B1889" s="591"/>
      <c r="C1889" s="598"/>
      <c r="D1889" s="586"/>
      <c r="E1889" s="593"/>
      <c r="F1889" s="593"/>
      <c r="G1889" s="776" t="s">
        <v>5860</v>
      </c>
      <c r="H1889" s="594"/>
      <c r="I1889" s="595">
        <f t="shared" si="143"/>
        <v>0</v>
      </c>
      <c r="J1889" s="595">
        <f t="shared" si="144"/>
        <v>0</v>
      </c>
      <c r="K1889" s="596"/>
      <c r="L1889" s="597"/>
    </row>
    <row r="1890" spans="1:12" x14ac:dyDescent="0.2">
      <c r="A1890" s="316">
        <v>85</v>
      </c>
      <c r="B1890" s="591"/>
      <c r="C1890" s="598"/>
      <c r="D1890" s="586"/>
      <c r="E1890" s="593"/>
      <c r="F1890" s="593"/>
      <c r="G1890" s="776" t="s">
        <v>5861</v>
      </c>
      <c r="H1890" s="594"/>
      <c r="I1890" s="595">
        <f t="shared" si="143"/>
        <v>0</v>
      </c>
      <c r="J1890" s="595">
        <f t="shared" si="144"/>
        <v>0</v>
      </c>
      <c r="K1890" s="596"/>
      <c r="L1890" s="597"/>
    </row>
    <row r="1891" spans="1:12" x14ac:dyDescent="0.2">
      <c r="A1891" s="316">
        <v>86</v>
      </c>
      <c r="B1891" s="591"/>
      <c r="C1891" s="598"/>
      <c r="D1891" s="586"/>
      <c r="E1891" s="587"/>
      <c r="F1891" s="588"/>
      <c r="G1891" s="776" t="s">
        <v>5862</v>
      </c>
      <c r="H1891" s="599"/>
      <c r="I1891" s="595">
        <f t="shared" si="143"/>
        <v>0</v>
      </c>
      <c r="J1891" s="595">
        <f t="shared" si="144"/>
        <v>0</v>
      </c>
      <c r="K1891" s="596"/>
      <c r="L1891" s="597"/>
    </row>
    <row r="1892" spans="1:12" x14ac:dyDescent="0.2">
      <c r="A1892" s="316">
        <v>87</v>
      </c>
      <c r="B1892" s="591"/>
      <c r="C1892" s="598"/>
      <c r="D1892" s="586"/>
      <c r="E1892" s="587"/>
      <c r="F1892" s="588"/>
      <c r="G1892" s="776" t="s">
        <v>5863</v>
      </c>
      <c r="H1892" s="599"/>
      <c r="I1892" s="595">
        <f t="shared" si="143"/>
        <v>0</v>
      </c>
      <c r="J1892" s="595">
        <f t="shared" si="144"/>
        <v>0</v>
      </c>
      <c r="K1892" s="596"/>
      <c r="L1892" s="597"/>
    </row>
    <row r="1893" spans="1:12" x14ac:dyDescent="0.2">
      <c r="A1893" s="316">
        <v>88</v>
      </c>
      <c r="B1893" s="591"/>
      <c r="C1893" s="598"/>
      <c r="D1893" s="586"/>
      <c r="E1893" s="587"/>
      <c r="F1893" s="588"/>
      <c r="G1893" s="776" t="s">
        <v>5864</v>
      </c>
      <c r="H1893" s="599"/>
      <c r="I1893" s="595">
        <f t="shared" si="143"/>
        <v>0</v>
      </c>
      <c r="J1893" s="595">
        <f t="shared" si="144"/>
        <v>0</v>
      </c>
      <c r="K1893" s="596"/>
      <c r="L1893" s="597"/>
    </row>
    <row r="1894" spans="1:12" x14ac:dyDescent="0.2">
      <c r="A1894" s="316">
        <v>89</v>
      </c>
      <c r="B1894" s="591"/>
      <c r="C1894" s="598"/>
      <c r="D1894" s="586"/>
      <c r="E1894" s="587"/>
      <c r="F1894" s="588"/>
      <c r="G1894" s="776" t="s">
        <v>5865</v>
      </c>
      <c r="H1894" s="599"/>
      <c r="I1894" s="595">
        <f t="shared" si="143"/>
        <v>0</v>
      </c>
      <c r="J1894" s="595">
        <f t="shared" si="144"/>
        <v>0</v>
      </c>
      <c r="K1894" s="596"/>
      <c r="L1894" s="597"/>
    </row>
    <row r="1895" spans="1:12" x14ac:dyDescent="0.2">
      <c r="A1895" s="316">
        <v>90</v>
      </c>
      <c r="B1895" s="591"/>
      <c r="C1895" s="598"/>
      <c r="D1895" s="586"/>
      <c r="E1895" s="587"/>
      <c r="F1895" s="588"/>
      <c r="G1895" s="776" t="s">
        <v>5866</v>
      </c>
      <c r="H1895" s="599"/>
      <c r="I1895" s="595">
        <f t="shared" si="143"/>
        <v>0</v>
      </c>
      <c r="J1895" s="595">
        <f t="shared" si="144"/>
        <v>0</v>
      </c>
      <c r="K1895" s="596"/>
      <c r="L1895" s="597"/>
    </row>
    <row r="1896" spans="1:12" x14ac:dyDescent="0.2">
      <c r="A1896" s="316">
        <v>91</v>
      </c>
      <c r="B1896" s="591"/>
      <c r="C1896" s="598"/>
      <c r="D1896" s="586"/>
      <c r="E1896" s="587"/>
      <c r="F1896" s="588"/>
      <c r="G1896" s="776" t="s">
        <v>5867</v>
      </c>
      <c r="H1896" s="599"/>
      <c r="I1896" s="595">
        <f t="shared" si="143"/>
        <v>0</v>
      </c>
      <c r="J1896" s="595">
        <f t="shared" si="144"/>
        <v>0</v>
      </c>
      <c r="K1896" s="596"/>
      <c r="L1896" s="597"/>
    </row>
    <row r="1897" spans="1:12" x14ac:dyDescent="0.2">
      <c r="A1897" s="316">
        <v>92</v>
      </c>
      <c r="B1897" s="591"/>
      <c r="C1897" s="598"/>
      <c r="D1897" s="586"/>
      <c r="E1897" s="587"/>
      <c r="F1897" s="588"/>
      <c r="G1897" s="776" t="s">
        <v>5868</v>
      </c>
      <c r="H1897" s="599"/>
      <c r="I1897" s="595">
        <f t="shared" si="143"/>
        <v>0</v>
      </c>
      <c r="J1897" s="595">
        <f t="shared" si="144"/>
        <v>0</v>
      </c>
      <c r="K1897" s="596"/>
      <c r="L1897" s="597"/>
    </row>
    <row r="1898" spans="1:12" x14ac:dyDescent="0.2">
      <c r="A1898" s="316">
        <v>93</v>
      </c>
      <c r="B1898" s="591"/>
      <c r="C1898" s="598"/>
      <c r="D1898" s="586"/>
      <c r="E1898" s="587"/>
      <c r="F1898" s="588"/>
      <c r="G1898" s="776" t="s">
        <v>5869</v>
      </c>
      <c r="H1898" s="599"/>
      <c r="I1898" s="595">
        <f t="shared" si="143"/>
        <v>0</v>
      </c>
      <c r="J1898" s="595">
        <f t="shared" si="144"/>
        <v>0</v>
      </c>
      <c r="K1898" s="596"/>
      <c r="L1898" s="597"/>
    </row>
    <row r="1899" spans="1:12" x14ac:dyDescent="0.2">
      <c r="A1899" s="316">
        <v>94</v>
      </c>
      <c r="B1899" s="591"/>
      <c r="C1899" s="598"/>
      <c r="D1899" s="586"/>
      <c r="E1899" s="587"/>
      <c r="F1899" s="588"/>
      <c r="G1899" s="776" t="s">
        <v>5870</v>
      </c>
      <c r="H1899" s="599"/>
      <c r="I1899" s="595">
        <f t="shared" si="143"/>
        <v>0</v>
      </c>
      <c r="J1899" s="595">
        <f t="shared" si="144"/>
        <v>0</v>
      </c>
      <c r="K1899" s="596"/>
      <c r="L1899" s="597"/>
    </row>
    <row r="1900" spans="1:12" x14ac:dyDescent="0.2">
      <c r="A1900" s="316">
        <v>95</v>
      </c>
      <c r="B1900" s="591"/>
      <c r="C1900" s="598"/>
      <c r="D1900" s="586"/>
      <c r="E1900" s="587"/>
      <c r="F1900" s="588"/>
      <c r="G1900" s="776" t="s">
        <v>5871</v>
      </c>
      <c r="H1900" s="599"/>
      <c r="I1900" s="595">
        <f t="shared" si="143"/>
        <v>0</v>
      </c>
      <c r="J1900" s="595">
        <f t="shared" si="144"/>
        <v>0</v>
      </c>
      <c r="K1900" s="596"/>
      <c r="L1900" s="597"/>
    </row>
    <row r="1901" spans="1:12" x14ac:dyDescent="0.2">
      <c r="A1901" s="316">
        <v>96</v>
      </c>
      <c r="B1901" s="591"/>
      <c r="C1901" s="602"/>
      <c r="D1901" s="603"/>
      <c r="E1901" s="604"/>
      <c r="F1901" s="605"/>
      <c r="G1901" s="776" t="s">
        <v>5872</v>
      </c>
      <c r="H1901" s="606"/>
      <c r="I1901" s="595">
        <f t="shared" si="143"/>
        <v>0</v>
      </c>
      <c r="J1901" s="595">
        <f t="shared" si="144"/>
        <v>0</v>
      </c>
      <c r="K1901" s="596"/>
      <c r="L1901" s="597"/>
    </row>
    <row r="1902" spans="1:12" x14ac:dyDescent="0.2">
      <c r="A1902" s="316">
        <v>97</v>
      </c>
      <c r="B1902" s="591"/>
      <c r="C1902" s="598"/>
      <c r="D1902" s="586"/>
      <c r="E1902" s="593"/>
      <c r="F1902" s="593"/>
      <c r="G1902" s="776" t="s">
        <v>5873</v>
      </c>
      <c r="H1902" s="599"/>
      <c r="I1902" s="595">
        <f t="shared" si="143"/>
        <v>0</v>
      </c>
      <c r="J1902" s="595">
        <f t="shared" si="144"/>
        <v>0</v>
      </c>
      <c r="K1902" s="596"/>
      <c r="L1902" s="597"/>
    </row>
    <row r="1903" spans="1:12" x14ac:dyDescent="0.2">
      <c r="A1903" s="316">
        <v>98</v>
      </c>
      <c r="B1903" s="591"/>
      <c r="C1903" s="598"/>
      <c r="D1903" s="586"/>
      <c r="E1903" s="587"/>
      <c r="F1903" s="588"/>
      <c r="G1903" s="776" t="s">
        <v>5874</v>
      </c>
      <c r="H1903" s="599"/>
      <c r="I1903" s="595">
        <f t="shared" si="143"/>
        <v>0</v>
      </c>
      <c r="J1903" s="595">
        <f t="shared" si="144"/>
        <v>0</v>
      </c>
      <c r="K1903" s="596"/>
      <c r="L1903" s="597"/>
    </row>
    <row r="1904" spans="1:12" x14ac:dyDescent="0.2">
      <c r="A1904" s="316">
        <v>99</v>
      </c>
      <c r="B1904" s="591"/>
      <c r="C1904" s="598"/>
      <c r="D1904" s="586"/>
      <c r="E1904" s="587"/>
      <c r="F1904" s="588"/>
      <c r="G1904" s="776" t="s">
        <v>5875</v>
      </c>
      <c r="H1904" s="599"/>
      <c r="I1904" s="595">
        <f t="shared" si="143"/>
        <v>0</v>
      </c>
      <c r="J1904" s="595">
        <f t="shared" si="144"/>
        <v>0</v>
      </c>
      <c r="K1904" s="596"/>
      <c r="L1904" s="597"/>
    </row>
    <row r="1905" spans="1:12" x14ac:dyDescent="0.2">
      <c r="A1905" s="316">
        <v>100</v>
      </c>
      <c r="B1905" s="591"/>
      <c r="C1905" s="598"/>
      <c r="D1905" s="586"/>
      <c r="E1905" s="587"/>
      <c r="F1905" s="588"/>
      <c r="G1905" s="776" t="s">
        <v>5876</v>
      </c>
      <c r="H1905" s="599"/>
      <c r="I1905" s="595">
        <f t="shared" si="143"/>
        <v>0</v>
      </c>
      <c r="J1905" s="595">
        <f t="shared" si="144"/>
        <v>0</v>
      </c>
      <c r="K1905" s="596"/>
      <c r="L1905" s="597"/>
    </row>
    <row r="1906" spans="1:12" x14ac:dyDescent="0.2">
      <c r="A1906" s="316">
        <v>101</v>
      </c>
      <c r="B1906" s="591"/>
      <c r="C1906" s="598"/>
      <c r="D1906" s="586"/>
      <c r="E1906" s="587"/>
      <c r="F1906" s="588"/>
      <c r="G1906" s="776" t="s">
        <v>5877</v>
      </c>
      <c r="H1906" s="599"/>
      <c r="I1906" s="595">
        <f t="shared" si="143"/>
        <v>0</v>
      </c>
      <c r="J1906" s="595">
        <f t="shared" si="144"/>
        <v>0</v>
      </c>
      <c r="K1906" s="596"/>
      <c r="L1906" s="597"/>
    </row>
    <row r="1907" spans="1:12" x14ac:dyDescent="0.2">
      <c r="A1907" s="316">
        <v>102</v>
      </c>
      <c r="B1907" s="591"/>
      <c r="C1907" s="598"/>
      <c r="D1907" s="586"/>
      <c r="E1907" s="587"/>
      <c r="F1907" s="588"/>
      <c r="G1907" s="776" t="s">
        <v>5878</v>
      </c>
      <c r="H1907" s="599"/>
      <c r="I1907" s="595">
        <f t="shared" si="143"/>
        <v>0</v>
      </c>
      <c r="J1907" s="595">
        <f t="shared" si="144"/>
        <v>0</v>
      </c>
      <c r="K1907" s="596"/>
      <c r="L1907" s="597"/>
    </row>
    <row r="1908" spans="1:12" x14ac:dyDescent="0.2">
      <c r="A1908" s="316">
        <v>103</v>
      </c>
      <c r="B1908" s="591"/>
      <c r="C1908" s="598"/>
      <c r="D1908" s="586"/>
      <c r="E1908" s="587"/>
      <c r="F1908" s="588"/>
      <c r="G1908" s="776" t="s">
        <v>5879</v>
      </c>
      <c r="H1908" s="599"/>
      <c r="I1908" s="595">
        <f t="shared" si="143"/>
        <v>0</v>
      </c>
      <c r="J1908" s="595">
        <f t="shared" si="144"/>
        <v>0</v>
      </c>
      <c r="K1908" s="596"/>
      <c r="L1908" s="597"/>
    </row>
    <row r="1909" spans="1:12" x14ac:dyDescent="0.2">
      <c r="A1909" s="316">
        <v>104</v>
      </c>
      <c r="B1909" s="591"/>
      <c r="C1909" s="598"/>
      <c r="D1909" s="586"/>
      <c r="E1909" s="587"/>
      <c r="F1909" s="588"/>
      <c r="G1909" s="776" t="s">
        <v>5880</v>
      </c>
      <c r="H1909" s="599"/>
      <c r="I1909" s="595">
        <f t="shared" si="143"/>
        <v>0</v>
      </c>
      <c r="J1909" s="595">
        <f t="shared" si="144"/>
        <v>0</v>
      </c>
      <c r="K1909" s="596"/>
      <c r="L1909" s="597"/>
    </row>
    <row r="1910" spans="1:12" x14ac:dyDescent="0.2">
      <c r="A1910" s="316">
        <v>105</v>
      </c>
      <c r="B1910" s="591"/>
      <c r="C1910" s="598"/>
      <c r="D1910" s="586"/>
      <c r="E1910" s="587"/>
      <c r="F1910" s="588"/>
      <c r="G1910" s="776" t="s">
        <v>5881</v>
      </c>
      <c r="H1910" s="599"/>
      <c r="I1910" s="595">
        <f t="shared" si="143"/>
        <v>0</v>
      </c>
      <c r="J1910" s="595">
        <f t="shared" si="144"/>
        <v>0</v>
      </c>
      <c r="K1910" s="596"/>
      <c r="L1910" s="597"/>
    </row>
    <row r="1911" spans="1:12" x14ac:dyDescent="0.2">
      <c r="A1911" s="316">
        <v>106</v>
      </c>
      <c r="B1911" s="591"/>
      <c r="C1911" s="598"/>
      <c r="D1911" s="586"/>
      <c r="E1911" s="587"/>
      <c r="F1911" s="588"/>
      <c r="G1911" s="776" t="s">
        <v>5882</v>
      </c>
      <c r="H1911" s="599"/>
      <c r="I1911" s="595">
        <f t="shared" si="143"/>
        <v>0</v>
      </c>
      <c r="J1911" s="595">
        <f t="shared" si="144"/>
        <v>0</v>
      </c>
      <c r="K1911" s="596"/>
      <c r="L1911" s="597"/>
    </row>
    <row r="1912" spans="1:12" x14ac:dyDescent="0.2">
      <c r="A1912" s="316">
        <v>107</v>
      </c>
      <c r="B1912" s="591"/>
      <c r="C1912" s="602"/>
      <c r="D1912" s="603"/>
      <c r="E1912" s="604"/>
      <c r="F1912" s="605"/>
      <c r="G1912" s="776" t="s">
        <v>5883</v>
      </c>
      <c r="H1912" s="606"/>
      <c r="I1912" s="595">
        <f t="shared" si="143"/>
        <v>0</v>
      </c>
      <c r="J1912" s="595">
        <f t="shared" si="144"/>
        <v>0</v>
      </c>
      <c r="K1912" s="596"/>
      <c r="L1912" s="597"/>
    </row>
    <row r="1913" spans="1:12" x14ac:dyDescent="0.2">
      <c r="A1913" s="316">
        <v>108</v>
      </c>
      <c r="B1913" s="591"/>
      <c r="C1913" s="598"/>
      <c r="D1913" s="586"/>
      <c r="E1913" s="593"/>
      <c r="F1913" s="593"/>
      <c r="G1913" s="776" t="s">
        <v>5884</v>
      </c>
      <c r="H1913" s="599"/>
      <c r="I1913" s="595">
        <f t="shared" si="143"/>
        <v>0</v>
      </c>
      <c r="J1913" s="595">
        <f t="shared" si="144"/>
        <v>0</v>
      </c>
      <c r="K1913" s="596"/>
      <c r="L1913" s="597"/>
    </row>
    <row r="1914" spans="1:12" x14ac:dyDescent="0.2">
      <c r="A1914" s="316">
        <v>109</v>
      </c>
      <c r="B1914" s="591"/>
      <c r="C1914" s="598"/>
      <c r="D1914" s="586"/>
      <c r="E1914" s="587"/>
      <c r="F1914" s="588"/>
      <c r="G1914" s="776" t="s">
        <v>5885</v>
      </c>
      <c r="H1914" s="599"/>
      <c r="I1914" s="595">
        <f t="shared" si="143"/>
        <v>0</v>
      </c>
      <c r="J1914" s="595">
        <f t="shared" si="144"/>
        <v>0</v>
      </c>
      <c r="K1914" s="596"/>
      <c r="L1914" s="597"/>
    </row>
    <row r="1915" spans="1:12" x14ac:dyDescent="0.2">
      <c r="A1915" s="316">
        <v>110</v>
      </c>
      <c r="B1915" s="591"/>
      <c r="C1915" s="598"/>
      <c r="D1915" s="586"/>
      <c r="E1915" s="587"/>
      <c r="F1915" s="588"/>
      <c r="G1915" s="776" t="s">
        <v>5886</v>
      </c>
      <c r="H1915" s="599"/>
      <c r="I1915" s="595">
        <f t="shared" si="143"/>
        <v>0</v>
      </c>
      <c r="J1915" s="595">
        <f t="shared" si="144"/>
        <v>0</v>
      </c>
      <c r="K1915" s="596"/>
      <c r="L1915" s="597"/>
    </row>
    <row r="1916" spans="1:12" x14ac:dyDescent="0.2">
      <c r="A1916" s="316">
        <v>111</v>
      </c>
      <c r="B1916" s="591"/>
      <c r="C1916" s="598"/>
      <c r="D1916" s="586"/>
      <c r="E1916" s="587"/>
      <c r="F1916" s="588"/>
      <c r="G1916" s="776" t="s">
        <v>5887</v>
      </c>
      <c r="H1916" s="599"/>
      <c r="I1916" s="595">
        <f t="shared" si="143"/>
        <v>0</v>
      </c>
      <c r="J1916" s="595">
        <f t="shared" si="144"/>
        <v>0</v>
      </c>
      <c r="K1916" s="596"/>
      <c r="L1916" s="597"/>
    </row>
    <row r="1917" spans="1:12" x14ac:dyDescent="0.2">
      <c r="A1917" s="316">
        <v>112</v>
      </c>
      <c r="B1917" s="591"/>
      <c r="C1917" s="598"/>
      <c r="D1917" s="586"/>
      <c r="E1917" s="587"/>
      <c r="F1917" s="588"/>
      <c r="G1917" s="776" t="s">
        <v>5888</v>
      </c>
      <c r="H1917" s="599"/>
      <c r="I1917" s="595">
        <f t="shared" si="143"/>
        <v>0</v>
      </c>
      <c r="J1917" s="595">
        <f t="shared" si="144"/>
        <v>0</v>
      </c>
      <c r="K1917" s="596"/>
      <c r="L1917" s="597"/>
    </row>
    <row r="1918" spans="1:12" x14ac:dyDescent="0.2">
      <c r="A1918" s="316">
        <v>113</v>
      </c>
      <c r="B1918" s="591"/>
      <c r="C1918" s="598"/>
      <c r="D1918" s="586"/>
      <c r="E1918" s="587"/>
      <c r="F1918" s="588"/>
      <c r="G1918" s="776" t="s">
        <v>5889</v>
      </c>
      <c r="H1918" s="599"/>
      <c r="I1918" s="595">
        <f t="shared" si="143"/>
        <v>0</v>
      </c>
      <c r="J1918" s="595">
        <f t="shared" si="144"/>
        <v>0</v>
      </c>
      <c r="K1918" s="596"/>
      <c r="L1918" s="597"/>
    </row>
    <row r="1919" spans="1:12" x14ac:dyDescent="0.2">
      <c r="A1919" s="316">
        <v>114</v>
      </c>
      <c r="B1919" s="591"/>
      <c r="C1919" s="598"/>
      <c r="D1919" s="586"/>
      <c r="E1919" s="587"/>
      <c r="F1919" s="588"/>
      <c r="G1919" s="776" t="s">
        <v>5890</v>
      </c>
      <c r="H1919" s="599"/>
      <c r="I1919" s="595">
        <f t="shared" si="143"/>
        <v>0</v>
      </c>
      <c r="J1919" s="595">
        <f t="shared" si="144"/>
        <v>0</v>
      </c>
      <c r="K1919" s="596"/>
      <c r="L1919" s="597"/>
    </row>
    <row r="1920" spans="1:12" x14ac:dyDescent="0.2">
      <c r="A1920" s="316">
        <v>115</v>
      </c>
      <c r="B1920" s="591"/>
      <c r="C1920" s="598"/>
      <c r="D1920" s="586"/>
      <c r="E1920" s="587"/>
      <c r="F1920" s="588"/>
      <c r="G1920" s="776" t="s">
        <v>5891</v>
      </c>
      <c r="H1920" s="599"/>
      <c r="I1920" s="595">
        <f t="shared" si="143"/>
        <v>0</v>
      </c>
      <c r="J1920" s="595">
        <f t="shared" si="144"/>
        <v>0</v>
      </c>
      <c r="K1920" s="596"/>
      <c r="L1920" s="597"/>
    </row>
    <row r="1921" spans="1:12" x14ac:dyDescent="0.2">
      <c r="A1921" s="316">
        <v>116</v>
      </c>
      <c r="B1921" s="591"/>
      <c r="C1921" s="598"/>
      <c r="D1921" s="586"/>
      <c r="E1921" s="587"/>
      <c r="F1921" s="588"/>
      <c r="G1921" s="776" t="s">
        <v>5892</v>
      </c>
      <c r="H1921" s="599"/>
      <c r="I1921" s="595">
        <f t="shared" si="143"/>
        <v>0</v>
      </c>
      <c r="J1921" s="595">
        <f t="shared" si="144"/>
        <v>0</v>
      </c>
      <c r="K1921" s="596"/>
      <c r="L1921" s="597"/>
    </row>
    <row r="1922" spans="1:12" x14ac:dyDescent="0.2">
      <c r="A1922" s="316">
        <v>117</v>
      </c>
      <c r="B1922" s="591"/>
      <c r="C1922" s="598"/>
      <c r="D1922" s="586"/>
      <c r="E1922" s="587"/>
      <c r="F1922" s="588"/>
      <c r="G1922" s="776" t="s">
        <v>5893</v>
      </c>
      <c r="H1922" s="599"/>
      <c r="I1922" s="595">
        <f t="shared" si="143"/>
        <v>0</v>
      </c>
      <c r="J1922" s="595">
        <f t="shared" si="144"/>
        <v>0</v>
      </c>
      <c r="K1922" s="596"/>
      <c r="L1922" s="597"/>
    </row>
    <row r="1923" spans="1:12" x14ac:dyDescent="0.2">
      <c r="A1923" s="316">
        <v>118</v>
      </c>
      <c r="B1923" s="591"/>
      <c r="C1923" s="602"/>
      <c r="D1923" s="603"/>
      <c r="E1923" s="604"/>
      <c r="F1923" s="605"/>
      <c r="G1923" s="776" t="s">
        <v>5894</v>
      </c>
      <c r="H1923" s="606"/>
      <c r="I1923" s="595">
        <f t="shared" si="143"/>
        <v>0</v>
      </c>
      <c r="J1923" s="595">
        <f t="shared" si="144"/>
        <v>0</v>
      </c>
      <c r="K1923" s="596"/>
      <c r="L1923" s="597"/>
    </row>
    <row r="1924" spans="1:12" x14ac:dyDescent="0.2">
      <c r="A1924" s="316">
        <v>119</v>
      </c>
      <c r="B1924" s="591"/>
      <c r="C1924" s="598"/>
      <c r="D1924" s="586"/>
      <c r="E1924" s="593"/>
      <c r="F1924" s="593"/>
      <c r="G1924" s="776" t="s">
        <v>5895</v>
      </c>
      <c r="H1924" s="599"/>
      <c r="I1924" s="595">
        <f t="shared" si="143"/>
        <v>0</v>
      </c>
      <c r="J1924" s="595">
        <f t="shared" si="144"/>
        <v>0</v>
      </c>
      <c r="K1924" s="596"/>
      <c r="L1924" s="597"/>
    </row>
    <row r="1925" spans="1:12" x14ac:dyDescent="0.2">
      <c r="A1925" s="316">
        <v>120</v>
      </c>
      <c r="B1925" s="591"/>
      <c r="C1925" s="598"/>
      <c r="D1925" s="586"/>
      <c r="E1925" s="587"/>
      <c r="F1925" s="588"/>
      <c r="G1925" s="776" t="s">
        <v>5896</v>
      </c>
      <c r="H1925" s="599"/>
      <c r="I1925" s="595">
        <f t="shared" si="143"/>
        <v>0</v>
      </c>
      <c r="J1925" s="595">
        <f t="shared" si="144"/>
        <v>0</v>
      </c>
      <c r="K1925" s="596"/>
      <c r="L1925" s="597"/>
    </row>
    <row r="1926" spans="1:12" x14ac:dyDescent="0.2">
      <c r="A1926" s="316">
        <v>121</v>
      </c>
      <c r="B1926" s="591"/>
      <c r="C1926" s="598"/>
      <c r="D1926" s="586"/>
      <c r="E1926" s="587"/>
      <c r="F1926" s="588"/>
      <c r="G1926" s="776" t="s">
        <v>5897</v>
      </c>
      <c r="H1926" s="599"/>
      <c r="I1926" s="595">
        <f t="shared" si="143"/>
        <v>0</v>
      </c>
      <c r="J1926" s="595">
        <f t="shared" si="144"/>
        <v>0</v>
      </c>
      <c r="K1926" s="596"/>
      <c r="L1926" s="597"/>
    </row>
    <row r="1927" spans="1:12" x14ac:dyDescent="0.2">
      <c r="A1927" s="316">
        <v>122</v>
      </c>
      <c r="B1927" s="591"/>
      <c r="C1927" s="598"/>
      <c r="D1927" s="586"/>
      <c r="E1927" s="587"/>
      <c r="F1927" s="588"/>
      <c r="G1927" s="776" t="s">
        <v>5898</v>
      </c>
      <c r="H1927" s="599"/>
      <c r="I1927" s="595">
        <f t="shared" si="143"/>
        <v>0</v>
      </c>
      <c r="J1927" s="595">
        <f t="shared" si="144"/>
        <v>0</v>
      </c>
      <c r="K1927" s="596"/>
      <c r="L1927" s="597"/>
    </row>
    <row r="1928" spans="1:12" x14ac:dyDescent="0.2">
      <c r="A1928" s="316">
        <v>123</v>
      </c>
      <c r="B1928" s="591"/>
      <c r="C1928" s="598"/>
      <c r="D1928" s="586"/>
      <c r="E1928" s="587"/>
      <c r="F1928" s="588"/>
      <c r="G1928" s="776" t="s">
        <v>5899</v>
      </c>
      <c r="H1928" s="599"/>
      <c r="I1928" s="595">
        <f t="shared" si="143"/>
        <v>0</v>
      </c>
      <c r="J1928" s="595">
        <f t="shared" si="144"/>
        <v>0</v>
      </c>
      <c r="K1928" s="596"/>
      <c r="L1928" s="597"/>
    </row>
    <row r="1929" spans="1:12" x14ac:dyDescent="0.2">
      <c r="A1929" s="316">
        <v>124</v>
      </c>
      <c r="B1929" s="591"/>
      <c r="C1929" s="598"/>
      <c r="D1929" s="586"/>
      <c r="E1929" s="587"/>
      <c r="F1929" s="588"/>
      <c r="G1929" s="776" t="s">
        <v>5900</v>
      </c>
      <c r="H1929" s="599"/>
      <c r="I1929" s="595">
        <f t="shared" si="143"/>
        <v>0</v>
      </c>
      <c r="J1929" s="595">
        <f t="shared" si="144"/>
        <v>0</v>
      </c>
      <c r="K1929" s="596"/>
      <c r="L1929" s="597"/>
    </row>
    <row r="1930" spans="1:12" x14ac:dyDescent="0.2">
      <c r="A1930" s="316">
        <v>125</v>
      </c>
      <c r="B1930" s="591"/>
      <c r="C1930" s="598"/>
      <c r="D1930" s="586"/>
      <c r="E1930" s="587"/>
      <c r="F1930" s="588"/>
      <c r="G1930" s="776" t="s">
        <v>5901</v>
      </c>
      <c r="H1930" s="599"/>
      <c r="I1930" s="595">
        <f t="shared" si="143"/>
        <v>0</v>
      </c>
      <c r="J1930" s="595">
        <f t="shared" si="144"/>
        <v>0</v>
      </c>
      <c r="K1930" s="596"/>
      <c r="L1930" s="597"/>
    </row>
    <row r="1931" spans="1:12" x14ac:dyDescent="0.2">
      <c r="A1931" s="316">
        <v>126</v>
      </c>
      <c r="B1931" s="591"/>
      <c r="C1931" s="598"/>
      <c r="D1931" s="586"/>
      <c r="E1931" s="587"/>
      <c r="F1931" s="588"/>
      <c r="G1931" s="776" t="s">
        <v>5902</v>
      </c>
      <c r="H1931" s="599"/>
      <c r="I1931" s="595">
        <f t="shared" si="143"/>
        <v>0</v>
      </c>
      <c r="J1931" s="595">
        <f t="shared" si="144"/>
        <v>0</v>
      </c>
      <c r="K1931" s="596"/>
      <c r="L1931" s="597"/>
    </row>
    <row r="1932" spans="1:12" x14ac:dyDescent="0.2">
      <c r="A1932" s="316">
        <v>127</v>
      </c>
      <c r="B1932" s="591"/>
      <c r="C1932" s="598"/>
      <c r="D1932" s="586"/>
      <c r="E1932" s="587"/>
      <c r="F1932" s="588"/>
      <c r="G1932" s="776" t="s">
        <v>5903</v>
      </c>
      <c r="H1932" s="599"/>
      <c r="I1932" s="595">
        <f t="shared" si="143"/>
        <v>0</v>
      </c>
      <c r="J1932" s="595">
        <f t="shared" si="144"/>
        <v>0</v>
      </c>
      <c r="K1932" s="596"/>
      <c r="L1932" s="597"/>
    </row>
    <row r="1933" spans="1:12" x14ac:dyDescent="0.2">
      <c r="A1933" s="316">
        <v>128</v>
      </c>
      <c r="B1933" s="591"/>
      <c r="C1933" s="598"/>
      <c r="D1933" s="586"/>
      <c r="E1933" s="587"/>
      <c r="F1933" s="588"/>
      <c r="G1933" s="776" t="s">
        <v>5904</v>
      </c>
      <c r="H1933" s="599"/>
      <c r="I1933" s="595">
        <f t="shared" si="143"/>
        <v>0</v>
      </c>
      <c r="J1933" s="595">
        <f t="shared" si="144"/>
        <v>0</v>
      </c>
      <c r="K1933" s="596"/>
      <c r="L1933" s="597"/>
    </row>
    <row r="1934" spans="1:12" x14ac:dyDescent="0.2">
      <c r="A1934" s="316">
        <v>129</v>
      </c>
      <c r="B1934" s="591"/>
      <c r="C1934" s="602"/>
      <c r="D1934" s="603"/>
      <c r="E1934" s="604"/>
      <c r="F1934" s="605"/>
      <c r="G1934" s="776" t="s">
        <v>5905</v>
      </c>
      <c r="H1934" s="606"/>
      <c r="I1934" s="595">
        <f t="shared" ref="I1934:I1955" si="145">K1934/1.11</f>
        <v>0</v>
      </c>
      <c r="J1934" s="595">
        <f t="shared" ref="J1934:J1955" si="146">I1934*11%</f>
        <v>0</v>
      </c>
      <c r="K1934" s="596"/>
      <c r="L1934" s="597"/>
    </row>
    <row r="1935" spans="1:12" x14ac:dyDescent="0.2">
      <c r="A1935" s="316">
        <v>130</v>
      </c>
      <c r="B1935" s="591"/>
      <c r="C1935" s="598"/>
      <c r="D1935" s="586"/>
      <c r="E1935" s="593"/>
      <c r="F1935" s="593"/>
      <c r="G1935" s="776" t="s">
        <v>5906</v>
      </c>
      <c r="H1935" s="599"/>
      <c r="I1935" s="595">
        <f t="shared" si="145"/>
        <v>0</v>
      </c>
      <c r="J1935" s="595">
        <f t="shared" si="146"/>
        <v>0</v>
      </c>
      <c r="K1935" s="596"/>
      <c r="L1935" s="597"/>
    </row>
    <row r="1936" spans="1:12" x14ac:dyDescent="0.2">
      <c r="A1936" s="316">
        <v>131</v>
      </c>
      <c r="B1936" s="591"/>
      <c r="C1936" s="598"/>
      <c r="D1936" s="586"/>
      <c r="E1936" s="587"/>
      <c r="F1936" s="588"/>
      <c r="G1936" s="776" t="s">
        <v>5907</v>
      </c>
      <c r="H1936" s="599"/>
      <c r="I1936" s="595">
        <f t="shared" si="145"/>
        <v>0</v>
      </c>
      <c r="J1936" s="595">
        <f t="shared" si="146"/>
        <v>0</v>
      </c>
      <c r="K1936" s="596"/>
      <c r="L1936" s="597"/>
    </row>
    <row r="1937" spans="1:12" x14ac:dyDescent="0.2">
      <c r="A1937" s="316">
        <v>132</v>
      </c>
      <c r="B1937" s="591"/>
      <c r="C1937" s="598"/>
      <c r="D1937" s="586"/>
      <c r="E1937" s="587"/>
      <c r="F1937" s="588"/>
      <c r="G1937" s="776" t="s">
        <v>5908</v>
      </c>
      <c r="H1937" s="599"/>
      <c r="I1937" s="595">
        <f t="shared" si="145"/>
        <v>0</v>
      </c>
      <c r="J1937" s="595">
        <f t="shared" si="146"/>
        <v>0</v>
      </c>
      <c r="K1937" s="596"/>
      <c r="L1937" s="597"/>
    </row>
    <row r="1938" spans="1:12" x14ac:dyDescent="0.2">
      <c r="A1938" s="316">
        <v>133</v>
      </c>
      <c r="B1938" s="591"/>
      <c r="C1938" s="598"/>
      <c r="D1938" s="586"/>
      <c r="E1938" s="587"/>
      <c r="F1938" s="588"/>
      <c r="G1938" s="776" t="s">
        <v>5909</v>
      </c>
      <c r="H1938" s="599"/>
      <c r="I1938" s="595">
        <f t="shared" si="145"/>
        <v>0</v>
      </c>
      <c r="J1938" s="595">
        <f t="shared" si="146"/>
        <v>0</v>
      </c>
      <c r="K1938" s="596"/>
      <c r="L1938" s="597"/>
    </row>
    <row r="1939" spans="1:12" x14ac:dyDescent="0.2">
      <c r="A1939" s="316">
        <v>134</v>
      </c>
      <c r="B1939" s="591"/>
      <c r="C1939" s="598"/>
      <c r="D1939" s="586"/>
      <c r="E1939" s="587"/>
      <c r="F1939" s="588"/>
      <c r="G1939" s="776" t="s">
        <v>5910</v>
      </c>
      <c r="H1939" s="599"/>
      <c r="I1939" s="595">
        <f t="shared" si="145"/>
        <v>0</v>
      </c>
      <c r="J1939" s="595">
        <f t="shared" si="146"/>
        <v>0</v>
      </c>
      <c r="K1939" s="596"/>
      <c r="L1939" s="597"/>
    </row>
    <row r="1940" spans="1:12" x14ac:dyDescent="0.2">
      <c r="A1940" s="316">
        <v>135</v>
      </c>
      <c r="B1940" s="591"/>
      <c r="C1940" s="598"/>
      <c r="D1940" s="586"/>
      <c r="E1940" s="587"/>
      <c r="F1940" s="588"/>
      <c r="G1940" s="776" t="s">
        <v>5911</v>
      </c>
      <c r="H1940" s="599"/>
      <c r="I1940" s="595">
        <f t="shared" si="145"/>
        <v>0</v>
      </c>
      <c r="J1940" s="595">
        <f t="shared" si="146"/>
        <v>0</v>
      </c>
      <c r="K1940" s="596"/>
      <c r="L1940" s="597"/>
    </row>
    <row r="1941" spans="1:12" x14ac:dyDescent="0.2">
      <c r="A1941" s="316">
        <v>136</v>
      </c>
      <c r="B1941" s="591"/>
      <c r="C1941" s="598"/>
      <c r="D1941" s="586"/>
      <c r="E1941" s="587"/>
      <c r="F1941" s="588"/>
      <c r="G1941" s="776" t="s">
        <v>5912</v>
      </c>
      <c r="H1941" s="599"/>
      <c r="I1941" s="595">
        <f t="shared" si="145"/>
        <v>0</v>
      </c>
      <c r="J1941" s="595">
        <f t="shared" si="146"/>
        <v>0</v>
      </c>
      <c r="K1941" s="596"/>
      <c r="L1941" s="597"/>
    </row>
    <row r="1942" spans="1:12" x14ac:dyDescent="0.2">
      <c r="A1942" s="316">
        <v>137</v>
      </c>
      <c r="B1942" s="591"/>
      <c r="C1942" s="598"/>
      <c r="D1942" s="586"/>
      <c r="E1942" s="587"/>
      <c r="F1942" s="588"/>
      <c r="G1942" s="776" t="s">
        <v>5913</v>
      </c>
      <c r="H1942" s="599"/>
      <c r="I1942" s="595">
        <f t="shared" si="145"/>
        <v>0</v>
      </c>
      <c r="J1942" s="595">
        <f t="shared" si="146"/>
        <v>0</v>
      </c>
      <c r="K1942" s="596"/>
      <c r="L1942" s="597"/>
    </row>
    <row r="1943" spans="1:12" x14ac:dyDescent="0.2">
      <c r="A1943" s="316">
        <v>138</v>
      </c>
      <c r="B1943" s="591"/>
      <c r="C1943" s="598"/>
      <c r="D1943" s="586"/>
      <c r="E1943" s="587"/>
      <c r="F1943" s="588"/>
      <c r="G1943" s="776" t="s">
        <v>5914</v>
      </c>
      <c r="H1943" s="599"/>
      <c r="I1943" s="595">
        <f t="shared" si="145"/>
        <v>0</v>
      </c>
      <c r="J1943" s="595">
        <f t="shared" si="146"/>
        <v>0</v>
      </c>
      <c r="K1943" s="596"/>
      <c r="L1943" s="597"/>
    </row>
    <row r="1944" spans="1:12" x14ac:dyDescent="0.2">
      <c r="A1944" s="316">
        <v>139</v>
      </c>
      <c r="B1944" s="591"/>
      <c r="C1944" s="598"/>
      <c r="D1944" s="586"/>
      <c r="E1944" s="587"/>
      <c r="F1944" s="588"/>
      <c r="G1944" s="776" t="s">
        <v>5915</v>
      </c>
      <c r="H1944" s="599"/>
      <c r="I1944" s="595">
        <f t="shared" si="145"/>
        <v>0</v>
      </c>
      <c r="J1944" s="595">
        <f t="shared" si="146"/>
        <v>0</v>
      </c>
      <c r="K1944" s="596"/>
      <c r="L1944" s="597"/>
    </row>
    <row r="1945" spans="1:12" x14ac:dyDescent="0.2">
      <c r="A1945" s="316">
        <v>140</v>
      </c>
      <c r="B1945" s="591"/>
      <c r="C1945" s="602"/>
      <c r="D1945" s="603"/>
      <c r="E1945" s="604"/>
      <c r="F1945" s="605"/>
      <c r="G1945" s="776" t="s">
        <v>5916</v>
      </c>
      <c r="H1945" s="606"/>
      <c r="I1945" s="595">
        <f t="shared" si="145"/>
        <v>0</v>
      </c>
      <c r="J1945" s="595">
        <f t="shared" si="146"/>
        <v>0</v>
      </c>
      <c r="K1945" s="596"/>
      <c r="L1945" s="597"/>
    </row>
    <row r="1946" spans="1:12" x14ac:dyDescent="0.2">
      <c r="A1946" s="316">
        <v>141</v>
      </c>
      <c r="B1946" s="591"/>
      <c r="C1946" s="598"/>
      <c r="D1946" s="586"/>
      <c r="E1946" s="587"/>
      <c r="F1946" s="588"/>
      <c r="G1946" s="776" t="s">
        <v>5917</v>
      </c>
      <c r="H1946" s="599"/>
      <c r="I1946" s="595">
        <f t="shared" si="145"/>
        <v>0</v>
      </c>
      <c r="J1946" s="595">
        <f t="shared" si="146"/>
        <v>0</v>
      </c>
      <c r="K1946" s="596"/>
      <c r="L1946" s="597"/>
    </row>
    <row r="1947" spans="1:12" x14ac:dyDescent="0.2">
      <c r="A1947" s="316">
        <v>142</v>
      </c>
      <c r="B1947" s="591"/>
      <c r="C1947" s="598"/>
      <c r="D1947" s="586"/>
      <c r="E1947" s="587"/>
      <c r="F1947" s="588"/>
      <c r="G1947" s="776" t="s">
        <v>5918</v>
      </c>
      <c r="H1947" s="599"/>
      <c r="I1947" s="595">
        <f t="shared" si="145"/>
        <v>0</v>
      </c>
      <c r="J1947" s="595">
        <f t="shared" si="146"/>
        <v>0</v>
      </c>
      <c r="K1947" s="596"/>
      <c r="L1947" s="597"/>
    </row>
    <row r="1948" spans="1:12" x14ac:dyDescent="0.2">
      <c r="A1948" s="316">
        <v>143</v>
      </c>
      <c r="B1948" s="591"/>
      <c r="C1948" s="598"/>
      <c r="D1948" s="586"/>
      <c r="E1948" s="587"/>
      <c r="F1948" s="588"/>
      <c r="G1948" s="776" t="s">
        <v>5919</v>
      </c>
      <c r="H1948" s="599"/>
      <c r="I1948" s="595">
        <f t="shared" si="145"/>
        <v>0</v>
      </c>
      <c r="J1948" s="595">
        <f t="shared" si="146"/>
        <v>0</v>
      </c>
      <c r="K1948" s="596"/>
      <c r="L1948" s="597"/>
    </row>
    <row r="1949" spans="1:12" x14ac:dyDescent="0.2">
      <c r="A1949" s="316">
        <v>144</v>
      </c>
      <c r="B1949" s="591"/>
      <c r="C1949" s="598"/>
      <c r="D1949" s="586"/>
      <c r="E1949" s="587"/>
      <c r="F1949" s="588"/>
      <c r="G1949" s="776" t="s">
        <v>5920</v>
      </c>
      <c r="H1949" s="599"/>
      <c r="I1949" s="595">
        <f t="shared" si="145"/>
        <v>0</v>
      </c>
      <c r="J1949" s="595">
        <f t="shared" si="146"/>
        <v>0</v>
      </c>
      <c r="K1949" s="596"/>
      <c r="L1949" s="597"/>
    </row>
    <row r="1950" spans="1:12" x14ac:dyDescent="0.2">
      <c r="A1950" s="316">
        <v>145</v>
      </c>
      <c r="B1950" s="591"/>
      <c r="C1950" s="602"/>
      <c r="D1950" s="603"/>
      <c r="E1950" s="604"/>
      <c r="F1950" s="605"/>
      <c r="G1950" s="776" t="s">
        <v>5921</v>
      </c>
      <c r="H1950" s="606"/>
      <c r="I1950" s="595">
        <f t="shared" si="145"/>
        <v>0</v>
      </c>
      <c r="J1950" s="595">
        <f t="shared" si="146"/>
        <v>0</v>
      </c>
      <c r="K1950" s="596"/>
      <c r="L1950" s="597"/>
    </row>
    <row r="1951" spans="1:12" x14ac:dyDescent="0.2">
      <c r="A1951" s="316">
        <v>146</v>
      </c>
      <c r="B1951" s="591"/>
      <c r="C1951" s="598"/>
      <c r="D1951" s="586"/>
      <c r="E1951" s="587"/>
      <c r="F1951" s="588"/>
      <c r="G1951" s="776" t="s">
        <v>5922</v>
      </c>
      <c r="H1951" s="599"/>
      <c r="I1951" s="595">
        <f t="shared" si="145"/>
        <v>0</v>
      </c>
      <c r="J1951" s="595">
        <f t="shared" si="146"/>
        <v>0</v>
      </c>
      <c r="K1951" s="596"/>
      <c r="L1951" s="597"/>
    </row>
    <row r="1952" spans="1:12" x14ac:dyDescent="0.2">
      <c r="A1952" s="316">
        <v>147</v>
      </c>
      <c r="B1952" s="591"/>
      <c r="C1952" s="598"/>
      <c r="D1952" s="586"/>
      <c r="E1952" s="587"/>
      <c r="F1952" s="588"/>
      <c r="G1952" s="776" t="s">
        <v>5923</v>
      </c>
      <c r="H1952" s="599"/>
      <c r="I1952" s="595">
        <f t="shared" si="145"/>
        <v>0</v>
      </c>
      <c r="J1952" s="595">
        <f t="shared" si="146"/>
        <v>0</v>
      </c>
      <c r="K1952" s="596"/>
      <c r="L1952" s="597"/>
    </row>
    <row r="1953" spans="1:12" x14ac:dyDescent="0.2">
      <c r="A1953" s="316">
        <v>148</v>
      </c>
      <c r="B1953" s="591"/>
      <c r="C1953" s="598"/>
      <c r="D1953" s="586"/>
      <c r="E1953" s="587"/>
      <c r="F1953" s="588"/>
      <c r="G1953" s="776"/>
      <c r="H1953" s="599"/>
      <c r="I1953" s="595">
        <f t="shared" si="145"/>
        <v>0</v>
      </c>
      <c r="J1953" s="595">
        <f t="shared" si="146"/>
        <v>0</v>
      </c>
      <c r="K1953" s="596"/>
      <c r="L1953" s="597"/>
    </row>
    <row r="1954" spans="1:12" x14ac:dyDescent="0.2">
      <c r="A1954" s="316">
        <v>149</v>
      </c>
      <c r="B1954" s="591"/>
      <c r="C1954" s="598"/>
      <c r="D1954" s="586"/>
      <c r="E1954" s="587"/>
      <c r="F1954" s="588"/>
      <c r="G1954" s="586"/>
      <c r="H1954" s="599"/>
      <c r="I1954" s="595">
        <f t="shared" si="145"/>
        <v>0</v>
      </c>
      <c r="J1954" s="595">
        <f t="shared" si="146"/>
        <v>0</v>
      </c>
      <c r="K1954" s="596"/>
      <c r="L1954" s="597"/>
    </row>
    <row r="1955" spans="1:12" x14ac:dyDescent="0.2">
      <c r="A1955" s="316">
        <v>150</v>
      </c>
      <c r="B1955" s="616"/>
      <c r="C1955" s="617"/>
      <c r="D1955" s="618"/>
      <c r="E1955" s="619"/>
      <c r="F1955" s="620"/>
      <c r="G1955" s="655"/>
      <c r="H1955" s="621"/>
      <c r="I1955" s="595">
        <f t="shared" si="145"/>
        <v>0</v>
      </c>
      <c r="J1955" s="595">
        <f t="shared" si="146"/>
        <v>0</v>
      </c>
      <c r="K1955" s="623"/>
      <c r="L1955" s="624"/>
    </row>
    <row r="1956" spans="1:12" ht="18" x14ac:dyDescent="0.25">
      <c r="B1956" s="630" t="s">
        <v>296</v>
      </c>
      <c r="C1956" s="631"/>
      <c r="D1956" s="632"/>
      <c r="E1956" s="633"/>
      <c r="F1956" s="634"/>
      <c r="G1956" s="656"/>
      <c r="H1956" s="635"/>
      <c r="I1956" s="636">
        <f>SUM(I1806:I1955)</f>
        <v>0</v>
      </c>
      <c r="J1956" s="636">
        <f>SUM(J1806:J1955)</f>
        <v>0</v>
      </c>
      <c r="K1956" s="637">
        <f>SUM(K1806:K1955)</f>
        <v>0</v>
      </c>
      <c r="L1956" s="638"/>
    </row>
    <row r="1957" spans="1:12" s="429" customFormat="1" ht="20.25" x14ac:dyDescent="0.3">
      <c r="A1957" s="316"/>
      <c r="B1957" s="639" t="s">
        <v>108</v>
      </c>
      <c r="C1957" s="626"/>
      <c r="D1957" s="627"/>
      <c r="E1957" s="627"/>
      <c r="F1957" s="627"/>
      <c r="G1957" s="627"/>
      <c r="H1957" s="640"/>
      <c r="I1957" s="641"/>
      <c r="J1957" s="641"/>
      <c r="K1957" s="642"/>
      <c r="L1957" s="643"/>
    </row>
    <row r="1958" spans="1:12" s="429" customFormat="1" x14ac:dyDescent="0.2">
      <c r="A1958" s="316">
        <v>1</v>
      </c>
      <c r="B1958" s="591"/>
      <c r="C1958" s="598"/>
      <c r="D1958" s="586"/>
      <c r="E1958" s="593"/>
      <c r="F1958" s="593"/>
      <c r="G1958" s="586"/>
      <c r="H1958" s="594"/>
      <c r="I1958" s="595">
        <f t="shared" ref="I1958:I2021" si="147">K1958/1.11</f>
        <v>0</v>
      </c>
      <c r="J1958" s="595">
        <f t="shared" ref="J1958:J2021" si="148">I1958*11%</f>
        <v>0</v>
      </c>
      <c r="K1958" s="596"/>
      <c r="L1958" s="759"/>
    </row>
    <row r="1959" spans="1:12" s="429" customFormat="1" x14ac:dyDescent="0.2">
      <c r="A1959" s="316">
        <v>2</v>
      </c>
      <c r="B1959" s="591"/>
      <c r="C1959" s="592"/>
      <c r="D1959" s="586"/>
      <c r="E1959" s="593"/>
      <c r="F1959" s="593"/>
      <c r="G1959" s="586"/>
      <c r="H1959" s="594"/>
      <c r="I1959" s="595">
        <f t="shared" si="147"/>
        <v>0</v>
      </c>
      <c r="J1959" s="595">
        <f t="shared" si="148"/>
        <v>0</v>
      </c>
      <c r="K1959" s="596"/>
      <c r="L1959" s="597"/>
    </row>
    <row r="1960" spans="1:12" s="429" customFormat="1" x14ac:dyDescent="0.2">
      <c r="A1960" s="316">
        <v>3</v>
      </c>
      <c r="B1960" s="591"/>
      <c r="C1960" s="598"/>
      <c r="D1960" s="586"/>
      <c r="E1960" s="593"/>
      <c r="F1960" s="593"/>
      <c r="G1960" s="586"/>
      <c r="H1960" s="594"/>
      <c r="I1960" s="595">
        <f t="shared" si="147"/>
        <v>0</v>
      </c>
      <c r="J1960" s="595">
        <f t="shared" si="148"/>
        <v>0</v>
      </c>
      <c r="K1960" s="596"/>
      <c r="L1960" s="597"/>
    </row>
    <row r="1961" spans="1:12" s="429" customFormat="1" x14ac:dyDescent="0.2">
      <c r="A1961" s="316">
        <v>4</v>
      </c>
      <c r="B1961" s="591"/>
      <c r="C1961" s="598"/>
      <c r="D1961" s="586"/>
      <c r="E1961" s="593"/>
      <c r="F1961" s="593"/>
      <c r="G1961" s="586"/>
      <c r="H1961" s="594"/>
      <c r="I1961" s="595">
        <f t="shared" si="147"/>
        <v>0</v>
      </c>
      <c r="J1961" s="595">
        <f t="shared" si="148"/>
        <v>0</v>
      </c>
      <c r="K1961" s="596"/>
      <c r="L1961" s="597"/>
    </row>
    <row r="1962" spans="1:12" s="429" customFormat="1" x14ac:dyDescent="0.2">
      <c r="A1962" s="316">
        <v>5</v>
      </c>
      <c r="B1962" s="591"/>
      <c r="C1962" s="598"/>
      <c r="D1962" s="586"/>
      <c r="E1962" s="593"/>
      <c r="F1962" s="593"/>
      <c r="G1962" s="586"/>
      <c r="H1962" s="594"/>
      <c r="I1962" s="595">
        <f t="shared" si="147"/>
        <v>0</v>
      </c>
      <c r="J1962" s="595">
        <f t="shared" si="148"/>
        <v>0</v>
      </c>
      <c r="K1962" s="596"/>
      <c r="L1962" s="597"/>
    </row>
    <row r="1963" spans="1:12" s="429" customFormat="1" x14ac:dyDescent="0.2">
      <c r="A1963" s="316">
        <v>6</v>
      </c>
      <c r="B1963" s="591"/>
      <c r="C1963" s="598"/>
      <c r="D1963" s="586"/>
      <c r="E1963" s="587"/>
      <c r="F1963" s="588"/>
      <c r="G1963" s="586"/>
      <c r="H1963" s="599"/>
      <c r="I1963" s="595">
        <f t="shared" si="147"/>
        <v>0</v>
      </c>
      <c r="J1963" s="595">
        <f t="shared" si="148"/>
        <v>0</v>
      </c>
      <c r="K1963" s="596"/>
      <c r="L1963" s="597"/>
    </row>
    <row r="1964" spans="1:12" s="429" customFormat="1" x14ac:dyDescent="0.2">
      <c r="A1964" s="316">
        <v>7</v>
      </c>
      <c r="B1964" s="591"/>
      <c r="C1964" s="598"/>
      <c r="D1964" s="586"/>
      <c r="E1964" s="587"/>
      <c r="F1964" s="588"/>
      <c r="G1964" s="586"/>
      <c r="H1964" s="599"/>
      <c r="I1964" s="595">
        <f t="shared" si="147"/>
        <v>0</v>
      </c>
      <c r="J1964" s="595">
        <f t="shared" si="148"/>
        <v>0</v>
      </c>
      <c r="K1964" s="596"/>
      <c r="L1964" s="597"/>
    </row>
    <row r="1965" spans="1:12" s="429" customFormat="1" x14ac:dyDescent="0.2">
      <c r="A1965" s="316">
        <v>8</v>
      </c>
      <c r="B1965" s="591"/>
      <c r="C1965" s="598"/>
      <c r="D1965" s="586"/>
      <c r="E1965" s="587"/>
      <c r="F1965" s="588"/>
      <c r="G1965" s="586"/>
      <c r="H1965" s="599"/>
      <c r="I1965" s="595">
        <f t="shared" si="147"/>
        <v>0</v>
      </c>
      <c r="J1965" s="595">
        <f t="shared" si="148"/>
        <v>0</v>
      </c>
      <c r="K1965" s="596"/>
      <c r="L1965" s="597"/>
    </row>
    <row r="1966" spans="1:12" s="429" customFormat="1" x14ac:dyDescent="0.2">
      <c r="A1966" s="316">
        <v>9</v>
      </c>
      <c r="B1966" s="591"/>
      <c r="C1966" s="598"/>
      <c r="D1966" s="586"/>
      <c r="E1966" s="593"/>
      <c r="F1966" s="593"/>
      <c r="G1966" s="586"/>
      <c r="H1966" s="599"/>
      <c r="I1966" s="595">
        <f t="shared" si="147"/>
        <v>0</v>
      </c>
      <c r="J1966" s="595">
        <f t="shared" si="148"/>
        <v>0</v>
      </c>
      <c r="K1966" s="596"/>
      <c r="L1966" s="597"/>
    </row>
    <row r="1967" spans="1:12" s="429" customFormat="1" x14ac:dyDescent="0.2">
      <c r="A1967" s="316">
        <v>10</v>
      </c>
      <c r="B1967" s="591"/>
      <c r="C1967" s="598"/>
      <c r="D1967" s="586"/>
      <c r="E1967" s="587"/>
      <c r="F1967" s="588"/>
      <c r="G1967" s="586"/>
      <c r="H1967" s="599"/>
      <c r="I1967" s="595">
        <f t="shared" si="147"/>
        <v>0</v>
      </c>
      <c r="J1967" s="595">
        <f t="shared" si="148"/>
        <v>0</v>
      </c>
      <c r="K1967" s="596"/>
      <c r="L1967" s="597"/>
    </row>
    <row r="1968" spans="1:12" s="429" customFormat="1" x14ac:dyDescent="0.2">
      <c r="A1968" s="316">
        <v>11</v>
      </c>
      <c r="B1968" s="591"/>
      <c r="C1968" s="598"/>
      <c r="D1968" s="586"/>
      <c r="E1968" s="593"/>
      <c r="F1968" s="593"/>
      <c r="G1968" s="586"/>
      <c r="H1968" s="599"/>
      <c r="I1968" s="595">
        <f t="shared" si="147"/>
        <v>0</v>
      </c>
      <c r="J1968" s="595">
        <f t="shared" si="148"/>
        <v>0</v>
      </c>
      <c r="K1968" s="596"/>
      <c r="L1968" s="597"/>
    </row>
    <row r="1969" spans="1:12" s="429" customFormat="1" x14ac:dyDescent="0.2">
      <c r="A1969" s="316">
        <v>12</v>
      </c>
      <c r="B1969" s="591"/>
      <c r="C1969" s="598"/>
      <c r="D1969" s="586"/>
      <c r="E1969" s="587"/>
      <c r="F1969" s="588"/>
      <c r="G1969" s="586"/>
      <c r="H1969" s="599"/>
      <c r="I1969" s="595">
        <f t="shared" si="147"/>
        <v>0</v>
      </c>
      <c r="J1969" s="595">
        <f t="shared" si="148"/>
        <v>0</v>
      </c>
      <c r="K1969" s="596"/>
      <c r="L1969" s="597"/>
    </row>
    <row r="1970" spans="1:12" s="429" customFormat="1" x14ac:dyDescent="0.2">
      <c r="A1970" s="316">
        <v>13</v>
      </c>
      <c r="B1970" s="591"/>
      <c r="C1970" s="598"/>
      <c r="D1970" s="586"/>
      <c r="E1970" s="587"/>
      <c r="F1970" s="588"/>
      <c r="G1970" s="586"/>
      <c r="H1970" s="599"/>
      <c r="I1970" s="595">
        <f t="shared" si="147"/>
        <v>0</v>
      </c>
      <c r="J1970" s="595">
        <f t="shared" si="148"/>
        <v>0</v>
      </c>
      <c r="K1970" s="596"/>
      <c r="L1970" s="597"/>
    </row>
    <row r="1971" spans="1:12" s="429" customFormat="1" x14ac:dyDescent="0.2">
      <c r="A1971" s="316">
        <v>14</v>
      </c>
      <c r="B1971" s="591"/>
      <c r="C1971" s="598"/>
      <c r="D1971" s="586"/>
      <c r="E1971" s="593"/>
      <c r="F1971" s="593"/>
      <c r="G1971" s="586"/>
      <c r="H1971" s="599"/>
      <c r="I1971" s="595">
        <f t="shared" si="147"/>
        <v>0</v>
      </c>
      <c r="J1971" s="595">
        <f t="shared" si="148"/>
        <v>0</v>
      </c>
      <c r="K1971" s="596"/>
      <c r="L1971" s="597"/>
    </row>
    <row r="1972" spans="1:12" s="429" customFormat="1" x14ac:dyDescent="0.2">
      <c r="A1972" s="316">
        <v>15</v>
      </c>
      <c r="B1972" s="591"/>
      <c r="C1972" s="598"/>
      <c r="D1972" s="586"/>
      <c r="E1972" s="587"/>
      <c r="F1972" s="588"/>
      <c r="G1972" s="586"/>
      <c r="H1972" s="599"/>
      <c r="I1972" s="595">
        <f t="shared" si="147"/>
        <v>0</v>
      </c>
      <c r="J1972" s="595">
        <f t="shared" si="148"/>
        <v>0</v>
      </c>
      <c r="K1972" s="596"/>
      <c r="L1972" s="597"/>
    </row>
    <row r="1973" spans="1:12" s="429" customFormat="1" x14ac:dyDescent="0.2">
      <c r="A1973" s="316">
        <v>16</v>
      </c>
      <c r="B1973" s="591"/>
      <c r="C1973" s="598"/>
      <c r="D1973" s="586"/>
      <c r="E1973" s="593"/>
      <c r="F1973" s="593"/>
      <c r="G1973" s="586"/>
      <c r="H1973" s="599"/>
      <c r="I1973" s="595">
        <f t="shared" si="147"/>
        <v>0</v>
      </c>
      <c r="J1973" s="595">
        <f t="shared" si="148"/>
        <v>0</v>
      </c>
      <c r="K1973" s="596"/>
      <c r="L1973" s="597"/>
    </row>
    <row r="1974" spans="1:12" s="429" customFormat="1" x14ac:dyDescent="0.2">
      <c r="A1974" s="316">
        <v>17</v>
      </c>
      <c r="B1974" s="591"/>
      <c r="C1974" s="598"/>
      <c r="D1974" s="586"/>
      <c r="E1974" s="587"/>
      <c r="F1974" s="588"/>
      <c r="G1974" s="586"/>
      <c r="H1974" s="599"/>
      <c r="I1974" s="595">
        <f t="shared" si="147"/>
        <v>0</v>
      </c>
      <c r="J1974" s="595">
        <f t="shared" si="148"/>
        <v>0</v>
      </c>
      <c r="K1974" s="596"/>
      <c r="L1974" s="597"/>
    </row>
    <row r="1975" spans="1:12" s="429" customFormat="1" x14ac:dyDescent="0.2">
      <c r="A1975" s="316">
        <v>18</v>
      </c>
      <c r="B1975" s="591"/>
      <c r="C1975" s="598"/>
      <c r="D1975" s="586"/>
      <c r="E1975" s="587"/>
      <c r="F1975" s="588"/>
      <c r="G1975" s="586"/>
      <c r="H1975" s="599"/>
      <c r="I1975" s="595">
        <f t="shared" si="147"/>
        <v>0</v>
      </c>
      <c r="J1975" s="595">
        <f t="shared" si="148"/>
        <v>0</v>
      </c>
      <c r="K1975" s="596"/>
      <c r="L1975" s="597"/>
    </row>
    <row r="1976" spans="1:12" s="429" customFormat="1" x14ac:dyDescent="0.2">
      <c r="A1976" s="316">
        <v>19</v>
      </c>
      <c r="B1976" s="591"/>
      <c r="C1976" s="598"/>
      <c r="D1976" s="586"/>
      <c r="E1976" s="587"/>
      <c r="F1976" s="588"/>
      <c r="G1976" s="586"/>
      <c r="H1976" s="599"/>
      <c r="I1976" s="595">
        <f t="shared" si="147"/>
        <v>0</v>
      </c>
      <c r="J1976" s="595">
        <f t="shared" si="148"/>
        <v>0</v>
      </c>
      <c r="K1976" s="596"/>
      <c r="L1976" s="597"/>
    </row>
    <row r="1977" spans="1:12" s="429" customFormat="1" x14ac:dyDescent="0.2">
      <c r="A1977" s="316">
        <v>20</v>
      </c>
      <c r="B1977" s="591"/>
      <c r="C1977" s="598"/>
      <c r="D1977" s="586"/>
      <c r="E1977" s="593"/>
      <c r="F1977" s="593"/>
      <c r="G1977" s="586"/>
      <c r="H1977" s="594"/>
      <c r="I1977" s="595">
        <f t="shared" si="147"/>
        <v>0</v>
      </c>
      <c r="J1977" s="595">
        <f t="shared" si="148"/>
        <v>0</v>
      </c>
      <c r="K1977" s="596"/>
      <c r="L1977" s="597"/>
    </row>
    <row r="1978" spans="1:12" s="429" customFormat="1" x14ac:dyDescent="0.2">
      <c r="A1978" s="316">
        <v>21</v>
      </c>
      <c r="B1978" s="591"/>
      <c r="C1978" s="598"/>
      <c r="D1978" s="586"/>
      <c r="E1978" s="587"/>
      <c r="F1978" s="588"/>
      <c r="G1978" s="586"/>
      <c r="H1978" s="599"/>
      <c r="I1978" s="595">
        <f t="shared" si="147"/>
        <v>0</v>
      </c>
      <c r="J1978" s="595">
        <f t="shared" si="148"/>
        <v>0</v>
      </c>
      <c r="K1978" s="596"/>
      <c r="L1978" s="597"/>
    </row>
    <row r="1979" spans="1:12" s="429" customFormat="1" x14ac:dyDescent="0.2">
      <c r="A1979" s="316">
        <v>22</v>
      </c>
      <c r="B1979" s="591"/>
      <c r="C1979" s="598"/>
      <c r="D1979" s="586"/>
      <c r="E1979" s="587"/>
      <c r="F1979" s="588"/>
      <c r="G1979" s="586"/>
      <c r="H1979" s="599"/>
      <c r="I1979" s="595">
        <f t="shared" si="147"/>
        <v>0</v>
      </c>
      <c r="J1979" s="595">
        <f t="shared" si="148"/>
        <v>0</v>
      </c>
      <c r="K1979" s="596"/>
      <c r="L1979" s="597"/>
    </row>
    <row r="1980" spans="1:12" s="429" customFormat="1" x14ac:dyDescent="0.2">
      <c r="A1980" s="316">
        <v>23</v>
      </c>
      <c r="B1980" s="591"/>
      <c r="C1980" s="598"/>
      <c r="D1980" s="586"/>
      <c r="E1980" s="587"/>
      <c r="F1980" s="588"/>
      <c r="G1980" s="586"/>
      <c r="H1980" s="599"/>
      <c r="I1980" s="595">
        <f t="shared" si="147"/>
        <v>0</v>
      </c>
      <c r="J1980" s="595">
        <f t="shared" si="148"/>
        <v>0</v>
      </c>
      <c r="K1980" s="596"/>
      <c r="L1980" s="597"/>
    </row>
    <row r="1981" spans="1:12" s="429" customFormat="1" x14ac:dyDescent="0.2">
      <c r="A1981" s="316">
        <v>24</v>
      </c>
      <c r="B1981" s="591"/>
      <c r="C1981" s="598"/>
      <c r="D1981" s="586"/>
      <c r="E1981" s="587"/>
      <c r="F1981" s="588"/>
      <c r="G1981" s="586"/>
      <c r="H1981" s="599"/>
      <c r="I1981" s="595">
        <f t="shared" si="147"/>
        <v>0</v>
      </c>
      <c r="J1981" s="595">
        <f t="shared" si="148"/>
        <v>0</v>
      </c>
      <c r="K1981" s="596"/>
      <c r="L1981" s="597"/>
    </row>
    <row r="1982" spans="1:12" s="429" customFormat="1" x14ac:dyDescent="0.2">
      <c r="A1982" s="316">
        <v>25</v>
      </c>
      <c r="B1982" s="591"/>
      <c r="C1982" s="598"/>
      <c r="D1982" s="586"/>
      <c r="E1982" s="587"/>
      <c r="F1982" s="588"/>
      <c r="G1982" s="586"/>
      <c r="H1982" s="599"/>
      <c r="I1982" s="595">
        <f t="shared" si="147"/>
        <v>0</v>
      </c>
      <c r="J1982" s="595">
        <f t="shared" si="148"/>
        <v>0</v>
      </c>
      <c r="K1982" s="596"/>
      <c r="L1982" s="597"/>
    </row>
    <row r="1983" spans="1:12" x14ac:dyDescent="0.2">
      <c r="A1983" s="316">
        <v>26</v>
      </c>
      <c r="B1983" s="591"/>
      <c r="C1983" s="598"/>
      <c r="D1983" s="586"/>
      <c r="E1983" s="587"/>
      <c r="F1983" s="588"/>
      <c r="G1983" s="586"/>
      <c r="H1983" s="599"/>
      <c r="I1983" s="595">
        <f t="shared" si="147"/>
        <v>0</v>
      </c>
      <c r="J1983" s="595">
        <f t="shared" si="148"/>
        <v>0</v>
      </c>
      <c r="K1983" s="596"/>
      <c r="L1983" s="597"/>
    </row>
    <row r="1984" spans="1:12" x14ac:dyDescent="0.2">
      <c r="A1984" s="316">
        <v>27</v>
      </c>
      <c r="B1984" s="591"/>
      <c r="C1984" s="598"/>
      <c r="D1984" s="586"/>
      <c r="E1984" s="587"/>
      <c r="F1984" s="588"/>
      <c r="G1984" s="586"/>
      <c r="H1984" s="599"/>
      <c r="I1984" s="595">
        <f t="shared" si="147"/>
        <v>0</v>
      </c>
      <c r="J1984" s="595">
        <f t="shared" si="148"/>
        <v>0</v>
      </c>
      <c r="K1984" s="596"/>
      <c r="L1984" s="597"/>
    </row>
    <row r="1985" spans="1:12" x14ac:dyDescent="0.2">
      <c r="A1985" s="316">
        <v>28</v>
      </c>
      <c r="B1985" s="591"/>
      <c r="C1985" s="598"/>
      <c r="D1985" s="586"/>
      <c r="E1985" s="587"/>
      <c r="F1985" s="588"/>
      <c r="G1985" s="586"/>
      <c r="H1985" s="599"/>
      <c r="I1985" s="595">
        <f t="shared" si="147"/>
        <v>0</v>
      </c>
      <c r="J1985" s="595">
        <f t="shared" si="148"/>
        <v>0</v>
      </c>
      <c r="K1985" s="596"/>
      <c r="L1985" s="597"/>
    </row>
    <row r="1986" spans="1:12" x14ac:dyDescent="0.2">
      <c r="A1986" s="316">
        <v>29</v>
      </c>
      <c r="B1986" s="591"/>
      <c r="C1986" s="598"/>
      <c r="D1986" s="586"/>
      <c r="E1986" s="587"/>
      <c r="F1986" s="588"/>
      <c r="G1986" s="586"/>
      <c r="H1986" s="599"/>
      <c r="I1986" s="595">
        <f t="shared" si="147"/>
        <v>0</v>
      </c>
      <c r="J1986" s="595">
        <f t="shared" si="148"/>
        <v>0</v>
      </c>
      <c r="K1986" s="596"/>
      <c r="L1986" s="597"/>
    </row>
    <row r="1987" spans="1:12" x14ac:dyDescent="0.2">
      <c r="A1987" s="316">
        <v>30</v>
      </c>
      <c r="B1987" s="591"/>
      <c r="C1987" s="598"/>
      <c r="D1987" s="586"/>
      <c r="E1987" s="587"/>
      <c r="F1987" s="588"/>
      <c r="G1987" s="586"/>
      <c r="H1987" s="599"/>
      <c r="I1987" s="595">
        <f t="shared" si="147"/>
        <v>0</v>
      </c>
      <c r="J1987" s="595">
        <f t="shared" si="148"/>
        <v>0</v>
      </c>
      <c r="K1987" s="596"/>
      <c r="L1987" s="597"/>
    </row>
    <row r="1988" spans="1:12" x14ac:dyDescent="0.2">
      <c r="A1988" s="316">
        <v>31</v>
      </c>
      <c r="B1988" s="591"/>
      <c r="C1988" s="598"/>
      <c r="D1988" s="586"/>
      <c r="E1988" s="587"/>
      <c r="F1988" s="588"/>
      <c r="G1988" s="586"/>
      <c r="H1988" s="599"/>
      <c r="I1988" s="595">
        <f t="shared" si="147"/>
        <v>0</v>
      </c>
      <c r="J1988" s="595">
        <f t="shared" si="148"/>
        <v>0</v>
      </c>
      <c r="K1988" s="596"/>
      <c r="L1988" s="597"/>
    </row>
    <row r="1989" spans="1:12" x14ac:dyDescent="0.2">
      <c r="A1989" s="316">
        <v>32</v>
      </c>
      <c r="B1989" s="591"/>
      <c r="C1989" s="598"/>
      <c r="D1989" s="586"/>
      <c r="E1989" s="587"/>
      <c r="F1989" s="588"/>
      <c r="G1989" s="586"/>
      <c r="H1989" s="599"/>
      <c r="I1989" s="595">
        <f t="shared" si="147"/>
        <v>0</v>
      </c>
      <c r="J1989" s="595">
        <f t="shared" si="148"/>
        <v>0</v>
      </c>
      <c r="K1989" s="596"/>
      <c r="L1989" s="597"/>
    </row>
    <row r="1990" spans="1:12" x14ac:dyDescent="0.2">
      <c r="A1990" s="316">
        <v>33</v>
      </c>
      <c r="B1990" s="591"/>
      <c r="C1990" s="598"/>
      <c r="D1990" s="586"/>
      <c r="E1990" s="593"/>
      <c r="F1990" s="593"/>
      <c r="G1990" s="586"/>
      <c r="H1990" s="594"/>
      <c r="I1990" s="595">
        <f t="shared" si="147"/>
        <v>0</v>
      </c>
      <c r="J1990" s="595">
        <f t="shared" si="148"/>
        <v>0</v>
      </c>
      <c r="K1990" s="596"/>
      <c r="L1990" s="600"/>
    </row>
    <row r="1991" spans="1:12" x14ac:dyDescent="0.2">
      <c r="A1991" s="316">
        <v>34</v>
      </c>
      <c r="B1991" s="591"/>
      <c r="C1991" s="598"/>
      <c r="D1991" s="586"/>
      <c r="E1991" s="587"/>
      <c r="F1991" s="588"/>
      <c r="G1991" s="586"/>
      <c r="H1991" s="599"/>
      <c r="I1991" s="595">
        <f t="shared" si="147"/>
        <v>0</v>
      </c>
      <c r="J1991" s="595">
        <f t="shared" si="148"/>
        <v>0</v>
      </c>
      <c r="K1991" s="596"/>
      <c r="L1991" s="597"/>
    </row>
    <row r="1992" spans="1:12" x14ac:dyDescent="0.2">
      <c r="A1992" s="316">
        <v>35</v>
      </c>
      <c r="B1992" s="591"/>
      <c r="C1992" s="598"/>
      <c r="D1992" s="586"/>
      <c r="E1992" s="587"/>
      <c r="F1992" s="588"/>
      <c r="G1992" s="586"/>
      <c r="H1992" s="599"/>
      <c r="I1992" s="595">
        <f t="shared" si="147"/>
        <v>0</v>
      </c>
      <c r="J1992" s="595">
        <f t="shared" si="148"/>
        <v>0</v>
      </c>
      <c r="K1992" s="596"/>
      <c r="L1992" s="597"/>
    </row>
    <row r="1993" spans="1:12" x14ac:dyDescent="0.2">
      <c r="A1993" s="316">
        <v>36</v>
      </c>
      <c r="B1993" s="591"/>
      <c r="C1993" s="598"/>
      <c r="D1993" s="586"/>
      <c r="E1993" s="587"/>
      <c r="F1993" s="588"/>
      <c r="G1993" s="586"/>
      <c r="H1993" s="599"/>
      <c r="I1993" s="595">
        <f t="shared" si="147"/>
        <v>0</v>
      </c>
      <c r="J1993" s="595">
        <f t="shared" si="148"/>
        <v>0</v>
      </c>
      <c r="K1993" s="596"/>
      <c r="L1993" s="597"/>
    </row>
    <row r="1994" spans="1:12" x14ac:dyDescent="0.2">
      <c r="A1994" s="316">
        <v>37</v>
      </c>
      <c r="B1994" s="591"/>
      <c r="C1994" s="598"/>
      <c r="D1994" s="586"/>
      <c r="E1994" s="587"/>
      <c r="F1994" s="588"/>
      <c r="G1994" s="586"/>
      <c r="H1994" s="599"/>
      <c r="I1994" s="595">
        <f t="shared" si="147"/>
        <v>0</v>
      </c>
      <c r="J1994" s="595">
        <f t="shared" si="148"/>
        <v>0</v>
      </c>
      <c r="K1994" s="596"/>
      <c r="L1994" s="597"/>
    </row>
    <row r="1995" spans="1:12" x14ac:dyDescent="0.2">
      <c r="A1995" s="316">
        <v>38</v>
      </c>
      <c r="B1995" s="591"/>
      <c r="C1995" s="598"/>
      <c r="D1995" s="586"/>
      <c r="E1995" s="587"/>
      <c r="F1995" s="588"/>
      <c r="G1995" s="586"/>
      <c r="H1995" s="599"/>
      <c r="I1995" s="595">
        <f t="shared" si="147"/>
        <v>0</v>
      </c>
      <c r="J1995" s="595">
        <f t="shared" si="148"/>
        <v>0</v>
      </c>
      <c r="K1995" s="596"/>
      <c r="L1995" s="597"/>
    </row>
    <row r="1996" spans="1:12" x14ac:dyDescent="0.2">
      <c r="A1996" s="316">
        <v>39</v>
      </c>
      <c r="B1996" s="591"/>
      <c r="C1996" s="598"/>
      <c r="D1996" s="586"/>
      <c r="E1996" s="587"/>
      <c r="F1996" s="588"/>
      <c r="G1996" s="586"/>
      <c r="H1996" s="599"/>
      <c r="I1996" s="595">
        <f t="shared" si="147"/>
        <v>0</v>
      </c>
      <c r="J1996" s="595">
        <f t="shared" si="148"/>
        <v>0</v>
      </c>
      <c r="K1996" s="596"/>
      <c r="L1996" s="597"/>
    </row>
    <row r="1997" spans="1:12" x14ac:dyDescent="0.2">
      <c r="A1997" s="316">
        <v>40</v>
      </c>
      <c r="B1997" s="591"/>
      <c r="C1997" s="598"/>
      <c r="D1997" s="586"/>
      <c r="E1997" s="587"/>
      <c r="F1997" s="588"/>
      <c r="G1997" s="586"/>
      <c r="H1997" s="599"/>
      <c r="I1997" s="595">
        <f t="shared" si="147"/>
        <v>0</v>
      </c>
      <c r="J1997" s="595">
        <f t="shared" si="148"/>
        <v>0</v>
      </c>
      <c r="K1997" s="596"/>
      <c r="L1997" s="597"/>
    </row>
    <row r="1998" spans="1:12" x14ac:dyDescent="0.2">
      <c r="A1998" s="316">
        <v>41</v>
      </c>
      <c r="B1998" s="591"/>
      <c r="C1998" s="598"/>
      <c r="D1998" s="586"/>
      <c r="E1998" s="593"/>
      <c r="F1998" s="593"/>
      <c r="G1998" s="586"/>
      <c r="H1998" s="599"/>
      <c r="I1998" s="595">
        <f t="shared" si="147"/>
        <v>0</v>
      </c>
      <c r="J1998" s="595">
        <f t="shared" si="148"/>
        <v>0</v>
      </c>
      <c r="K1998" s="596"/>
      <c r="L1998" s="597"/>
    </row>
    <row r="1999" spans="1:12" x14ac:dyDescent="0.2">
      <c r="A1999" s="316">
        <v>42</v>
      </c>
      <c r="B1999" s="591"/>
      <c r="C1999" s="598"/>
      <c r="D1999" s="586"/>
      <c r="E1999" s="593"/>
      <c r="F1999" s="593"/>
      <c r="G1999" s="586"/>
      <c r="H1999" s="594"/>
      <c r="I1999" s="595">
        <f t="shared" si="147"/>
        <v>0</v>
      </c>
      <c r="J1999" s="595">
        <f t="shared" si="148"/>
        <v>0</v>
      </c>
      <c r="K1999" s="596"/>
      <c r="L1999" s="597"/>
    </row>
    <row r="2000" spans="1:12" x14ac:dyDescent="0.2">
      <c r="A2000" s="316">
        <v>43</v>
      </c>
      <c r="B2000" s="591"/>
      <c r="C2000" s="598"/>
      <c r="D2000" s="586"/>
      <c r="E2000" s="587"/>
      <c r="F2000" s="588"/>
      <c r="G2000" s="586"/>
      <c r="H2000" s="599"/>
      <c r="I2000" s="595">
        <f t="shared" si="147"/>
        <v>0</v>
      </c>
      <c r="J2000" s="595">
        <f t="shared" si="148"/>
        <v>0</v>
      </c>
      <c r="K2000" s="596"/>
      <c r="L2000" s="597"/>
    </row>
    <row r="2001" spans="1:12" x14ac:dyDescent="0.2">
      <c r="A2001" s="316">
        <v>44</v>
      </c>
      <c r="B2001" s="591"/>
      <c r="C2001" s="598"/>
      <c r="D2001" s="586"/>
      <c r="E2001" s="587"/>
      <c r="F2001" s="588"/>
      <c r="G2001" s="586"/>
      <c r="H2001" s="599"/>
      <c r="I2001" s="595">
        <f t="shared" si="147"/>
        <v>0</v>
      </c>
      <c r="J2001" s="595">
        <f t="shared" si="148"/>
        <v>0</v>
      </c>
      <c r="K2001" s="596"/>
      <c r="L2001" s="597"/>
    </row>
    <row r="2002" spans="1:12" x14ac:dyDescent="0.2">
      <c r="A2002" s="316">
        <v>45</v>
      </c>
      <c r="B2002" s="591"/>
      <c r="C2002" s="598"/>
      <c r="D2002" s="586"/>
      <c r="E2002" s="587"/>
      <c r="F2002" s="588"/>
      <c r="G2002" s="586"/>
      <c r="H2002" s="599"/>
      <c r="I2002" s="595">
        <f t="shared" si="147"/>
        <v>0</v>
      </c>
      <c r="J2002" s="595">
        <f t="shared" si="148"/>
        <v>0</v>
      </c>
      <c r="K2002" s="596"/>
      <c r="L2002" s="597"/>
    </row>
    <row r="2003" spans="1:12" x14ac:dyDescent="0.2">
      <c r="A2003" s="316">
        <v>46</v>
      </c>
      <c r="B2003" s="591"/>
      <c r="C2003" s="598"/>
      <c r="D2003" s="586"/>
      <c r="E2003" s="587"/>
      <c r="F2003" s="588"/>
      <c r="G2003" s="586"/>
      <c r="H2003" s="599"/>
      <c r="I2003" s="595">
        <f t="shared" si="147"/>
        <v>0</v>
      </c>
      <c r="J2003" s="595">
        <f t="shared" si="148"/>
        <v>0</v>
      </c>
      <c r="K2003" s="596"/>
      <c r="L2003" s="597"/>
    </row>
    <row r="2004" spans="1:12" x14ac:dyDescent="0.2">
      <c r="A2004" s="316">
        <v>47</v>
      </c>
      <c r="B2004" s="591"/>
      <c r="C2004" s="598"/>
      <c r="D2004" s="586"/>
      <c r="E2004" s="587"/>
      <c r="F2004" s="588"/>
      <c r="G2004" s="586"/>
      <c r="H2004" s="599"/>
      <c r="I2004" s="595">
        <f t="shared" si="147"/>
        <v>0</v>
      </c>
      <c r="J2004" s="595">
        <f t="shared" si="148"/>
        <v>0</v>
      </c>
      <c r="K2004" s="596"/>
      <c r="L2004" s="597"/>
    </row>
    <row r="2005" spans="1:12" x14ac:dyDescent="0.2">
      <c r="A2005" s="316">
        <v>48</v>
      </c>
      <c r="B2005" s="591"/>
      <c r="C2005" s="598"/>
      <c r="D2005" s="586"/>
      <c r="E2005" s="587"/>
      <c r="F2005" s="588"/>
      <c r="G2005" s="586"/>
      <c r="H2005" s="599"/>
      <c r="I2005" s="595">
        <f t="shared" si="147"/>
        <v>0</v>
      </c>
      <c r="J2005" s="595">
        <f t="shared" si="148"/>
        <v>0</v>
      </c>
      <c r="K2005" s="596"/>
      <c r="L2005" s="597"/>
    </row>
    <row r="2006" spans="1:12" x14ac:dyDescent="0.2">
      <c r="A2006" s="316">
        <v>49</v>
      </c>
      <c r="B2006" s="591"/>
      <c r="C2006" s="598"/>
      <c r="D2006" s="586"/>
      <c r="E2006" s="587"/>
      <c r="F2006" s="588"/>
      <c r="G2006" s="586"/>
      <c r="H2006" s="599"/>
      <c r="I2006" s="595">
        <f t="shared" si="147"/>
        <v>0</v>
      </c>
      <c r="J2006" s="595">
        <f t="shared" si="148"/>
        <v>0</v>
      </c>
      <c r="K2006" s="596"/>
      <c r="L2006" s="597"/>
    </row>
    <row r="2007" spans="1:12" x14ac:dyDescent="0.2">
      <c r="A2007" s="316">
        <v>50</v>
      </c>
      <c r="B2007" s="591"/>
      <c r="C2007" s="598"/>
      <c r="D2007" s="586"/>
      <c r="E2007" s="587"/>
      <c r="F2007" s="588"/>
      <c r="G2007" s="586"/>
      <c r="H2007" s="599"/>
      <c r="I2007" s="595">
        <f t="shared" si="147"/>
        <v>0</v>
      </c>
      <c r="J2007" s="595">
        <f t="shared" si="148"/>
        <v>0</v>
      </c>
      <c r="K2007" s="596"/>
      <c r="L2007" s="597"/>
    </row>
    <row r="2008" spans="1:12" x14ac:dyDescent="0.2">
      <c r="A2008" s="316">
        <v>51</v>
      </c>
      <c r="B2008" s="591"/>
      <c r="C2008" s="598"/>
      <c r="D2008" s="586"/>
      <c r="E2008" s="587"/>
      <c r="F2008" s="588"/>
      <c r="G2008" s="586"/>
      <c r="H2008" s="599"/>
      <c r="I2008" s="595">
        <f t="shared" si="147"/>
        <v>0</v>
      </c>
      <c r="J2008" s="595">
        <f t="shared" si="148"/>
        <v>0</v>
      </c>
      <c r="K2008" s="596"/>
      <c r="L2008" s="597"/>
    </row>
    <row r="2009" spans="1:12" x14ac:dyDescent="0.2">
      <c r="A2009" s="316">
        <v>52</v>
      </c>
      <c r="B2009" s="591"/>
      <c r="C2009" s="598"/>
      <c r="D2009" s="586"/>
      <c r="E2009" s="587"/>
      <c r="F2009" s="588"/>
      <c r="G2009" s="586"/>
      <c r="H2009" s="599"/>
      <c r="I2009" s="595">
        <f t="shared" si="147"/>
        <v>0</v>
      </c>
      <c r="J2009" s="595">
        <f t="shared" si="148"/>
        <v>0</v>
      </c>
      <c r="K2009" s="596"/>
      <c r="L2009" s="597"/>
    </row>
    <row r="2010" spans="1:12" x14ac:dyDescent="0.2">
      <c r="A2010" s="316">
        <v>53</v>
      </c>
      <c r="B2010" s="591"/>
      <c r="C2010" s="598"/>
      <c r="D2010" s="586"/>
      <c r="E2010" s="593"/>
      <c r="F2010" s="593"/>
      <c r="G2010" s="586"/>
      <c r="H2010" s="594"/>
      <c r="I2010" s="595">
        <f t="shared" si="147"/>
        <v>0</v>
      </c>
      <c r="J2010" s="595">
        <f t="shared" si="148"/>
        <v>0</v>
      </c>
      <c r="K2010" s="596"/>
      <c r="L2010" s="597"/>
    </row>
    <row r="2011" spans="1:12" x14ac:dyDescent="0.2">
      <c r="A2011" s="316">
        <v>54</v>
      </c>
      <c r="B2011" s="591"/>
      <c r="C2011" s="598"/>
      <c r="D2011" s="586"/>
      <c r="E2011" s="587"/>
      <c r="F2011" s="588"/>
      <c r="G2011" s="586"/>
      <c r="H2011" s="599"/>
      <c r="I2011" s="595">
        <f t="shared" si="147"/>
        <v>0</v>
      </c>
      <c r="J2011" s="595">
        <f t="shared" si="148"/>
        <v>0</v>
      </c>
      <c r="K2011" s="596"/>
      <c r="L2011" s="597"/>
    </row>
    <row r="2012" spans="1:12" x14ac:dyDescent="0.2">
      <c r="A2012" s="316">
        <v>55</v>
      </c>
      <c r="B2012" s="591"/>
      <c r="C2012" s="598"/>
      <c r="D2012" s="586"/>
      <c r="E2012" s="587"/>
      <c r="F2012" s="588"/>
      <c r="G2012" s="586"/>
      <c r="H2012" s="599"/>
      <c r="I2012" s="595">
        <f t="shared" si="147"/>
        <v>0</v>
      </c>
      <c r="J2012" s="595">
        <f t="shared" si="148"/>
        <v>0</v>
      </c>
      <c r="K2012" s="596"/>
      <c r="L2012" s="597"/>
    </row>
    <row r="2013" spans="1:12" x14ac:dyDescent="0.2">
      <c r="A2013" s="316">
        <v>56</v>
      </c>
      <c r="B2013" s="591"/>
      <c r="C2013" s="598"/>
      <c r="D2013" s="586"/>
      <c r="E2013" s="601"/>
      <c r="F2013" s="588"/>
      <c r="G2013" s="586"/>
      <c r="H2013" s="599"/>
      <c r="I2013" s="595">
        <f t="shared" si="147"/>
        <v>0</v>
      </c>
      <c r="J2013" s="595">
        <f t="shared" si="148"/>
        <v>0</v>
      </c>
      <c r="K2013" s="596"/>
      <c r="L2013" s="597"/>
    </row>
    <row r="2014" spans="1:12" x14ac:dyDescent="0.2">
      <c r="A2014" s="316">
        <v>57</v>
      </c>
      <c r="B2014" s="591"/>
      <c r="C2014" s="598"/>
      <c r="D2014" s="586"/>
      <c r="E2014" s="587"/>
      <c r="F2014" s="588"/>
      <c r="G2014" s="586"/>
      <c r="H2014" s="599"/>
      <c r="I2014" s="595">
        <f t="shared" si="147"/>
        <v>0</v>
      </c>
      <c r="J2014" s="595">
        <f t="shared" si="148"/>
        <v>0</v>
      </c>
      <c r="K2014" s="596"/>
      <c r="L2014" s="597"/>
    </row>
    <row r="2015" spans="1:12" x14ac:dyDescent="0.2">
      <c r="A2015" s="316">
        <v>58</v>
      </c>
      <c r="B2015" s="591"/>
      <c r="C2015" s="598"/>
      <c r="D2015" s="586"/>
      <c r="E2015" s="587"/>
      <c r="F2015" s="588"/>
      <c r="G2015" s="586"/>
      <c r="H2015" s="599"/>
      <c r="I2015" s="595">
        <f t="shared" si="147"/>
        <v>0</v>
      </c>
      <c r="J2015" s="595">
        <f t="shared" si="148"/>
        <v>0</v>
      </c>
      <c r="K2015" s="596"/>
      <c r="L2015" s="597"/>
    </row>
    <row r="2016" spans="1:12" x14ac:dyDescent="0.2">
      <c r="A2016" s="316">
        <v>59</v>
      </c>
      <c r="B2016" s="591"/>
      <c r="C2016" s="598"/>
      <c r="D2016" s="586"/>
      <c r="E2016" s="587"/>
      <c r="F2016" s="588"/>
      <c r="G2016" s="586"/>
      <c r="H2016" s="599"/>
      <c r="I2016" s="595">
        <f t="shared" si="147"/>
        <v>0</v>
      </c>
      <c r="J2016" s="595">
        <f t="shared" si="148"/>
        <v>0</v>
      </c>
      <c r="K2016" s="596"/>
      <c r="L2016" s="597"/>
    </row>
    <row r="2017" spans="1:12" x14ac:dyDescent="0.2">
      <c r="A2017" s="316">
        <v>60</v>
      </c>
      <c r="B2017" s="591"/>
      <c r="C2017" s="598"/>
      <c r="D2017" s="586"/>
      <c r="E2017" s="587"/>
      <c r="F2017" s="588"/>
      <c r="G2017" s="586"/>
      <c r="H2017" s="599"/>
      <c r="I2017" s="595">
        <f t="shared" si="147"/>
        <v>0</v>
      </c>
      <c r="J2017" s="595">
        <f t="shared" si="148"/>
        <v>0</v>
      </c>
      <c r="K2017" s="596"/>
      <c r="L2017" s="597"/>
    </row>
    <row r="2018" spans="1:12" x14ac:dyDescent="0.2">
      <c r="A2018" s="316">
        <v>61</v>
      </c>
      <c r="B2018" s="591"/>
      <c r="C2018" s="598"/>
      <c r="D2018" s="586"/>
      <c r="E2018" s="587"/>
      <c r="F2018" s="588"/>
      <c r="G2018" s="586"/>
      <c r="H2018" s="599"/>
      <c r="I2018" s="595">
        <f t="shared" si="147"/>
        <v>0</v>
      </c>
      <c r="J2018" s="595">
        <f t="shared" si="148"/>
        <v>0</v>
      </c>
      <c r="K2018" s="596"/>
      <c r="L2018" s="597"/>
    </row>
    <row r="2019" spans="1:12" x14ac:dyDescent="0.2">
      <c r="A2019" s="316">
        <v>62</v>
      </c>
      <c r="B2019" s="591"/>
      <c r="C2019" s="598"/>
      <c r="D2019" s="586"/>
      <c r="E2019" s="587"/>
      <c r="F2019" s="588"/>
      <c r="G2019" s="586"/>
      <c r="H2019" s="599"/>
      <c r="I2019" s="595">
        <f t="shared" si="147"/>
        <v>0</v>
      </c>
      <c r="J2019" s="595">
        <f t="shared" si="148"/>
        <v>0</v>
      </c>
      <c r="K2019" s="596"/>
      <c r="L2019" s="597"/>
    </row>
    <row r="2020" spans="1:12" x14ac:dyDescent="0.2">
      <c r="A2020" s="316">
        <v>63</v>
      </c>
      <c r="B2020" s="591"/>
      <c r="C2020" s="598"/>
      <c r="D2020" s="586"/>
      <c r="E2020" s="587"/>
      <c r="F2020" s="588"/>
      <c r="G2020" s="586"/>
      <c r="H2020" s="599"/>
      <c r="I2020" s="595">
        <f t="shared" si="147"/>
        <v>0</v>
      </c>
      <c r="J2020" s="595">
        <f t="shared" si="148"/>
        <v>0</v>
      </c>
      <c r="K2020" s="596"/>
      <c r="L2020" s="597"/>
    </row>
    <row r="2021" spans="1:12" x14ac:dyDescent="0.2">
      <c r="A2021" s="316">
        <v>64</v>
      </c>
      <c r="B2021" s="591"/>
      <c r="C2021" s="598"/>
      <c r="D2021" s="586"/>
      <c r="E2021" s="587"/>
      <c r="F2021" s="588"/>
      <c r="G2021" s="586"/>
      <c r="H2021" s="599"/>
      <c r="I2021" s="595">
        <f t="shared" si="147"/>
        <v>0</v>
      </c>
      <c r="J2021" s="595">
        <f t="shared" si="148"/>
        <v>0</v>
      </c>
      <c r="K2021" s="596"/>
      <c r="L2021" s="597"/>
    </row>
    <row r="2022" spans="1:12" x14ac:dyDescent="0.2">
      <c r="A2022" s="316">
        <v>65</v>
      </c>
      <c r="B2022" s="591"/>
      <c r="C2022" s="598"/>
      <c r="D2022" s="586"/>
      <c r="E2022" s="587"/>
      <c r="F2022" s="588"/>
      <c r="G2022" s="586"/>
      <c r="H2022" s="599"/>
      <c r="I2022" s="595">
        <f t="shared" ref="I2022:I2085" si="149">K2022/1.11</f>
        <v>0</v>
      </c>
      <c r="J2022" s="595">
        <f t="shared" ref="J2022:J2085" si="150">I2022*11%</f>
        <v>0</v>
      </c>
      <c r="K2022" s="596"/>
      <c r="L2022" s="597"/>
    </row>
    <row r="2023" spans="1:12" x14ac:dyDescent="0.2">
      <c r="A2023" s="316">
        <v>66</v>
      </c>
      <c r="B2023" s="591"/>
      <c r="C2023" s="598"/>
      <c r="D2023" s="586"/>
      <c r="E2023" s="587"/>
      <c r="F2023" s="588"/>
      <c r="G2023" s="586"/>
      <c r="H2023" s="599"/>
      <c r="I2023" s="595">
        <f t="shared" si="149"/>
        <v>0</v>
      </c>
      <c r="J2023" s="595">
        <f t="shared" si="150"/>
        <v>0</v>
      </c>
      <c r="K2023" s="596"/>
      <c r="L2023" s="597"/>
    </row>
    <row r="2024" spans="1:12" x14ac:dyDescent="0.2">
      <c r="A2024" s="316">
        <v>67</v>
      </c>
      <c r="B2024" s="591"/>
      <c r="C2024" s="598"/>
      <c r="D2024" s="586"/>
      <c r="E2024" s="587"/>
      <c r="F2024" s="588"/>
      <c r="G2024" s="586"/>
      <c r="H2024" s="599"/>
      <c r="I2024" s="595">
        <f t="shared" si="149"/>
        <v>0</v>
      </c>
      <c r="J2024" s="595">
        <f t="shared" si="150"/>
        <v>0</v>
      </c>
      <c r="K2024" s="596"/>
      <c r="L2024" s="597"/>
    </row>
    <row r="2025" spans="1:12" x14ac:dyDescent="0.2">
      <c r="A2025" s="316">
        <v>68</v>
      </c>
      <c r="B2025" s="591"/>
      <c r="C2025" s="598"/>
      <c r="D2025" s="586"/>
      <c r="E2025" s="587"/>
      <c r="F2025" s="588"/>
      <c r="G2025" s="586"/>
      <c r="H2025" s="599"/>
      <c r="I2025" s="595">
        <f t="shared" si="149"/>
        <v>0</v>
      </c>
      <c r="J2025" s="595">
        <f t="shared" si="150"/>
        <v>0</v>
      </c>
      <c r="K2025" s="596"/>
      <c r="L2025" s="597"/>
    </row>
    <row r="2026" spans="1:12" x14ac:dyDescent="0.2">
      <c r="A2026" s="316">
        <v>69</v>
      </c>
      <c r="B2026" s="591"/>
      <c r="C2026" s="598"/>
      <c r="D2026" s="586"/>
      <c r="E2026" s="587"/>
      <c r="F2026" s="588"/>
      <c r="G2026" s="586"/>
      <c r="H2026" s="599"/>
      <c r="I2026" s="595">
        <f t="shared" si="149"/>
        <v>0</v>
      </c>
      <c r="J2026" s="595">
        <f t="shared" si="150"/>
        <v>0</v>
      </c>
      <c r="K2026" s="596"/>
      <c r="L2026" s="597"/>
    </row>
    <row r="2027" spans="1:12" x14ac:dyDescent="0.2">
      <c r="A2027" s="316">
        <v>70</v>
      </c>
      <c r="B2027" s="591"/>
      <c r="C2027" s="598"/>
      <c r="D2027" s="586"/>
      <c r="E2027" s="587"/>
      <c r="F2027" s="588"/>
      <c r="G2027" s="586"/>
      <c r="H2027" s="599"/>
      <c r="I2027" s="595">
        <f t="shared" si="149"/>
        <v>0</v>
      </c>
      <c r="J2027" s="595">
        <f t="shared" si="150"/>
        <v>0</v>
      </c>
      <c r="K2027" s="596"/>
      <c r="L2027" s="597"/>
    </row>
    <row r="2028" spans="1:12" x14ac:dyDescent="0.2">
      <c r="A2028" s="316">
        <v>71</v>
      </c>
      <c r="B2028" s="591"/>
      <c r="C2028" s="598"/>
      <c r="D2028" s="586"/>
      <c r="E2028" s="587"/>
      <c r="F2028" s="588"/>
      <c r="G2028" s="586"/>
      <c r="H2028" s="599"/>
      <c r="I2028" s="595">
        <f t="shared" si="149"/>
        <v>0</v>
      </c>
      <c r="J2028" s="595">
        <f t="shared" si="150"/>
        <v>0</v>
      </c>
      <c r="K2028" s="596"/>
      <c r="L2028" s="597"/>
    </row>
    <row r="2029" spans="1:12" x14ac:dyDescent="0.2">
      <c r="A2029" s="316">
        <v>72</v>
      </c>
      <c r="B2029" s="591"/>
      <c r="C2029" s="598"/>
      <c r="D2029" s="586"/>
      <c r="E2029" s="587"/>
      <c r="F2029" s="588"/>
      <c r="G2029" s="586"/>
      <c r="H2029" s="599"/>
      <c r="I2029" s="595">
        <f t="shared" si="149"/>
        <v>0</v>
      </c>
      <c r="J2029" s="595">
        <f t="shared" si="150"/>
        <v>0</v>
      </c>
      <c r="K2029" s="596"/>
      <c r="L2029" s="597"/>
    </row>
    <row r="2030" spans="1:12" x14ac:dyDescent="0.2">
      <c r="A2030" s="316">
        <v>73</v>
      </c>
      <c r="B2030" s="591"/>
      <c r="C2030" s="598"/>
      <c r="D2030" s="586"/>
      <c r="E2030" s="593"/>
      <c r="F2030" s="593"/>
      <c r="G2030" s="586"/>
      <c r="H2030" s="594"/>
      <c r="I2030" s="595">
        <f t="shared" si="149"/>
        <v>0</v>
      </c>
      <c r="J2030" s="595">
        <f t="shared" si="150"/>
        <v>0</v>
      </c>
      <c r="K2030" s="596"/>
      <c r="L2030" s="597"/>
    </row>
    <row r="2031" spans="1:12" x14ac:dyDescent="0.2">
      <c r="A2031" s="316">
        <v>74</v>
      </c>
      <c r="B2031" s="591"/>
      <c r="C2031" s="598"/>
      <c r="D2031" s="586"/>
      <c r="E2031" s="587"/>
      <c r="F2031" s="588"/>
      <c r="G2031" s="586"/>
      <c r="H2031" s="599"/>
      <c r="I2031" s="595">
        <f t="shared" si="149"/>
        <v>0</v>
      </c>
      <c r="J2031" s="595">
        <f t="shared" si="150"/>
        <v>0</v>
      </c>
      <c r="K2031" s="596"/>
      <c r="L2031" s="597"/>
    </row>
    <row r="2032" spans="1:12" x14ac:dyDescent="0.2">
      <c r="A2032" s="316">
        <v>75</v>
      </c>
      <c r="B2032" s="591"/>
      <c r="C2032" s="598"/>
      <c r="D2032" s="586"/>
      <c r="E2032" s="587"/>
      <c r="F2032" s="588"/>
      <c r="G2032" s="586"/>
      <c r="H2032" s="599"/>
      <c r="I2032" s="595">
        <f t="shared" si="149"/>
        <v>0</v>
      </c>
      <c r="J2032" s="595">
        <f t="shared" si="150"/>
        <v>0</v>
      </c>
      <c r="K2032" s="596"/>
      <c r="L2032" s="597"/>
    </row>
    <row r="2033" spans="1:12" x14ac:dyDescent="0.2">
      <c r="A2033" s="316">
        <v>76</v>
      </c>
      <c r="B2033" s="591"/>
      <c r="C2033" s="598"/>
      <c r="D2033" s="586"/>
      <c r="E2033" s="587"/>
      <c r="F2033" s="588"/>
      <c r="G2033" s="586"/>
      <c r="H2033" s="599"/>
      <c r="I2033" s="595">
        <f t="shared" si="149"/>
        <v>0</v>
      </c>
      <c r="J2033" s="595">
        <f t="shared" si="150"/>
        <v>0</v>
      </c>
      <c r="K2033" s="596"/>
      <c r="L2033" s="597"/>
    </row>
    <row r="2034" spans="1:12" x14ac:dyDescent="0.2">
      <c r="A2034" s="316">
        <v>77</v>
      </c>
      <c r="B2034" s="591"/>
      <c r="C2034" s="598"/>
      <c r="D2034" s="586"/>
      <c r="E2034" s="587"/>
      <c r="F2034" s="588"/>
      <c r="G2034" s="586"/>
      <c r="H2034" s="599"/>
      <c r="I2034" s="595">
        <f t="shared" si="149"/>
        <v>0</v>
      </c>
      <c r="J2034" s="595">
        <f t="shared" si="150"/>
        <v>0</v>
      </c>
      <c r="K2034" s="596"/>
      <c r="L2034" s="597"/>
    </row>
    <row r="2035" spans="1:12" x14ac:dyDescent="0.2">
      <c r="A2035" s="316">
        <v>78</v>
      </c>
      <c r="B2035" s="591"/>
      <c r="C2035" s="598"/>
      <c r="D2035" s="586"/>
      <c r="E2035" s="587"/>
      <c r="F2035" s="588"/>
      <c r="G2035" s="586"/>
      <c r="H2035" s="599"/>
      <c r="I2035" s="595">
        <f t="shared" si="149"/>
        <v>0</v>
      </c>
      <c r="J2035" s="595">
        <f t="shared" si="150"/>
        <v>0</v>
      </c>
      <c r="K2035" s="596"/>
      <c r="L2035" s="597"/>
    </row>
    <row r="2036" spans="1:12" x14ac:dyDescent="0.2">
      <c r="A2036" s="316">
        <v>79</v>
      </c>
      <c r="B2036" s="591"/>
      <c r="C2036" s="598"/>
      <c r="D2036" s="586"/>
      <c r="E2036" s="587"/>
      <c r="F2036" s="588"/>
      <c r="G2036" s="586"/>
      <c r="H2036" s="599"/>
      <c r="I2036" s="595">
        <f t="shared" si="149"/>
        <v>0</v>
      </c>
      <c r="J2036" s="595">
        <f t="shared" si="150"/>
        <v>0</v>
      </c>
      <c r="K2036" s="596"/>
      <c r="L2036" s="597"/>
    </row>
    <row r="2037" spans="1:12" x14ac:dyDescent="0.2">
      <c r="A2037" s="316">
        <v>80</v>
      </c>
      <c r="B2037" s="591"/>
      <c r="C2037" s="598"/>
      <c r="D2037" s="586"/>
      <c r="E2037" s="587"/>
      <c r="F2037" s="588"/>
      <c r="G2037" s="586"/>
      <c r="H2037" s="599"/>
      <c r="I2037" s="595">
        <f t="shared" si="149"/>
        <v>0</v>
      </c>
      <c r="J2037" s="595">
        <f t="shared" si="150"/>
        <v>0</v>
      </c>
      <c r="K2037" s="596"/>
      <c r="L2037" s="597"/>
    </row>
    <row r="2038" spans="1:12" x14ac:dyDescent="0.2">
      <c r="A2038" s="316">
        <v>81</v>
      </c>
      <c r="B2038" s="591"/>
      <c r="C2038" s="598"/>
      <c r="D2038" s="586"/>
      <c r="E2038" s="587"/>
      <c r="F2038" s="588"/>
      <c r="G2038" s="586"/>
      <c r="H2038" s="599"/>
      <c r="I2038" s="595">
        <f t="shared" si="149"/>
        <v>0</v>
      </c>
      <c r="J2038" s="595">
        <f t="shared" si="150"/>
        <v>0</v>
      </c>
      <c r="K2038" s="596"/>
      <c r="L2038" s="597"/>
    </row>
    <row r="2039" spans="1:12" x14ac:dyDescent="0.2">
      <c r="A2039" s="316">
        <v>82</v>
      </c>
      <c r="B2039" s="591"/>
      <c r="C2039" s="598"/>
      <c r="D2039" s="586"/>
      <c r="E2039" s="587"/>
      <c r="F2039" s="588"/>
      <c r="G2039" s="586"/>
      <c r="H2039" s="599"/>
      <c r="I2039" s="595">
        <f t="shared" si="149"/>
        <v>0</v>
      </c>
      <c r="J2039" s="595">
        <f t="shared" si="150"/>
        <v>0</v>
      </c>
      <c r="K2039" s="596"/>
      <c r="L2039" s="597"/>
    </row>
    <row r="2040" spans="1:12" x14ac:dyDescent="0.2">
      <c r="A2040" s="316">
        <v>83</v>
      </c>
      <c r="B2040" s="591"/>
      <c r="C2040" s="598"/>
      <c r="D2040" s="586"/>
      <c r="E2040" s="587"/>
      <c r="F2040" s="588"/>
      <c r="G2040" s="586"/>
      <c r="H2040" s="599"/>
      <c r="I2040" s="595">
        <f t="shared" si="149"/>
        <v>0</v>
      </c>
      <c r="J2040" s="595">
        <f t="shared" si="150"/>
        <v>0</v>
      </c>
      <c r="K2040" s="596"/>
      <c r="L2040" s="597"/>
    </row>
    <row r="2041" spans="1:12" x14ac:dyDescent="0.2">
      <c r="A2041" s="316">
        <v>84</v>
      </c>
      <c r="B2041" s="591"/>
      <c r="C2041" s="598"/>
      <c r="D2041" s="586"/>
      <c r="E2041" s="593"/>
      <c r="F2041" s="593"/>
      <c r="G2041" s="586"/>
      <c r="H2041" s="594"/>
      <c r="I2041" s="595">
        <f t="shared" si="149"/>
        <v>0</v>
      </c>
      <c r="J2041" s="595">
        <f t="shared" si="150"/>
        <v>0</v>
      </c>
      <c r="K2041" s="596"/>
      <c r="L2041" s="597"/>
    </row>
    <row r="2042" spans="1:12" x14ac:dyDescent="0.2">
      <c r="A2042" s="316">
        <v>85</v>
      </c>
      <c r="B2042" s="591"/>
      <c r="C2042" s="598"/>
      <c r="D2042" s="586"/>
      <c r="E2042" s="593"/>
      <c r="F2042" s="593"/>
      <c r="G2042" s="586"/>
      <c r="H2042" s="594"/>
      <c r="I2042" s="595">
        <f t="shared" si="149"/>
        <v>0</v>
      </c>
      <c r="J2042" s="595">
        <f t="shared" si="150"/>
        <v>0</v>
      </c>
      <c r="K2042" s="596"/>
      <c r="L2042" s="597"/>
    </row>
    <row r="2043" spans="1:12" x14ac:dyDescent="0.2">
      <c r="A2043" s="316">
        <v>86</v>
      </c>
      <c r="B2043" s="591"/>
      <c r="C2043" s="598"/>
      <c r="D2043" s="586"/>
      <c r="E2043" s="587"/>
      <c r="F2043" s="588"/>
      <c r="G2043" s="586"/>
      <c r="H2043" s="599"/>
      <c r="I2043" s="595">
        <f t="shared" si="149"/>
        <v>0</v>
      </c>
      <c r="J2043" s="595">
        <f t="shared" si="150"/>
        <v>0</v>
      </c>
      <c r="K2043" s="596"/>
      <c r="L2043" s="597"/>
    </row>
    <row r="2044" spans="1:12" x14ac:dyDescent="0.2">
      <c r="A2044" s="316">
        <v>87</v>
      </c>
      <c r="B2044" s="591"/>
      <c r="C2044" s="598"/>
      <c r="D2044" s="586"/>
      <c r="E2044" s="587"/>
      <c r="F2044" s="588"/>
      <c r="G2044" s="586"/>
      <c r="H2044" s="599"/>
      <c r="I2044" s="595">
        <f t="shared" si="149"/>
        <v>0</v>
      </c>
      <c r="J2044" s="595">
        <f t="shared" si="150"/>
        <v>0</v>
      </c>
      <c r="K2044" s="596"/>
      <c r="L2044" s="597"/>
    </row>
    <row r="2045" spans="1:12" x14ac:dyDescent="0.2">
      <c r="A2045" s="316">
        <v>88</v>
      </c>
      <c r="B2045" s="591"/>
      <c r="C2045" s="598"/>
      <c r="D2045" s="586"/>
      <c r="E2045" s="587"/>
      <c r="F2045" s="588"/>
      <c r="G2045" s="586"/>
      <c r="H2045" s="599"/>
      <c r="I2045" s="595">
        <f t="shared" si="149"/>
        <v>0</v>
      </c>
      <c r="J2045" s="595">
        <f t="shared" si="150"/>
        <v>0</v>
      </c>
      <c r="K2045" s="596"/>
      <c r="L2045" s="597"/>
    </row>
    <row r="2046" spans="1:12" x14ac:dyDescent="0.2">
      <c r="A2046" s="316">
        <v>89</v>
      </c>
      <c r="B2046" s="591"/>
      <c r="C2046" s="598"/>
      <c r="D2046" s="586"/>
      <c r="E2046" s="587"/>
      <c r="F2046" s="588"/>
      <c r="G2046" s="586"/>
      <c r="H2046" s="599"/>
      <c r="I2046" s="595">
        <f t="shared" si="149"/>
        <v>0</v>
      </c>
      <c r="J2046" s="595">
        <f t="shared" si="150"/>
        <v>0</v>
      </c>
      <c r="K2046" s="596"/>
      <c r="L2046" s="597"/>
    </row>
    <row r="2047" spans="1:12" x14ac:dyDescent="0.2">
      <c r="A2047" s="316">
        <v>90</v>
      </c>
      <c r="B2047" s="591"/>
      <c r="C2047" s="598"/>
      <c r="D2047" s="586"/>
      <c r="E2047" s="587"/>
      <c r="F2047" s="588"/>
      <c r="G2047" s="586"/>
      <c r="H2047" s="599"/>
      <c r="I2047" s="595">
        <f t="shared" si="149"/>
        <v>0</v>
      </c>
      <c r="J2047" s="595">
        <f t="shared" si="150"/>
        <v>0</v>
      </c>
      <c r="K2047" s="596"/>
      <c r="L2047" s="597"/>
    </row>
    <row r="2048" spans="1:12" x14ac:dyDescent="0.2">
      <c r="A2048" s="316">
        <v>91</v>
      </c>
      <c r="B2048" s="591"/>
      <c r="C2048" s="598"/>
      <c r="D2048" s="586"/>
      <c r="E2048" s="587"/>
      <c r="F2048" s="588"/>
      <c r="G2048" s="586"/>
      <c r="H2048" s="599"/>
      <c r="I2048" s="595">
        <f t="shared" si="149"/>
        <v>0</v>
      </c>
      <c r="J2048" s="595">
        <f t="shared" si="150"/>
        <v>0</v>
      </c>
      <c r="K2048" s="596"/>
      <c r="L2048" s="597"/>
    </row>
    <row r="2049" spans="1:12" x14ac:dyDescent="0.2">
      <c r="A2049" s="316">
        <v>92</v>
      </c>
      <c r="B2049" s="591"/>
      <c r="C2049" s="598"/>
      <c r="D2049" s="586"/>
      <c r="E2049" s="587"/>
      <c r="F2049" s="588"/>
      <c r="G2049" s="586"/>
      <c r="H2049" s="599"/>
      <c r="I2049" s="595">
        <f t="shared" si="149"/>
        <v>0</v>
      </c>
      <c r="J2049" s="595">
        <f t="shared" si="150"/>
        <v>0</v>
      </c>
      <c r="K2049" s="596"/>
      <c r="L2049" s="597"/>
    </row>
    <row r="2050" spans="1:12" x14ac:dyDescent="0.2">
      <c r="A2050" s="316">
        <v>93</v>
      </c>
      <c r="B2050" s="591"/>
      <c r="C2050" s="598"/>
      <c r="D2050" s="586"/>
      <c r="E2050" s="587"/>
      <c r="F2050" s="588"/>
      <c r="G2050" s="586"/>
      <c r="H2050" s="599"/>
      <c r="I2050" s="595">
        <f t="shared" si="149"/>
        <v>0</v>
      </c>
      <c r="J2050" s="595">
        <f t="shared" si="150"/>
        <v>0</v>
      </c>
      <c r="K2050" s="596"/>
      <c r="L2050" s="597"/>
    </row>
    <row r="2051" spans="1:12" x14ac:dyDescent="0.2">
      <c r="A2051" s="316">
        <v>94</v>
      </c>
      <c r="B2051" s="591"/>
      <c r="C2051" s="598"/>
      <c r="D2051" s="586"/>
      <c r="E2051" s="587"/>
      <c r="F2051" s="588"/>
      <c r="G2051" s="586"/>
      <c r="H2051" s="599"/>
      <c r="I2051" s="595">
        <f t="shared" si="149"/>
        <v>0</v>
      </c>
      <c r="J2051" s="595">
        <f t="shared" si="150"/>
        <v>0</v>
      </c>
      <c r="K2051" s="596"/>
      <c r="L2051" s="597"/>
    </row>
    <row r="2052" spans="1:12" x14ac:dyDescent="0.2">
      <c r="A2052" s="316">
        <v>95</v>
      </c>
      <c r="B2052" s="591"/>
      <c r="C2052" s="598"/>
      <c r="D2052" s="586"/>
      <c r="E2052" s="587"/>
      <c r="F2052" s="588"/>
      <c r="G2052" s="586"/>
      <c r="H2052" s="599"/>
      <c r="I2052" s="595">
        <f t="shared" si="149"/>
        <v>0</v>
      </c>
      <c r="J2052" s="595">
        <f t="shared" si="150"/>
        <v>0</v>
      </c>
      <c r="K2052" s="596"/>
      <c r="L2052" s="597"/>
    </row>
    <row r="2053" spans="1:12" x14ac:dyDescent="0.2">
      <c r="A2053" s="316">
        <v>96</v>
      </c>
      <c r="B2053" s="591"/>
      <c r="C2053" s="602"/>
      <c r="D2053" s="603"/>
      <c r="E2053" s="604"/>
      <c r="F2053" s="605"/>
      <c r="G2053" s="654"/>
      <c r="H2053" s="606"/>
      <c r="I2053" s="595">
        <f t="shared" si="149"/>
        <v>0</v>
      </c>
      <c r="J2053" s="595">
        <f t="shared" si="150"/>
        <v>0</v>
      </c>
      <c r="K2053" s="596"/>
      <c r="L2053" s="597"/>
    </row>
    <row r="2054" spans="1:12" x14ac:dyDescent="0.2">
      <c r="A2054" s="316">
        <v>97</v>
      </c>
      <c r="B2054" s="591"/>
      <c r="C2054" s="598"/>
      <c r="D2054" s="586"/>
      <c r="E2054" s="593"/>
      <c r="F2054" s="593"/>
      <c r="G2054" s="586"/>
      <c r="H2054" s="599"/>
      <c r="I2054" s="595">
        <f t="shared" si="149"/>
        <v>0</v>
      </c>
      <c r="J2054" s="595">
        <f t="shared" si="150"/>
        <v>0</v>
      </c>
      <c r="K2054" s="596"/>
      <c r="L2054" s="597"/>
    </row>
    <row r="2055" spans="1:12" x14ac:dyDescent="0.2">
      <c r="A2055" s="316">
        <v>98</v>
      </c>
      <c r="B2055" s="591"/>
      <c r="C2055" s="598"/>
      <c r="D2055" s="586"/>
      <c r="E2055" s="587"/>
      <c r="F2055" s="588"/>
      <c r="G2055" s="586"/>
      <c r="H2055" s="599"/>
      <c r="I2055" s="595">
        <f t="shared" si="149"/>
        <v>0</v>
      </c>
      <c r="J2055" s="595">
        <f t="shared" si="150"/>
        <v>0</v>
      </c>
      <c r="K2055" s="596"/>
      <c r="L2055" s="597"/>
    </row>
    <row r="2056" spans="1:12" x14ac:dyDescent="0.2">
      <c r="A2056" s="316">
        <v>99</v>
      </c>
      <c r="B2056" s="591"/>
      <c r="C2056" s="598"/>
      <c r="D2056" s="586"/>
      <c r="E2056" s="587"/>
      <c r="F2056" s="588"/>
      <c r="G2056" s="586"/>
      <c r="H2056" s="599"/>
      <c r="I2056" s="595">
        <f t="shared" si="149"/>
        <v>0</v>
      </c>
      <c r="J2056" s="595">
        <f t="shared" si="150"/>
        <v>0</v>
      </c>
      <c r="K2056" s="596"/>
      <c r="L2056" s="597"/>
    </row>
    <row r="2057" spans="1:12" x14ac:dyDescent="0.2">
      <c r="A2057" s="316">
        <v>100</v>
      </c>
      <c r="B2057" s="591"/>
      <c r="C2057" s="598"/>
      <c r="D2057" s="586"/>
      <c r="E2057" s="587"/>
      <c r="F2057" s="588"/>
      <c r="G2057" s="586"/>
      <c r="H2057" s="599"/>
      <c r="I2057" s="595">
        <f t="shared" si="149"/>
        <v>0</v>
      </c>
      <c r="J2057" s="595">
        <f t="shared" si="150"/>
        <v>0</v>
      </c>
      <c r="K2057" s="596"/>
      <c r="L2057" s="597"/>
    </row>
    <row r="2058" spans="1:12" x14ac:dyDescent="0.2">
      <c r="A2058" s="316">
        <v>101</v>
      </c>
      <c r="B2058" s="591"/>
      <c r="C2058" s="598"/>
      <c r="D2058" s="586"/>
      <c r="E2058" s="587"/>
      <c r="F2058" s="588"/>
      <c r="G2058" s="586"/>
      <c r="H2058" s="599"/>
      <c r="I2058" s="595">
        <f t="shared" si="149"/>
        <v>0</v>
      </c>
      <c r="J2058" s="595">
        <f t="shared" si="150"/>
        <v>0</v>
      </c>
      <c r="K2058" s="596"/>
      <c r="L2058" s="597"/>
    </row>
    <row r="2059" spans="1:12" x14ac:dyDescent="0.2">
      <c r="A2059" s="316">
        <v>102</v>
      </c>
      <c r="B2059" s="591"/>
      <c r="C2059" s="598"/>
      <c r="D2059" s="586"/>
      <c r="E2059" s="587"/>
      <c r="F2059" s="588"/>
      <c r="G2059" s="586"/>
      <c r="H2059" s="599"/>
      <c r="I2059" s="595">
        <f t="shared" si="149"/>
        <v>0</v>
      </c>
      <c r="J2059" s="595">
        <f t="shared" si="150"/>
        <v>0</v>
      </c>
      <c r="K2059" s="596"/>
      <c r="L2059" s="597"/>
    </row>
    <row r="2060" spans="1:12" x14ac:dyDescent="0.2">
      <c r="A2060" s="316">
        <v>103</v>
      </c>
      <c r="B2060" s="591"/>
      <c r="C2060" s="598"/>
      <c r="D2060" s="586"/>
      <c r="E2060" s="587"/>
      <c r="F2060" s="588"/>
      <c r="G2060" s="586"/>
      <c r="H2060" s="599"/>
      <c r="I2060" s="595">
        <f t="shared" si="149"/>
        <v>0</v>
      </c>
      <c r="J2060" s="595">
        <f t="shared" si="150"/>
        <v>0</v>
      </c>
      <c r="K2060" s="596"/>
      <c r="L2060" s="597"/>
    </row>
    <row r="2061" spans="1:12" x14ac:dyDescent="0.2">
      <c r="A2061" s="316">
        <v>104</v>
      </c>
      <c r="B2061" s="591"/>
      <c r="C2061" s="598"/>
      <c r="D2061" s="586"/>
      <c r="E2061" s="587"/>
      <c r="F2061" s="588"/>
      <c r="G2061" s="586"/>
      <c r="H2061" s="599"/>
      <c r="I2061" s="595">
        <f t="shared" si="149"/>
        <v>0</v>
      </c>
      <c r="J2061" s="595">
        <f t="shared" si="150"/>
        <v>0</v>
      </c>
      <c r="K2061" s="596"/>
      <c r="L2061" s="597"/>
    </row>
    <row r="2062" spans="1:12" x14ac:dyDescent="0.2">
      <c r="A2062" s="316">
        <v>105</v>
      </c>
      <c r="B2062" s="591"/>
      <c r="C2062" s="598"/>
      <c r="D2062" s="586"/>
      <c r="E2062" s="587"/>
      <c r="F2062" s="588"/>
      <c r="G2062" s="586"/>
      <c r="H2062" s="599"/>
      <c r="I2062" s="595">
        <f t="shared" si="149"/>
        <v>0</v>
      </c>
      <c r="J2062" s="595">
        <f t="shared" si="150"/>
        <v>0</v>
      </c>
      <c r="K2062" s="596"/>
      <c r="L2062" s="597"/>
    </row>
    <row r="2063" spans="1:12" x14ac:dyDescent="0.2">
      <c r="A2063" s="316">
        <v>106</v>
      </c>
      <c r="B2063" s="591"/>
      <c r="C2063" s="598"/>
      <c r="D2063" s="586"/>
      <c r="E2063" s="587"/>
      <c r="F2063" s="588"/>
      <c r="G2063" s="586"/>
      <c r="H2063" s="599"/>
      <c r="I2063" s="595">
        <f t="shared" si="149"/>
        <v>0</v>
      </c>
      <c r="J2063" s="595">
        <f t="shared" si="150"/>
        <v>0</v>
      </c>
      <c r="K2063" s="596"/>
      <c r="L2063" s="597"/>
    </row>
    <row r="2064" spans="1:12" x14ac:dyDescent="0.2">
      <c r="A2064" s="316">
        <v>107</v>
      </c>
      <c r="B2064" s="591"/>
      <c r="C2064" s="602"/>
      <c r="D2064" s="603"/>
      <c r="E2064" s="604"/>
      <c r="F2064" s="605"/>
      <c r="G2064" s="654"/>
      <c r="H2064" s="606"/>
      <c r="I2064" s="595">
        <f t="shared" si="149"/>
        <v>0</v>
      </c>
      <c r="J2064" s="595">
        <f t="shared" si="150"/>
        <v>0</v>
      </c>
      <c r="K2064" s="596"/>
      <c r="L2064" s="597"/>
    </row>
    <row r="2065" spans="1:12" x14ac:dyDescent="0.2">
      <c r="A2065" s="316">
        <v>108</v>
      </c>
      <c r="B2065" s="591"/>
      <c r="C2065" s="598"/>
      <c r="D2065" s="586"/>
      <c r="E2065" s="593"/>
      <c r="F2065" s="593"/>
      <c r="G2065" s="586"/>
      <c r="H2065" s="599"/>
      <c r="I2065" s="595">
        <f t="shared" si="149"/>
        <v>0</v>
      </c>
      <c r="J2065" s="595">
        <f t="shared" si="150"/>
        <v>0</v>
      </c>
      <c r="K2065" s="596"/>
      <c r="L2065" s="597"/>
    </row>
    <row r="2066" spans="1:12" x14ac:dyDescent="0.2">
      <c r="A2066" s="316">
        <v>109</v>
      </c>
      <c r="B2066" s="591"/>
      <c r="C2066" s="598"/>
      <c r="D2066" s="586"/>
      <c r="E2066" s="587"/>
      <c r="F2066" s="588"/>
      <c r="G2066" s="586"/>
      <c r="H2066" s="599"/>
      <c r="I2066" s="595">
        <f t="shared" si="149"/>
        <v>0</v>
      </c>
      <c r="J2066" s="595">
        <f t="shared" si="150"/>
        <v>0</v>
      </c>
      <c r="K2066" s="596"/>
      <c r="L2066" s="597"/>
    </row>
    <row r="2067" spans="1:12" x14ac:dyDescent="0.2">
      <c r="A2067" s="316">
        <v>110</v>
      </c>
      <c r="B2067" s="591"/>
      <c r="C2067" s="598"/>
      <c r="D2067" s="586"/>
      <c r="E2067" s="587"/>
      <c r="F2067" s="588"/>
      <c r="G2067" s="586"/>
      <c r="H2067" s="599"/>
      <c r="I2067" s="595">
        <f t="shared" si="149"/>
        <v>0</v>
      </c>
      <c r="J2067" s="595">
        <f t="shared" si="150"/>
        <v>0</v>
      </c>
      <c r="K2067" s="596"/>
      <c r="L2067" s="597"/>
    </row>
    <row r="2068" spans="1:12" x14ac:dyDescent="0.2">
      <c r="A2068" s="316">
        <v>111</v>
      </c>
      <c r="B2068" s="591"/>
      <c r="C2068" s="598"/>
      <c r="D2068" s="586"/>
      <c r="E2068" s="587"/>
      <c r="F2068" s="588"/>
      <c r="G2068" s="586"/>
      <c r="H2068" s="599"/>
      <c r="I2068" s="595">
        <f t="shared" si="149"/>
        <v>0</v>
      </c>
      <c r="J2068" s="595">
        <f t="shared" si="150"/>
        <v>0</v>
      </c>
      <c r="K2068" s="596"/>
      <c r="L2068" s="597"/>
    </row>
    <row r="2069" spans="1:12" x14ac:dyDescent="0.2">
      <c r="A2069" s="316">
        <v>112</v>
      </c>
      <c r="B2069" s="591"/>
      <c r="C2069" s="598"/>
      <c r="D2069" s="586"/>
      <c r="E2069" s="587"/>
      <c r="F2069" s="588"/>
      <c r="G2069" s="586"/>
      <c r="H2069" s="599"/>
      <c r="I2069" s="595">
        <f t="shared" si="149"/>
        <v>0</v>
      </c>
      <c r="J2069" s="595">
        <f t="shared" si="150"/>
        <v>0</v>
      </c>
      <c r="K2069" s="596"/>
      <c r="L2069" s="597"/>
    </row>
    <row r="2070" spans="1:12" x14ac:dyDescent="0.2">
      <c r="A2070" s="316">
        <v>113</v>
      </c>
      <c r="B2070" s="591"/>
      <c r="C2070" s="598"/>
      <c r="D2070" s="586"/>
      <c r="E2070" s="587"/>
      <c r="F2070" s="588"/>
      <c r="G2070" s="586"/>
      <c r="H2070" s="599"/>
      <c r="I2070" s="595">
        <f t="shared" si="149"/>
        <v>0</v>
      </c>
      <c r="J2070" s="595">
        <f t="shared" si="150"/>
        <v>0</v>
      </c>
      <c r="K2070" s="596"/>
      <c r="L2070" s="597"/>
    </row>
    <row r="2071" spans="1:12" x14ac:dyDescent="0.2">
      <c r="A2071" s="316">
        <v>114</v>
      </c>
      <c r="B2071" s="591"/>
      <c r="C2071" s="598"/>
      <c r="D2071" s="586"/>
      <c r="E2071" s="587"/>
      <c r="F2071" s="588"/>
      <c r="G2071" s="586"/>
      <c r="H2071" s="599"/>
      <c r="I2071" s="595">
        <f t="shared" si="149"/>
        <v>0</v>
      </c>
      <c r="J2071" s="595">
        <f t="shared" si="150"/>
        <v>0</v>
      </c>
      <c r="K2071" s="596"/>
      <c r="L2071" s="597"/>
    </row>
    <row r="2072" spans="1:12" x14ac:dyDescent="0.2">
      <c r="A2072" s="316">
        <v>115</v>
      </c>
      <c r="B2072" s="591"/>
      <c r="C2072" s="598"/>
      <c r="D2072" s="586"/>
      <c r="E2072" s="587"/>
      <c r="F2072" s="588"/>
      <c r="G2072" s="586"/>
      <c r="H2072" s="599"/>
      <c r="I2072" s="595">
        <f t="shared" si="149"/>
        <v>0</v>
      </c>
      <c r="J2072" s="595">
        <f t="shared" si="150"/>
        <v>0</v>
      </c>
      <c r="K2072" s="596"/>
      <c r="L2072" s="597"/>
    </row>
    <row r="2073" spans="1:12" x14ac:dyDescent="0.2">
      <c r="A2073" s="316">
        <v>116</v>
      </c>
      <c r="B2073" s="591"/>
      <c r="C2073" s="598"/>
      <c r="D2073" s="586"/>
      <c r="E2073" s="587"/>
      <c r="F2073" s="588"/>
      <c r="G2073" s="586"/>
      <c r="H2073" s="599"/>
      <c r="I2073" s="595">
        <f t="shared" si="149"/>
        <v>0</v>
      </c>
      <c r="J2073" s="595">
        <f t="shared" si="150"/>
        <v>0</v>
      </c>
      <c r="K2073" s="596"/>
      <c r="L2073" s="597"/>
    </row>
    <row r="2074" spans="1:12" x14ac:dyDescent="0.2">
      <c r="A2074" s="316">
        <v>117</v>
      </c>
      <c r="B2074" s="591"/>
      <c r="C2074" s="598"/>
      <c r="D2074" s="586"/>
      <c r="E2074" s="587"/>
      <c r="F2074" s="588"/>
      <c r="G2074" s="586"/>
      <c r="H2074" s="599"/>
      <c r="I2074" s="595">
        <f t="shared" si="149"/>
        <v>0</v>
      </c>
      <c r="J2074" s="595">
        <f t="shared" si="150"/>
        <v>0</v>
      </c>
      <c r="K2074" s="596"/>
      <c r="L2074" s="597"/>
    </row>
    <row r="2075" spans="1:12" x14ac:dyDescent="0.2">
      <c r="A2075" s="316">
        <v>118</v>
      </c>
      <c r="B2075" s="591"/>
      <c r="C2075" s="602"/>
      <c r="D2075" s="603"/>
      <c r="E2075" s="604"/>
      <c r="F2075" s="605"/>
      <c r="G2075" s="654"/>
      <c r="H2075" s="606"/>
      <c r="I2075" s="595">
        <f t="shared" si="149"/>
        <v>0</v>
      </c>
      <c r="J2075" s="595">
        <f t="shared" si="150"/>
        <v>0</v>
      </c>
      <c r="K2075" s="596"/>
      <c r="L2075" s="597"/>
    </row>
    <row r="2076" spans="1:12" x14ac:dyDescent="0.2">
      <c r="A2076" s="316">
        <v>119</v>
      </c>
      <c r="B2076" s="591"/>
      <c r="C2076" s="598"/>
      <c r="D2076" s="586"/>
      <c r="E2076" s="593"/>
      <c r="F2076" s="593"/>
      <c r="G2076" s="586"/>
      <c r="H2076" s="599"/>
      <c r="I2076" s="595">
        <f t="shared" si="149"/>
        <v>0</v>
      </c>
      <c r="J2076" s="595">
        <f t="shared" si="150"/>
        <v>0</v>
      </c>
      <c r="K2076" s="596"/>
      <c r="L2076" s="597"/>
    </row>
    <row r="2077" spans="1:12" x14ac:dyDescent="0.2">
      <c r="A2077" s="316">
        <v>120</v>
      </c>
      <c r="B2077" s="591"/>
      <c r="C2077" s="598"/>
      <c r="D2077" s="586"/>
      <c r="E2077" s="587"/>
      <c r="F2077" s="588"/>
      <c r="G2077" s="586"/>
      <c r="H2077" s="599"/>
      <c r="I2077" s="595">
        <f t="shared" si="149"/>
        <v>0</v>
      </c>
      <c r="J2077" s="595">
        <f t="shared" si="150"/>
        <v>0</v>
      </c>
      <c r="K2077" s="596"/>
      <c r="L2077" s="597"/>
    </row>
    <row r="2078" spans="1:12" x14ac:dyDescent="0.2">
      <c r="A2078" s="316">
        <v>121</v>
      </c>
      <c r="B2078" s="591"/>
      <c r="C2078" s="598"/>
      <c r="D2078" s="586"/>
      <c r="E2078" s="587"/>
      <c r="F2078" s="588"/>
      <c r="G2078" s="586"/>
      <c r="H2078" s="599"/>
      <c r="I2078" s="595">
        <f t="shared" si="149"/>
        <v>0</v>
      </c>
      <c r="J2078" s="595">
        <f t="shared" si="150"/>
        <v>0</v>
      </c>
      <c r="K2078" s="596"/>
      <c r="L2078" s="597"/>
    </row>
    <row r="2079" spans="1:12" x14ac:dyDescent="0.2">
      <c r="A2079" s="316">
        <v>122</v>
      </c>
      <c r="B2079" s="591"/>
      <c r="C2079" s="598"/>
      <c r="D2079" s="586"/>
      <c r="E2079" s="587"/>
      <c r="F2079" s="588"/>
      <c r="G2079" s="586"/>
      <c r="H2079" s="599"/>
      <c r="I2079" s="595">
        <f t="shared" si="149"/>
        <v>0</v>
      </c>
      <c r="J2079" s="595">
        <f t="shared" si="150"/>
        <v>0</v>
      </c>
      <c r="K2079" s="596"/>
      <c r="L2079" s="597"/>
    </row>
    <row r="2080" spans="1:12" x14ac:dyDescent="0.2">
      <c r="A2080" s="316">
        <v>123</v>
      </c>
      <c r="B2080" s="591"/>
      <c r="C2080" s="598"/>
      <c r="D2080" s="586"/>
      <c r="E2080" s="587"/>
      <c r="F2080" s="588"/>
      <c r="G2080" s="586"/>
      <c r="H2080" s="599"/>
      <c r="I2080" s="595">
        <f t="shared" si="149"/>
        <v>0</v>
      </c>
      <c r="J2080" s="595">
        <f t="shared" si="150"/>
        <v>0</v>
      </c>
      <c r="K2080" s="596"/>
      <c r="L2080" s="597"/>
    </row>
    <row r="2081" spans="1:12" x14ac:dyDescent="0.2">
      <c r="A2081" s="316">
        <v>124</v>
      </c>
      <c r="B2081" s="591"/>
      <c r="C2081" s="598"/>
      <c r="D2081" s="586"/>
      <c r="E2081" s="587"/>
      <c r="F2081" s="588"/>
      <c r="G2081" s="586"/>
      <c r="H2081" s="599"/>
      <c r="I2081" s="595">
        <f t="shared" si="149"/>
        <v>0</v>
      </c>
      <c r="J2081" s="595">
        <f t="shared" si="150"/>
        <v>0</v>
      </c>
      <c r="K2081" s="596"/>
      <c r="L2081" s="597"/>
    </row>
    <row r="2082" spans="1:12" x14ac:dyDescent="0.2">
      <c r="A2082" s="316">
        <v>125</v>
      </c>
      <c r="B2082" s="591"/>
      <c r="C2082" s="598"/>
      <c r="D2082" s="586"/>
      <c r="E2082" s="587"/>
      <c r="F2082" s="588"/>
      <c r="G2082" s="586"/>
      <c r="H2082" s="599"/>
      <c r="I2082" s="595">
        <f t="shared" si="149"/>
        <v>0</v>
      </c>
      <c r="J2082" s="595">
        <f t="shared" si="150"/>
        <v>0</v>
      </c>
      <c r="K2082" s="596"/>
      <c r="L2082" s="597"/>
    </row>
    <row r="2083" spans="1:12" x14ac:dyDescent="0.2">
      <c r="A2083" s="316">
        <v>126</v>
      </c>
      <c r="B2083" s="591"/>
      <c r="C2083" s="598"/>
      <c r="D2083" s="586"/>
      <c r="E2083" s="587"/>
      <c r="F2083" s="588"/>
      <c r="G2083" s="586"/>
      <c r="H2083" s="599"/>
      <c r="I2083" s="595">
        <f t="shared" si="149"/>
        <v>0</v>
      </c>
      <c r="J2083" s="595">
        <f t="shared" si="150"/>
        <v>0</v>
      </c>
      <c r="K2083" s="596"/>
      <c r="L2083" s="597"/>
    </row>
    <row r="2084" spans="1:12" x14ac:dyDescent="0.2">
      <c r="A2084" s="316">
        <v>127</v>
      </c>
      <c r="B2084" s="591"/>
      <c r="C2084" s="598"/>
      <c r="D2084" s="586"/>
      <c r="E2084" s="587"/>
      <c r="F2084" s="588"/>
      <c r="G2084" s="586"/>
      <c r="H2084" s="599"/>
      <c r="I2084" s="595">
        <f t="shared" si="149"/>
        <v>0</v>
      </c>
      <c r="J2084" s="595">
        <f t="shared" si="150"/>
        <v>0</v>
      </c>
      <c r="K2084" s="596"/>
      <c r="L2084" s="597"/>
    </row>
    <row r="2085" spans="1:12" x14ac:dyDescent="0.2">
      <c r="A2085" s="316">
        <v>128</v>
      </c>
      <c r="B2085" s="591"/>
      <c r="C2085" s="598"/>
      <c r="D2085" s="586"/>
      <c r="E2085" s="587"/>
      <c r="F2085" s="588"/>
      <c r="G2085" s="586"/>
      <c r="H2085" s="599"/>
      <c r="I2085" s="595">
        <f t="shared" si="149"/>
        <v>0</v>
      </c>
      <c r="J2085" s="595">
        <f t="shared" si="150"/>
        <v>0</v>
      </c>
      <c r="K2085" s="596"/>
      <c r="L2085" s="597"/>
    </row>
    <row r="2086" spans="1:12" x14ac:dyDescent="0.2">
      <c r="A2086" s="316">
        <v>129</v>
      </c>
      <c r="B2086" s="591"/>
      <c r="C2086" s="602"/>
      <c r="D2086" s="603"/>
      <c r="E2086" s="604"/>
      <c r="F2086" s="605"/>
      <c r="G2086" s="654"/>
      <c r="H2086" s="606"/>
      <c r="I2086" s="595">
        <f t="shared" ref="I2086:I2107" si="151">K2086/1.11</f>
        <v>0</v>
      </c>
      <c r="J2086" s="595">
        <f t="shared" ref="J2086:J2107" si="152">I2086*11%</f>
        <v>0</v>
      </c>
      <c r="K2086" s="596"/>
      <c r="L2086" s="597"/>
    </row>
    <row r="2087" spans="1:12" x14ac:dyDescent="0.2">
      <c r="A2087" s="316">
        <v>130</v>
      </c>
      <c r="B2087" s="591"/>
      <c r="C2087" s="598"/>
      <c r="D2087" s="586"/>
      <c r="E2087" s="593"/>
      <c r="F2087" s="593"/>
      <c r="G2087" s="586"/>
      <c r="H2087" s="599"/>
      <c r="I2087" s="595">
        <f t="shared" si="151"/>
        <v>0</v>
      </c>
      <c r="J2087" s="595">
        <f t="shared" si="152"/>
        <v>0</v>
      </c>
      <c r="K2087" s="596"/>
      <c r="L2087" s="597"/>
    </row>
    <row r="2088" spans="1:12" x14ac:dyDescent="0.2">
      <c r="A2088" s="316">
        <v>131</v>
      </c>
      <c r="B2088" s="591"/>
      <c r="C2088" s="598"/>
      <c r="D2088" s="586"/>
      <c r="E2088" s="587"/>
      <c r="F2088" s="588"/>
      <c r="G2088" s="586"/>
      <c r="H2088" s="599"/>
      <c r="I2088" s="595">
        <f t="shared" si="151"/>
        <v>0</v>
      </c>
      <c r="J2088" s="595">
        <f t="shared" si="152"/>
        <v>0</v>
      </c>
      <c r="K2088" s="596"/>
      <c r="L2088" s="597"/>
    </row>
    <row r="2089" spans="1:12" x14ac:dyDescent="0.2">
      <c r="A2089" s="316">
        <v>132</v>
      </c>
      <c r="B2089" s="591"/>
      <c r="C2089" s="598"/>
      <c r="D2089" s="586"/>
      <c r="E2089" s="587"/>
      <c r="F2089" s="588"/>
      <c r="G2089" s="586"/>
      <c r="H2089" s="599"/>
      <c r="I2089" s="595">
        <f t="shared" si="151"/>
        <v>0</v>
      </c>
      <c r="J2089" s="595">
        <f t="shared" si="152"/>
        <v>0</v>
      </c>
      <c r="K2089" s="596"/>
      <c r="L2089" s="597"/>
    </row>
    <row r="2090" spans="1:12" x14ac:dyDescent="0.2">
      <c r="A2090" s="316">
        <v>133</v>
      </c>
      <c r="B2090" s="591"/>
      <c r="C2090" s="598"/>
      <c r="D2090" s="586"/>
      <c r="E2090" s="587"/>
      <c r="F2090" s="588"/>
      <c r="G2090" s="586"/>
      <c r="H2090" s="599"/>
      <c r="I2090" s="595">
        <f t="shared" si="151"/>
        <v>0</v>
      </c>
      <c r="J2090" s="595">
        <f t="shared" si="152"/>
        <v>0</v>
      </c>
      <c r="K2090" s="596"/>
      <c r="L2090" s="597"/>
    </row>
    <row r="2091" spans="1:12" x14ac:dyDescent="0.2">
      <c r="A2091" s="316">
        <v>134</v>
      </c>
      <c r="B2091" s="591"/>
      <c r="C2091" s="598"/>
      <c r="D2091" s="586"/>
      <c r="E2091" s="587"/>
      <c r="F2091" s="588"/>
      <c r="G2091" s="586"/>
      <c r="H2091" s="599"/>
      <c r="I2091" s="595">
        <f t="shared" si="151"/>
        <v>0</v>
      </c>
      <c r="J2091" s="595">
        <f t="shared" si="152"/>
        <v>0</v>
      </c>
      <c r="K2091" s="596"/>
      <c r="L2091" s="597"/>
    </row>
    <row r="2092" spans="1:12" x14ac:dyDescent="0.2">
      <c r="A2092" s="316">
        <v>135</v>
      </c>
      <c r="B2092" s="591"/>
      <c r="C2092" s="598"/>
      <c r="D2092" s="586"/>
      <c r="E2092" s="587"/>
      <c r="F2092" s="588"/>
      <c r="G2092" s="586"/>
      <c r="H2092" s="599"/>
      <c r="I2092" s="595">
        <f t="shared" si="151"/>
        <v>0</v>
      </c>
      <c r="J2092" s="595">
        <f t="shared" si="152"/>
        <v>0</v>
      </c>
      <c r="K2092" s="596"/>
      <c r="L2092" s="597"/>
    </row>
    <row r="2093" spans="1:12" x14ac:dyDescent="0.2">
      <c r="A2093" s="316">
        <v>136</v>
      </c>
      <c r="B2093" s="591"/>
      <c r="C2093" s="598"/>
      <c r="D2093" s="586"/>
      <c r="E2093" s="587"/>
      <c r="F2093" s="588"/>
      <c r="G2093" s="586"/>
      <c r="H2093" s="599"/>
      <c r="I2093" s="595">
        <f t="shared" si="151"/>
        <v>0</v>
      </c>
      <c r="J2093" s="595">
        <f t="shared" si="152"/>
        <v>0</v>
      </c>
      <c r="K2093" s="596"/>
      <c r="L2093" s="597"/>
    </row>
    <row r="2094" spans="1:12" x14ac:dyDescent="0.2">
      <c r="A2094" s="316">
        <v>137</v>
      </c>
      <c r="B2094" s="591"/>
      <c r="C2094" s="598"/>
      <c r="D2094" s="586"/>
      <c r="E2094" s="587"/>
      <c r="F2094" s="588"/>
      <c r="G2094" s="586"/>
      <c r="H2094" s="599"/>
      <c r="I2094" s="595">
        <f t="shared" si="151"/>
        <v>0</v>
      </c>
      <c r="J2094" s="595">
        <f t="shared" si="152"/>
        <v>0</v>
      </c>
      <c r="K2094" s="596"/>
      <c r="L2094" s="597"/>
    </row>
    <row r="2095" spans="1:12" x14ac:dyDescent="0.2">
      <c r="A2095" s="316">
        <v>138</v>
      </c>
      <c r="B2095" s="591"/>
      <c r="C2095" s="598"/>
      <c r="D2095" s="586"/>
      <c r="E2095" s="587"/>
      <c r="F2095" s="588"/>
      <c r="G2095" s="586"/>
      <c r="H2095" s="599"/>
      <c r="I2095" s="595">
        <f t="shared" si="151"/>
        <v>0</v>
      </c>
      <c r="J2095" s="595">
        <f t="shared" si="152"/>
        <v>0</v>
      </c>
      <c r="K2095" s="596"/>
      <c r="L2095" s="597"/>
    </row>
    <row r="2096" spans="1:12" x14ac:dyDescent="0.2">
      <c r="A2096" s="316">
        <v>139</v>
      </c>
      <c r="B2096" s="591"/>
      <c r="C2096" s="598"/>
      <c r="D2096" s="586"/>
      <c r="E2096" s="587"/>
      <c r="F2096" s="588"/>
      <c r="G2096" s="586"/>
      <c r="H2096" s="599"/>
      <c r="I2096" s="595">
        <f t="shared" si="151"/>
        <v>0</v>
      </c>
      <c r="J2096" s="595">
        <f t="shared" si="152"/>
        <v>0</v>
      </c>
      <c r="K2096" s="596"/>
      <c r="L2096" s="597"/>
    </row>
    <row r="2097" spans="1:12" x14ac:dyDescent="0.2">
      <c r="A2097" s="316">
        <v>140</v>
      </c>
      <c r="B2097" s="591"/>
      <c r="C2097" s="602"/>
      <c r="D2097" s="603"/>
      <c r="E2097" s="604"/>
      <c r="F2097" s="605"/>
      <c r="G2097" s="654"/>
      <c r="H2097" s="606"/>
      <c r="I2097" s="595">
        <f t="shared" si="151"/>
        <v>0</v>
      </c>
      <c r="J2097" s="595">
        <f t="shared" si="152"/>
        <v>0</v>
      </c>
      <c r="K2097" s="596"/>
      <c r="L2097" s="597"/>
    </row>
    <row r="2098" spans="1:12" x14ac:dyDescent="0.2">
      <c r="A2098" s="316">
        <v>141</v>
      </c>
      <c r="B2098" s="591"/>
      <c r="C2098" s="598"/>
      <c r="D2098" s="586"/>
      <c r="E2098" s="587"/>
      <c r="F2098" s="588"/>
      <c r="G2098" s="586"/>
      <c r="H2098" s="599"/>
      <c r="I2098" s="595">
        <f t="shared" si="151"/>
        <v>0</v>
      </c>
      <c r="J2098" s="595">
        <f t="shared" si="152"/>
        <v>0</v>
      </c>
      <c r="K2098" s="596"/>
      <c r="L2098" s="597"/>
    </row>
    <row r="2099" spans="1:12" x14ac:dyDescent="0.2">
      <c r="A2099" s="316">
        <v>142</v>
      </c>
      <c r="B2099" s="591"/>
      <c r="C2099" s="598"/>
      <c r="D2099" s="586"/>
      <c r="E2099" s="587"/>
      <c r="F2099" s="588"/>
      <c r="G2099" s="586"/>
      <c r="H2099" s="599"/>
      <c r="I2099" s="595">
        <f t="shared" si="151"/>
        <v>0</v>
      </c>
      <c r="J2099" s="595">
        <f t="shared" si="152"/>
        <v>0</v>
      </c>
      <c r="K2099" s="596"/>
      <c r="L2099" s="597"/>
    </row>
    <row r="2100" spans="1:12" x14ac:dyDescent="0.2">
      <c r="A2100" s="316">
        <v>143</v>
      </c>
      <c r="B2100" s="591"/>
      <c r="C2100" s="598"/>
      <c r="D2100" s="586"/>
      <c r="E2100" s="587"/>
      <c r="F2100" s="588"/>
      <c r="G2100" s="586"/>
      <c r="H2100" s="599"/>
      <c r="I2100" s="595">
        <f t="shared" si="151"/>
        <v>0</v>
      </c>
      <c r="J2100" s="595">
        <f t="shared" si="152"/>
        <v>0</v>
      </c>
      <c r="K2100" s="596"/>
      <c r="L2100" s="597"/>
    </row>
    <row r="2101" spans="1:12" x14ac:dyDescent="0.2">
      <c r="A2101" s="316">
        <v>144</v>
      </c>
      <c r="B2101" s="591"/>
      <c r="C2101" s="598"/>
      <c r="D2101" s="586"/>
      <c r="E2101" s="587"/>
      <c r="F2101" s="588"/>
      <c r="G2101" s="586"/>
      <c r="H2101" s="599"/>
      <c r="I2101" s="595">
        <f t="shared" si="151"/>
        <v>0</v>
      </c>
      <c r="J2101" s="595">
        <f t="shared" si="152"/>
        <v>0</v>
      </c>
      <c r="K2101" s="596"/>
      <c r="L2101" s="597"/>
    </row>
    <row r="2102" spans="1:12" x14ac:dyDescent="0.2">
      <c r="A2102" s="316">
        <v>145</v>
      </c>
      <c r="B2102" s="591"/>
      <c r="C2102" s="602"/>
      <c r="D2102" s="603"/>
      <c r="E2102" s="604"/>
      <c r="F2102" s="605"/>
      <c r="G2102" s="654"/>
      <c r="H2102" s="606"/>
      <c r="I2102" s="595">
        <f t="shared" si="151"/>
        <v>0</v>
      </c>
      <c r="J2102" s="595">
        <f t="shared" si="152"/>
        <v>0</v>
      </c>
      <c r="K2102" s="596"/>
      <c r="L2102" s="597"/>
    </row>
    <row r="2103" spans="1:12" x14ac:dyDescent="0.2">
      <c r="A2103" s="316">
        <v>146</v>
      </c>
      <c r="B2103" s="591"/>
      <c r="C2103" s="598"/>
      <c r="D2103" s="586"/>
      <c r="E2103" s="587"/>
      <c r="F2103" s="588"/>
      <c r="G2103" s="586"/>
      <c r="H2103" s="599"/>
      <c r="I2103" s="595">
        <f t="shared" si="151"/>
        <v>0</v>
      </c>
      <c r="J2103" s="595">
        <f t="shared" si="152"/>
        <v>0</v>
      </c>
      <c r="K2103" s="596"/>
      <c r="L2103" s="597"/>
    </row>
    <row r="2104" spans="1:12" x14ac:dyDescent="0.2">
      <c r="A2104" s="316">
        <v>147</v>
      </c>
      <c r="B2104" s="591"/>
      <c r="C2104" s="598"/>
      <c r="D2104" s="586"/>
      <c r="E2104" s="587"/>
      <c r="F2104" s="588"/>
      <c r="G2104" s="586"/>
      <c r="H2104" s="599"/>
      <c r="I2104" s="595">
        <f t="shared" si="151"/>
        <v>0</v>
      </c>
      <c r="J2104" s="595">
        <f t="shared" si="152"/>
        <v>0</v>
      </c>
      <c r="K2104" s="596"/>
      <c r="L2104" s="597"/>
    </row>
    <row r="2105" spans="1:12" x14ac:dyDescent="0.2">
      <c r="A2105" s="316">
        <v>148</v>
      </c>
      <c r="B2105" s="591"/>
      <c r="C2105" s="598"/>
      <c r="D2105" s="586"/>
      <c r="E2105" s="587"/>
      <c r="F2105" s="588"/>
      <c r="G2105" s="586"/>
      <c r="H2105" s="599"/>
      <c r="I2105" s="595">
        <f t="shared" si="151"/>
        <v>0</v>
      </c>
      <c r="J2105" s="595">
        <f t="shared" si="152"/>
        <v>0</v>
      </c>
      <c r="K2105" s="596"/>
      <c r="L2105" s="597"/>
    </row>
    <row r="2106" spans="1:12" x14ac:dyDescent="0.2">
      <c r="A2106" s="316">
        <v>149</v>
      </c>
      <c r="B2106" s="591"/>
      <c r="C2106" s="598"/>
      <c r="D2106" s="586"/>
      <c r="E2106" s="587"/>
      <c r="F2106" s="588"/>
      <c r="G2106" s="586"/>
      <c r="H2106" s="599"/>
      <c r="I2106" s="595">
        <f t="shared" si="151"/>
        <v>0</v>
      </c>
      <c r="J2106" s="595">
        <f t="shared" si="152"/>
        <v>0</v>
      </c>
      <c r="K2106" s="596"/>
      <c r="L2106" s="597"/>
    </row>
    <row r="2107" spans="1:12" x14ac:dyDescent="0.2">
      <c r="A2107" s="316">
        <v>150</v>
      </c>
      <c r="B2107" s="616"/>
      <c r="C2107" s="617"/>
      <c r="D2107" s="618"/>
      <c r="E2107" s="619"/>
      <c r="F2107" s="620"/>
      <c r="G2107" s="655"/>
      <c r="H2107" s="621"/>
      <c r="I2107" s="595">
        <f t="shared" si="151"/>
        <v>0</v>
      </c>
      <c r="J2107" s="595">
        <f t="shared" si="152"/>
        <v>0</v>
      </c>
      <c r="K2107" s="623"/>
      <c r="L2107" s="624"/>
    </row>
    <row r="2108" spans="1:12" ht="18" x14ac:dyDescent="0.25">
      <c r="B2108" s="630" t="s">
        <v>217</v>
      </c>
      <c r="C2108" s="631"/>
      <c r="D2108" s="632"/>
      <c r="E2108" s="633"/>
      <c r="F2108" s="634"/>
      <c r="G2108" s="656"/>
      <c r="H2108" s="635"/>
      <c r="I2108" s="636">
        <f>SUM(I1958:I2107)</f>
        <v>0</v>
      </c>
      <c r="J2108" s="636">
        <f>SUM(J1958:J2107)</f>
        <v>0</v>
      </c>
      <c r="K2108" s="637">
        <f>SUM(K1958:K2107)</f>
        <v>0</v>
      </c>
      <c r="L2108" s="638"/>
    </row>
    <row r="2109" spans="1:12" s="429" customFormat="1" ht="20.25" x14ac:dyDescent="0.3">
      <c r="A2109" s="316"/>
      <c r="B2109" s="639" t="s">
        <v>109</v>
      </c>
      <c r="C2109" s="626"/>
      <c r="D2109" s="627"/>
      <c r="E2109" s="627"/>
      <c r="F2109" s="627"/>
      <c r="G2109" s="627"/>
      <c r="H2109" s="640"/>
      <c r="I2109" s="641"/>
      <c r="J2109" s="641"/>
      <c r="K2109" s="642"/>
      <c r="L2109" s="643"/>
    </row>
    <row r="2110" spans="1:12" s="429" customFormat="1" x14ac:dyDescent="0.2">
      <c r="A2110" s="316">
        <v>1</v>
      </c>
      <c r="B2110" s="591"/>
      <c r="C2110" s="598"/>
      <c r="D2110" s="586"/>
      <c r="E2110" s="593"/>
      <c r="F2110" s="593"/>
      <c r="G2110" s="586"/>
      <c r="H2110" s="594"/>
      <c r="I2110" s="595">
        <f t="shared" ref="I2110:I2173" si="153">K2110/1.11</f>
        <v>0</v>
      </c>
      <c r="J2110" s="595">
        <f t="shared" ref="J2110:J2173" si="154">I2110*11%</f>
        <v>0</v>
      </c>
      <c r="K2110" s="596"/>
      <c r="L2110" s="759"/>
    </row>
    <row r="2111" spans="1:12" s="429" customFormat="1" x14ac:dyDescent="0.2">
      <c r="A2111" s="316">
        <v>2</v>
      </c>
      <c r="B2111" s="591"/>
      <c r="C2111" s="592"/>
      <c r="D2111" s="586"/>
      <c r="E2111" s="593"/>
      <c r="F2111" s="593"/>
      <c r="G2111" s="586"/>
      <c r="H2111" s="594"/>
      <c r="I2111" s="595">
        <f t="shared" si="153"/>
        <v>0</v>
      </c>
      <c r="J2111" s="595">
        <f t="shared" si="154"/>
        <v>0</v>
      </c>
      <c r="K2111" s="596"/>
      <c r="L2111" s="597"/>
    </row>
    <row r="2112" spans="1:12" s="429" customFormat="1" x14ac:dyDescent="0.2">
      <c r="A2112" s="316">
        <v>3</v>
      </c>
      <c r="B2112" s="591"/>
      <c r="C2112" s="598"/>
      <c r="D2112" s="586"/>
      <c r="E2112" s="593"/>
      <c r="F2112" s="593"/>
      <c r="G2112" s="586"/>
      <c r="H2112" s="594"/>
      <c r="I2112" s="595">
        <f t="shared" si="153"/>
        <v>0</v>
      </c>
      <c r="J2112" s="595">
        <f t="shared" si="154"/>
        <v>0</v>
      </c>
      <c r="K2112" s="596"/>
      <c r="L2112" s="597"/>
    </row>
    <row r="2113" spans="1:12" s="429" customFormat="1" x14ac:dyDescent="0.2">
      <c r="A2113" s="316">
        <v>4</v>
      </c>
      <c r="B2113" s="591"/>
      <c r="C2113" s="598"/>
      <c r="D2113" s="586"/>
      <c r="E2113" s="593"/>
      <c r="F2113" s="593"/>
      <c r="G2113" s="586"/>
      <c r="H2113" s="594"/>
      <c r="I2113" s="595">
        <f t="shared" si="153"/>
        <v>0</v>
      </c>
      <c r="J2113" s="595">
        <f t="shared" si="154"/>
        <v>0</v>
      </c>
      <c r="K2113" s="596"/>
      <c r="L2113" s="597"/>
    </row>
    <row r="2114" spans="1:12" s="429" customFormat="1" x14ac:dyDescent="0.2">
      <c r="A2114" s="316">
        <v>5</v>
      </c>
      <c r="B2114" s="591"/>
      <c r="C2114" s="598"/>
      <c r="D2114" s="586"/>
      <c r="E2114" s="593"/>
      <c r="F2114" s="593"/>
      <c r="G2114" s="586"/>
      <c r="H2114" s="594"/>
      <c r="I2114" s="595">
        <f t="shared" si="153"/>
        <v>0</v>
      </c>
      <c r="J2114" s="595">
        <f t="shared" si="154"/>
        <v>0</v>
      </c>
      <c r="K2114" s="596"/>
      <c r="L2114" s="597"/>
    </row>
    <row r="2115" spans="1:12" s="429" customFormat="1" x14ac:dyDescent="0.2">
      <c r="A2115" s="316">
        <v>6</v>
      </c>
      <c r="B2115" s="591"/>
      <c r="C2115" s="598"/>
      <c r="D2115" s="586"/>
      <c r="E2115" s="587"/>
      <c r="F2115" s="588"/>
      <c r="G2115" s="586"/>
      <c r="H2115" s="599"/>
      <c r="I2115" s="595">
        <f t="shared" si="153"/>
        <v>0</v>
      </c>
      <c r="J2115" s="595">
        <f t="shared" si="154"/>
        <v>0</v>
      </c>
      <c r="K2115" s="596"/>
      <c r="L2115" s="597"/>
    </row>
    <row r="2116" spans="1:12" s="429" customFormat="1" x14ac:dyDescent="0.2">
      <c r="A2116" s="316">
        <v>7</v>
      </c>
      <c r="B2116" s="591"/>
      <c r="C2116" s="598"/>
      <c r="D2116" s="586"/>
      <c r="E2116" s="587"/>
      <c r="F2116" s="588"/>
      <c r="G2116" s="586"/>
      <c r="H2116" s="599"/>
      <c r="I2116" s="595">
        <f t="shared" si="153"/>
        <v>0</v>
      </c>
      <c r="J2116" s="595">
        <f t="shared" si="154"/>
        <v>0</v>
      </c>
      <c r="K2116" s="596"/>
      <c r="L2116" s="597"/>
    </row>
    <row r="2117" spans="1:12" s="429" customFormat="1" x14ac:dyDescent="0.2">
      <c r="A2117" s="316">
        <v>8</v>
      </c>
      <c r="B2117" s="591"/>
      <c r="C2117" s="598"/>
      <c r="D2117" s="586"/>
      <c r="E2117" s="587"/>
      <c r="F2117" s="588"/>
      <c r="G2117" s="586"/>
      <c r="H2117" s="599"/>
      <c r="I2117" s="595">
        <f t="shared" si="153"/>
        <v>0</v>
      </c>
      <c r="J2117" s="595">
        <f t="shared" si="154"/>
        <v>0</v>
      </c>
      <c r="K2117" s="596"/>
      <c r="L2117" s="597"/>
    </row>
    <row r="2118" spans="1:12" s="429" customFormat="1" x14ac:dyDescent="0.2">
      <c r="A2118" s="316">
        <v>9</v>
      </c>
      <c r="B2118" s="591"/>
      <c r="C2118" s="598"/>
      <c r="D2118" s="586"/>
      <c r="E2118" s="593"/>
      <c r="F2118" s="593"/>
      <c r="G2118" s="586"/>
      <c r="H2118" s="599"/>
      <c r="I2118" s="595">
        <f t="shared" si="153"/>
        <v>0</v>
      </c>
      <c r="J2118" s="595">
        <f t="shared" si="154"/>
        <v>0</v>
      </c>
      <c r="K2118" s="596"/>
      <c r="L2118" s="597"/>
    </row>
    <row r="2119" spans="1:12" s="429" customFormat="1" x14ac:dyDescent="0.2">
      <c r="A2119" s="316">
        <v>10</v>
      </c>
      <c r="B2119" s="591"/>
      <c r="C2119" s="598"/>
      <c r="D2119" s="586"/>
      <c r="E2119" s="587"/>
      <c r="F2119" s="588"/>
      <c r="G2119" s="586"/>
      <c r="H2119" s="599"/>
      <c r="I2119" s="595">
        <f t="shared" si="153"/>
        <v>0</v>
      </c>
      <c r="J2119" s="595">
        <f t="shared" si="154"/>
        <v>0</v>
      </c>
      <c r="K2119" s="596"/>
      <c r="L2119" s="597"/>
    </row>
    <row r="2120" spans="1:12" s="429" customFormat="1" x14ac:dyDescent="0.2">
      <c r="A2120" s="316">
        <v>11</v>
      </c>
      <c r="B2120" s="591"/>
      <c r="C2120" s="598"/>
      <c r="D2120" s="586"/>
      <c r="E2120" s="593"/>
      <c r="F2120" s="593"/>
      <c r="G2120" s="586"/>
      <c r="H2120" s="599"/>
      <c r="I2120" s="595">
        <f t="shared" si="153"/>
        <v>0</v>
      </c>
      <c r="J2120" s="595">
        <f t="shared" si="154"/>
        <v>0</v>
      </c>
      <c r="K2120" s="596"/>
      <c r="L2120" s="597"/>
    </row>
    <row r="2121" spans="1:12" s="429" customFormat="1" x14ac:dyDescent="0.2">
      <c r="A2121" s="316">
        <v>12</v>
      </c>
      <c r="B2121" s="591"/>
      <c r="C2121" s="598"/>
      <c r="D2121" s="586"/>
      <c r="E2121" s="587"/>
      <c r="F2121" s="588"/>
      <c r="G2121" s="586"/>
      <c r="H2121" s="599"/>
      <c r="I2121" s="595">
        <f t="shared" si="153"/>
        <v>0</v>
      </c>
      <c r="J2121" s="595">
        <f t="shared" si="154"/>
        <v>0</v>
      </c>
      <c r="K2121" s="596"/>
      <c r="L2121" s="597"/>
    </row>
    <row r="2122" spans="1:12" s="429" customFormat="1" x14ac:dyDescent="0.2">
      <c r="A2122" s="316">
        <v>13</v>
      </c>
      <c r="B2122" s="591"/>
      <c r="C2122" s="598"/>
      <c r="D2122" s="586"/>
      <c r="E2122" s="587"/>
      <c r="F2122" s="588"/>
      <c r="G2122" s="586"/>
      <c r="H2122" s="599"/>
      <c r="I2122" s="595">
        <f t="shared" si="153"/>
        <v>0</v>
      </c>
      <c r="J2122" s="595">
        <f t="shared" si="154"/>
        <v>0</v>
      </c>
      <c r="K2122" s="596"/>
      <c r="L2122" s="597"/>
    </row>
    <row r="2123" spans="1:12" s="429" customFormat="1" x14ac:dyDescent="0.2">
      <c r="A2123" s="316">
        <v>14</v>
      </c>
      <c r="B2123" s="591"/>
      <c r="C2123" s="598"/>
      <c r="D2123" s="586"/>
      <c r="E2123" s="593"/>
      <c r="F2123" s="593"/>
      <c r="G2123" s="586"/>
      <c r="H2123" s="599"/>
      <c r="I2123" s="595">
        <f t="shared" si="153"/>
        <v>0</v>
      </c>
      <c r="J2123" s="595">
        <f t="shared" si="154"/>
        <v>0</v>
      </c>
      <c r="K2123" s="596"/>
      <c r="L2123" s="597"/>
    </row>
    <row r="2124" spans="1:12" s="429" customFormat="1" x14ac:dyDescent="0.2">
      <c r="A2124" s="316">
        <v>15</v>
      </c>
      <c r="B2124" s="591"/>
      <c r="C2124" s="598"/>
      <c r="D2124" s="586"/>
      <c r="E2124" s="587"/>
      <c r="F2124" s="588"/>
      <c r="G2124" s="586"/>
      <c r="H2124" s="599"/>
      <c r="I2124" s="595">
        <f t="shared" si="153"/>
        <v>0</v>
      </c>
      <c r="J2124" s="595">
        <f t="shared" si="154"/>
        <v>0</v>
      </c>
      <c r="K2124" s="596"/>
      <c r="L2124" s="597"/>
    </row>
    <row r="2125" spans="1:12" s="429" customFormat="1" x14ac:dyDescent="0.2">
      <c r="A2125" s="316">
        <v>16</v>
      </c>
      <c r="B2125" s="591"/>
      <c r="C2125" s="598"/>
      <c r="D2125" s="586"/>
      <c r="E2125" s="593"/>
      <c r="F2125" s="593"/>
      <c r="G2125" s="586"/>
      <c r="H2125" s="599"/>
      <c r="I2125" s="595">
        <f t="shared" si="153"/>
        <v>0</v>
      </c>
      <c r="J2125" s="595">
        <f t="shared" si="154"/>
        <v>0</v>
      </c>
      <c r="K2125" s="596"/>
      <c r="L2125" s="597"/>
    </row>
    <row r="2126" spans="1:12" s="429" customFormat="1" x14ac:dyDescent="0.2">
      <c r="A2126" s="316">
        <v>17</v>
      </c>
      <c r="B2126" s="591"/>
      <c r="C2126" s="598"/>
      <c r="D2126" s="586"/>
      <c r="E2126" s="587"/>
      <c r="F2126" s="588"/>
      <c r="G2126" s="586"/>
      <c r="H2126" s="599"/>
      <c r="I2126" s="595">
        <f t="shared" si="153"/>
        <v>0</v>
      </c>
      <c r="J2126" s="595">
        <f t="shared" si="154"/>
        <v>0</v>
      </c>
      <c r="K2126" s="596"/>
      <c r="L2126" s="597"/>
    </row>
    <row r="2127" spans="1:12" s="429" customFormat="1" x14ac:dyDescent="0.2">
      <c r="A2127" s="316">
        <v>18</v>
      </c>
      <c r="B2127" s="591"/>
      <c r="C2127" s="598"/>
      <c r="D2127" s="586"/>
      <c r="E2127" s="587"/>
      <c r="F2127" s="588"/>
      <c r="G2127" s="586"/>
      <c r="H2127" s="599"/>
      <c r="I2127" s="595">
        <f t="shared" si="153"/>
        <v>0</v>
      </c>
      <c r="J2127" s="595">
        <f t="shared" si="154"/>
        <v>0</v>
      </c>
      <c r="K2127" s="596"/>
      <c r="L2127" s="597"/>
    </row>
    <row r="2128" spans="1:12" s="429" customFormat="1" x14ac:dyDescent="0.2">
      <c r="A2128" s="316">
        <v>19</v>
      </c>
      <c r="B2128" s="591"/>
      <c r="C2128" s="598"/>
      <c r="D2128" s="586"/>
      <c r="E2128" s="587"/>
      <c r="F2128" s="588"/>
      <c r="G2128" s="586"/>
      <c r="H2128" s="599"/>
      <c r="I2128" s="595">
        <f t="shared" si="153"/>
        <v>0</v>
      </c>
      <c r="J2128" s="595">
        <f t="shared" si="154"/>
        <v>0</v>
      </c>
      <c r="K2128" s="596"/>
      <c r="L2128" s="597"/>
    </row>
    <row r="2129" spans="1:12" s="429" customFormat="1" x14ac:dyDescent="0.2">
      <c r="A2129" s="316">
        <v>20</v>
      </c>
      <c r="B2129" s="591"/>
      <c r="C2129" s="598"/>
      <c r="D2129" s="586"/>
      <c r="E2129" s="593"/>
      <c r="F2129" s="593"/>
      <c r="G2129" s="586"/>
      <c r="H2129" s="594"/>
      <c r="I2129" s="595">
        <f t="shared" si="153"/>
        <v>0</v>
      </c>
      <c r="J2129" s="595">
        <f t="shared" si="154"/>
        <v>0</v>
      </c>
      <c r="K2129" s="596"/>
      <c r="L2129" s="597"/>
    </row>
    <row r="2130" spans="1:12" s="429" customFormat="1" x14ac:dyDescent="0.2">
      <c r="A2130" s="316">
        <v>21</v>
      </c>
      <c r="B2130" s="591"/>
      <c r="C2130" s="598"/>
      <c r="D2130" s="586"/>
      <c r="E2130" s="587"/>
      <c r="F2130" s="588"/>
      <c r="G2130" s="586"/>
      <c r="H2130" s="599"/>
      <c r="I2130" s="595">
        <f t="shared" si="153"/>
        <v>0</v>
      </c>
      <c r="J2130" s="595">
        <f t="shared" si="154"/>
        <v>0</v>
      </c>
      <c r="K2130" s="596"/>
      <c r="L2130" s="597"/>
    </row>
    <row r="2131" spans="1:12" s="429" customFormat="1" x14ac:dyDescent="0.2">
      <c r="A2131" s="316">
        <v>22</v>
      </c>
      <c r="B2131" s="591"/>
      <c r="C2131" s="598"/>
      <c r="D2131" s="586"/>
      <c r="E2131" s="587"/>
      <c r="F2131" s="588"/>
      <c r="G2131" s="586"/>
      <c r="H2131" s="599"/>
      <c r="I2131" s="595">
        <f t="shared" si="153"/>
        <v>0</v>
      </c>
      <c r="J2131" s="595">
        <f t="shared" si="154"/>
        <v>0</v>
      </c>
      <c r="K2131" s="596"/>
      <c r="L2131" s="597"/>
    </row>
    <row r="2132" spans="1:12" s="429" customFormat="1" x14ac:dyDescent="0.2">
      <c r="A2132" s="316">
        <v>23</v>
      </c>
      <c r="B2132" s="591"/>
      <c r="C2132" s="598"/>
      <c r="D2132" s="586"/>
      <c r="E2132" s="587"/>
      <c r="F2132" s="588"/>
      <c r="G2132" s="586"/>
      <c r="H2132" s="599"/>
      <c r="I2132" s="595">
        <f t="shared" si="153"/>
        <v>0</v>
      </c>
      <c r="J2132" s="595">
        <f t="shared" si="154"/>
        <v>0</v>
      </c>
      <c r="K2132" s="596"/>
      <c r="L2132" s="597"/>
    </row>
    <row r="2133" spans="1:12" s="429" customFormat="1" x14ac:dyDescent="0.2">
      <c r="A2133" s="316">
        <v>24</v>
      </c>
      <c r="B2133" s="591"/>
      <c r="C2133" s="598"/>
      <c r="D2133" s="586"/>
      <c r="E2133" s="587"/>
      <c r="F2133" s="588"/>
      <c r="G2133" s="586"/>
      <c r="H2133" s="599"/>
      <c r="I2133" s="595">
        <f t="shared" si="153"/>
        <v>0</v>
      </c>
      <c r="J2133" s="595">
        <f t="shared" si="154"/>
        <v>0</v>
      </c>
      <c r="K2133" s="596"/>
      <c r="L2133" s="597"/>
    </row>
    <row r="2134" spans="1:12" s="429" customFormat="1" x14ac:dyDescent="0.2">
      <c r="A2134" s="316">
        <v>25</v>
      </c>
      <c r="B2134" s="591"/>
      <c r="C2134" s="598"/>
      <c r="D2134" s="586"/>
      <c r="E2134" s="587"/>
      <c r="F2134" s="588"/>
      <c r="G2134" s="586"/>
      <c r="H2134" s="599"/>
      <c r="I2134" s="595">
        <f t="shared" si="153"/>
        <v>0</v>
      </c>
      <c r="J2134" s="595">
        <f t="shared" si="154"/>
        <v>0</v>
      </c>
      <c r="K2134" s="596"/>
      <c r="L2134" s="597"/>
    </row>
    <row r="2135" spans="1:12" x14ac:dyDescent="0.2">
      <c r="A2135" s="316">
        <v>26</v>
      </c>
      <c r="B2135" s="591"/>
      <c r="C2135" s="598"/>
      <c r="D2135" s="586"/>
      <c r="E2135" s="587"/>
      <c r="F2135" s="588"/>
      <c r="G2135" s="586"/>
      <c r="H2135" s="599"/>
      <c r="I2135" s="595">
        <f t="shared" si="153"/>
        <v>0</v>
      </c>
      <c r="J2135" s="595">
        <f t="shared" si="154"/>
        <v>0</v>
      </c>
      <c r="K2135" s="596"/>
      <c r="L2135" s="597"/>
    </row>
    <row r="2136" spans="1:12" x14ac:dyDescent="0.2">
      <c r="A2136" s="316">
        <v>27</v>
      </c>
      <c r="B2136" s="591"/>
      <c r="C2136" s="598"/>
      <c r="D2136" s="586"/>
      <c r="E2136" s="587"/>
      <c r="F2136" s="588"/>
      <c r="G2136" s="586"/>
      <c r="H2136" s="599"/>
      <c r="I2136" s="595">
        <f t="shared" si="153"/>
        <v>0</v>
      </c>
      <c r="J2136" s="595">
        <f t="shared" si="154"/>
        <v>0</v>
      </c>
      <c r="K2136" s="596"/>
      <c r="L2136" s="597"/>
    </row>
    <row r="2137" spans="1:12" x14ac:dyDescent="0.2">
      <c r="A2137" s="316">
        <v>28</v>
      </c>
      <c r="B2137" s="591"/>
      <c r="C2137" s="598"/>
      <c r="D2137" s="586"/>
      <c r="E2137" s="587"/>
      <c r="F2137" s="588"/>
      <c r="G2137" s="586"/>
      <c r="H2137" s="599"/>
      <c r="I2137" s="595">
        <f t="shared" si="153"/>
        <v>0</v>
      </c>
      <c r="J2137" s="595">
        <f t="shared" si="154"/>
        <v>0</v>
      </c>
      <c r="K2137" s="596"/>
      <c r="L2137" s="597"/>
    </row>
    <row r="2138" spans="1:12" x14ac:dyDescent="0.2">
      <c r="A2138" s="316">
        <v>29</v>
      </c>
      <c r="B2138" s="591"/>
      <c r="C2138" s="598"/>
      <c r="D2138" s="586"/>
      <c r="E2138" s="587"/>
      <c r="F2138" s="588"/>
      <c r="G2138" s="586"/>
      <c r="H2138" s="599"/>
      <c r="I2138" s="595">
        <f t="shared" si="153"/>
        <v>0</v>
      </c>
      <c r="J2138" s="595">
        <f t="shared" si="154"/>
        <v>0</v>
      </c>
      <c r="K2138" s="596"/>
      <c r="L2138" s="597"/>
    </row>
    <row r="2139" spans="1:12" x14ac:dyDescent="0.2">
      <c r="A2139" s="316">
        <v>30</v>
      </c>
      <c r="B2139" s="591"/>
      <c r="C2139" s="598"/>
      <c r="D2139" s="586"/>
      <c r="E2139" s="587"/>
      <c r="F2139" s="588"/>
      <c r="G2139" s="586"/>
      <c r="H2139" s="599"/>
      <c r="I2139" s="595">
        <f t="shared" si="153"/>
        <v>0</v>
      </c>
      <c r="J2139" s="595">
        <f t="shared" si="154"/>
        <v>0</v>
      </c>
      <c r="K2139" s="596"/>
      <c r="L2139" s="597"/>
    </row>
    <row r="2140" spans="1:12" x14ac:dyDescent="0.2">
      <c r="A2140" s="316">
        <v>31</v>
      </c>
      <c r="B2140" s="591"/>
      <c r="C2140" s="598"/>
      <c r="D2140" s="586"/>
      <c r="E2140" s="587"/>
      <c r="F2140" s="588"/>
      <c r="G2140" s="586"/>
      <c r="H2140" s="599"/>
      <c r="I2140" s="595">
        <f t="shared" si="153"/>
        <v>0</v>
      </c>
      <c r="J2140" s="595">
        <f t="shared" si="154"/>
        <v>0</v>
      </c>
      <c r="K2140" s="596"/>
      <c r="L2140" s="597"/>
    </row>
    <row r="2141" spans="1:12" x14ac:dyDescent="0.2">
      <c r="A2141" s="316">
        <v>32</v>
      </c>
      <c r="B2141" s="591"/>
      <c r="C2141" s="598"/>
      <c r="D2141" s="586"/>
      <c r="E2141" s="587"/>
      <c r="F2141" s="588"/>
      <c r="G2141" s="586"/>
      <c r="H2141" s="599"/>
      <c r="I2141" s="595">
        <f t="shared" si="153"/>
        <v>0</v>
      </c>
      <c r="J2141" s="595">
        <f t="shared" si="154"/>
        <v>0</v>
      </c>
      <c r="K2141" s="596"/>
      <c r="L2141" s="597"/>
    </row>
    <row r="2142" spans="1:12" x14ac:dyDescent="0.2">
      <c r="A2142" s="316">
        <v>33</v>
      </c>
      <c r="B2142" s="591"/>
      <c r="C2142" s="598"/>
      <c r="D2142" s="586"/>
      <c r="E2142" s="593"/>
      <c r="F2142" s="593"/>
      <c r="G2142" s="586"/>
      <c r="H2142" s="594"/>
      <c r="I2142" s="595">
        <f t="shared" si="153"/>
        <v>0</v>
      </c>
      <c r="J2142" s="595">
        <f t="shared" si="154"/>
        <v>0</v>
      </c>
      <c r="K2142" s="596"/>
      <c r="L2142" s="600"/>
    </row>
    <row r="2143" spans="1:12" x14ac:dyDescent="0.2">
      <c r="A2143" s="316">
        <v>34</v>
      </c>
      <c r="B2143" s="591"/>
      <c r="C2143" s="598"/>
      <c r="D2143" s="586"/>
      <c r="E2143" s="587"/>
      <c r="F2143" s="588"/>
      <c r="G2143" s="586"/>
      <c r="H2143" s="599"/>
      <c r="I2143" s="595">
        <f t="shared" si="153"/>
        <v>0</v>
      </c>
      <c r="J2143" s="595">
        <f t="shared" si="154"/>
        <v>0</v>
      </c>
      <c r="K2143" s="596"/>
      <c r="L2143" s="597"/>
    </row>
    <row r="2144" spans="1:12" x14ac:dyDescent="0.2">
      <c r="A2144" s="316">
        <v>35</v>
      </c>
      <c r="B2144" s="591"/>
      <c r="C2144" s="598"/>
      <c r="D2144" s="586"/>
      <c r="E2144" s="587"/>
      <c r="F2144" s="588"/>
      <c r="G2144" s="586"/>
      <c r="H2144" s="599"/>
      <c r="I2144" s="595">
        <f t="shared" si="153"/>
        <v>0</v>
      </c>
      <c r="J2144" s="595">
        <f t="shared" si="154"/>
        <v>0</v>
      </c>
      <c r="K2144" s="596"/>
      <c r="L2144" s="597"/>
    </row>
    <row r="2145" spans="1:12" x14ac:dyDescent="0.2">
      <c r="A2145" s="316">
        <v>36</v>
      </c>
      <c r="B2145" s="591"/>
      <c r="C2145" s="598"/>
      <c r="D2145" s="586"/>
      <c r="E2145" s="587"/>
      <c r="F2145" s="588"/>
      <c r="G2145" s="586"/>
      <c r="H2145" s="599"/>
      <c r="I2145" s="595">
        <f t="shared" si="153"/>
        <v>0</v>
      </c>
      <c r="J2145" s="595">
        <f t="shared" si="154"/>
        <v>0</v>
      </c>
      <c r="K2145" s="596"/>
      <c r="L2145" s="597"/>
    </row>
    <row r="2146" spans="1:12" x14ac:dyDescent="0.2">
      <c r="A2146" s="316">
        <v>37</v>
      </c>
      <c r="B2146" s="591"/>
      <c r="C2146" s="598"/>
      <c r="D2146" s="586"/>
      <c r="E2146" s="587"/>
      <c r="F2146" s="588"/>
      <c r="G2146" s="586"/>
      <c r="H2146" s="599"/>
      <c r="I2146" s="595">
        <f t="shared" si="153"/>
        <v>0</v>
      </c>
      <c r="J2146" s="595">
        <f t="shared" si="154"/>
        <v>0</v>
      </c>
      <c r="K2146" s="596"/>
      <c r="L2146" s="597"/>
    </row>
    <row r="2147" spans="1:12" x14ac:dyDescent="0.2">
      <c r="A2147" s="316">
        <v>38</v>
      </c>
      <c r="B2147" s="591"/>
      <c r="C2147" s="598"/>
      <c r="D2147" s="586"/>
      <c r="E2147" s="587"/>
      <c r="F2147" s="588"/>
      <c r="G2147" s="586"/>
      <c r="H2147" s="599"/>
      <c r="I2147" s="595">
        <f t="shared" si="153"/>
        <v>0</v>
      </c>
      <c r="J2147" s="595">
        <f t="shared" si="154"/>
        <v>0</v>
      </c>
      <c r="K2147" s="596"/>
      <c r="L2147" s="597"/>
    </row>
    <row r="2148" spans="1:12" x14ac:dyDescent="0.2">
      <c r="A2148" s="316">
        <v>39</v>
      </c>
      <c r="B2148" s="591"/>
      <c r="C2148" s="598"/>
      <c r="D2148" s="586"/>
      <c r="E2148" s="587"/>
      <c r="F2148" s="588"/>
      <c r="G2148" s="586"/>
      <c r="H2148" s="599"/>
      <c r="I2148" s="595">
        <f t="shared" si="153"/>
        <v>0</v>
      </c>
      <c r="J2148" s="595">
        <f t="shared" si="154"/>
        <v>0</v>
      </c>
      <c r="K2148" s="596"/>
      <c r="L2148" s="597"/>
    </row>
    <row r="2149" spans="1:12" x14ac:dyDescent="0.2">
      <c r="A2149" s="316">
        <v>40</v>
      </c>
      <c r="B2149" s="591"/>
      <c r="C2149" s="598"/>
      <c r="D2149" s="586"/>
      <c r="E2149" s="587"/>
      <c r="F2149" s="588"/>
      <c r="G2149" s="586"/>
      <c r="H2149" s="599"/>
      <c r="I2149" s="595">
        <f t="shared" si="153"/>
        <v>0</v>
      </c>
      <c r="J2149" s="595">
        <f t="shared" si="154"/>
        <v>0</v>
      </c>
      <c r="K2149" s="596"/>
      <c r="L2149" s="597"/>
    </row>
    <row r="2150" spans="1:12" x14ac:dyDescent="0.2">
      <c r="A2150" s="316">
        <v>41</v>
      </c>
      <c r="B2150" s="591"/>
      <c r="C2150" s="598"/>
      <c r="D2150" s="586"/>
      <c r="E2150" s="593"/>
      <c r="F2150" s="593"/>
      <c r="G2150" s="586"/>
      <c r="H2150" s="599"/>
      <c r="I2150" s="595">
        <f t="shared" si="153"/>
        <v>0</v>
      </c>
      <c r="J2150" s="595">
        <f t="shared" si="154"/>
        <v>0</v>
      </c>
      <c r="K2150" s="596"/>
      <c r="L2150" s="597"/>
    </row>
    <row r="2151" spans="1:12" x14ac:dyDescent="0.2">
      <c r="A2151" s="316">
        <v>42</v>
      </c>
      <c r="B2151" s="591"/>
      <c r="C2151" s="598"/>
      <c r="D2151" s="586"/>
      <c r="E2151" s="593"/>
      <c r="F2151" s="593"/>
      <c r="G2151" s="586"/>
      <c r="H2151" s="594"/>
      <c r="I2151" s="595">
        <f t="shared" si="153"/>
        <v>0</v>
      </c>
      <c r="J2151" s="595">
        <f t="shared" si="154"/>
        <v>0</v>
      </c>
      <c r="K2151" s="596"/>
      <c r="L2151" s="597"/>
    </row>
    <row r="2152" spans="1:12" x14ac:dyDescent="0.2">
      <c r="A2152" s="316">
        <v>43</v>
      </c>
      <c r="B2152" s="591"/>
      <c r="C2152" s="598"/>
      <c r="D2152" s="586"/>
      <c r="E2152" s="587"/>
      <c r="F2152" s="588"/>
      <c r="G2152" s="586"/>
      <c r="H2152" s="599"/>
      <c r="I2152" s="595">
        <f t="shared" si="153"/>
        <v>0</v>
      </c>
      <c r="J2152" s="595">
        <f t="shared" si="154"/>
        <v>0</v>
      </c>
      <c r="K2152" s="596"/>
      <c r="L2152" s="597"/>
    </row>
    <row r="2153" spans="1:12" x14ac:dyDescent="0.2">
      <c r="A2153" s="316">
        <v>44</v>
      </c>
      <c r="B2153" s="591"/>
      <c r="C2153" s="598"/>
      <c r="D2153" s="586"/>
      <c r="E2153" s="587"/>
      <c r="F2153" s="588"/>
      <c r="G2153" s="586"/>
      <c r="H2153" s="599"/>
      <c r="I2153" s="595">
        <f t="shared" si="153"/>
        <v>0</v>
      </c>
      <c r="J2153" s="595">
        <f t="shared" si="154"/>
        <v>0</v>
      </c>
      <c r="K2153" s="596"/>
      <c r="L2153" s="597"/>
    </row>
    <row r="2154" spans="1:12" x14ac:dyDescent="0.2">
      <c r="A2154" s="316">
        <v>45</v>
      </c>
      <c r="B2154" s="591"/>
      <c r="C2154" s="598"/>
      <c r="D2154" s="586"/>
      <c r="E2154" s="587"/>
      <c r="F2154" s="588"/>
      <c r="G2154" s="586"/>
      <c r="H2154" s="599"/>
      <c r="I2154" s="595">
        <f t="shared" si="153"/>
        <v>0</v>
      </c>
      <c r="J2154" s="595">
        <f t="shared" si="154"/>
        <v>0</v>
      </c>
      <c r="K2154" s="596"/>
      <c r="L2154" s="597"/>
    </row>
    <row r="2155" spans="1:12" x14ac:dyDescent="0.2">
      <c r="A2155" s="316">
        <v>46</v>
      </c>
      <c r="B2155" s="591"/>
      <c r="C2155" s="598"/>
      <c r="D2155" s="586"/>
      <c r="E2155" s="587"/>
      <c r="F2155" s="588"/>
      <c r="G2155" s="586"/>
      <c r="H2155" s="599"/>
      <c r="I2155" s="595">
        <f t="shared" si="153"/>
        <v>0</v>
      </c>
      <c r="J2155" s="595">
        <f t="shared" si="154"/>
        <v>0</v>
      </c>
      <c r="K2155" s="596"/>
      <c r="L2155" s="597"/>
    </row>
    <row r="2156" spans="1:12" x14ac:dyDescent="0.2">
      <c r="A2156" s="316">
        <v>47</v>
      </c>
      <c r="B2156" s="591"/>
      <c r="C2156" s="598"/>
      <c r="D2156" s="586"/>
      <c r="E2156" s="587"/>
      <c r="F2156" s="588"/>
      <c r="G2156" s="586"/>
      <c r="H2156" s="599"/>
      <c r="I2156" s="595">
        <f t="shared" si="153"/>
        <v>0</v>
      </c>
      <c r="J2156" s="595">
        <f t="shared" si="154"/>
        <v>0</v>
      </c>
      <c r="K2156" s="596"/>
      <c r="L2156" s="597"/>
    </row>
    <row r="2157" spans="1:12" x14ac:dyDescent="0.2">
      <c r="A2157" s="316">
        <v>48</v>
      </c>
      <c r="B2157" s="591"/>
      <c r="C2157" s="598"/>
      <c r="D2157" s="586"/>
      <c r="E2157" s="587"/>
      <c r="F2157" s="588"/>
      <c r="G2157" s="586"/>
      <c r="H2157" s="599"/>
      <c r="I2157" s="595">
        <f t="shared" si="153"/>
        <v>0</v>
      </c>
      <c r="J2157" s="595">
        <f t="shared" si="154"/>
        <v>0</v>
      </c>
      <c r="K2157" s="596"/>
      <c r="L2157" s="597"/>
    </row>
    <row r="2158" spans="1:12" x14ac:dyDescent="0.2">
      <c r="A2158" s="316">
        <v>49</v>
      </c>
      <c r="B2158" s="591"/>
      <c r="C2158" s="598"/>
      <c r="D2158" s="586"/>
      <c r="E2158" s="587"/>
      <c r="F2158" s="588"/>
      <c r="G2158" s="586"/>
      <c r="H2158" s="599"/>
      <c r="I2158" s="595">
        <f t="shared" si="153"/>
        <v>0</v>
      </c>
      <c r="J2158" s="595">
        <f t="shared" si="154"/>
        <v>0</v>
      </c>
      <c r="K2158" s="596"/>
      <c r="L2158" s="597"/>
    </row>
    <row r="2159" spans="1:12" x14ac:dyDescent="0.2">
      <c r="A2159" s="316">
        <v>50</v>
      </c>
      <c r="B2159" s="591"/>
      <c r="C2159" s="598"/>
      <c r="D2159" s="586"/>
      <c r="E2159" s="587"/>
      <c r="F2159" s="588"/>
      <c r="G2159" s="586"/>
      <c r="H2159" s="599"/>
      <c r="I2159" s="595">
        <f t="shared" si="153"/>
        <v>0</v>
      </c>
      <c r="J2159" s="595">
        <f t="shared" si="154"/>
        <v>0</v>
      </c>
      <c r="K2159" s="596"/>
      <c r="L2159" s="597"/>
    </row>
    <row r="2160" spans="1:12" x14ac:dyDescent="0.2">
      <c r="A2160" s="316">
        <v>51</v>
      </c>
      <c r="B2160" s="591"/>
      <c r="C2160" s="598"/>
      <c r="D2160" s="586"/>
      <c r="E2160" s="587"/>
      <c r="F2160" s="588"/>
      <c r="G2160" s="586"/>
      <c r="H2160" s="599"/>
      <c r="I2160" s="595">
        <f t="shared" si="153"/>
        <v>0</v>
      </c>
      <c r="J2160" s="595">
        <f t="shared" si="154"/>
        <v>0</v>
      </c>
      <c r="K2160" s="596"/>
      <c r="L2160" s="597"/>
    </row>
    <row r="2161" spans="1:12" x14ac:dyDescent="0.2">
      <c r="A2161" s="316">
        <v>52</v>
      </c>
      <c r="B2161" s="591"/>
      <c r="C2161" s="598"/>
      <c r="D2161" s="586"/>
      <c r="E2161" s="587"/>
      <c r="F2161" s="588"/>
      <c r="G2161" s="586"/>
      <c r="H2161" s="599"/>
      <c r="I2161" s="595">
        <f t="shared" si="153"/>
        <v>0</v>
      </c>
      <c r="J2161" s="595">
        <f t="shared" si="154"/>
        <v>0</v>
      </c>
      <c r="K2161" s="596"/>
      <c r="L2161" s="597"/>
    </row>
    <row r="2162" spans="1:12" x14ac:dyDescent="0.2">
      <c r="A2162" s="316">
        <v>53</v>
      </c>
      <c r="B2162" s="591"/>
      <c r="C2162" s="598"/>
      <c r="D2162" s="586"/>
      <c r="E2162" s="593"/>
      <c r="F2162" s="593"/>
      <c r="G2162" s="586"/>
      <c r="H2162" s="594"/>
      <c r="I2162" s="595">
        <f t="shared" si="153"/>
        <v>0</v>
      </c>
      <c r="J2162" s="595">
        <f t="shared" si="154"/>
        <v>0</v>
      </c>
      <c r="K2162" s="596"/>
      <c r="L2162" s="597"/>
    </row>
    <row r="2163" spans="1:12" x14ac:dyDescent="0.2">
      <c r="A2163" s="316">
        <v>54</v>
      </c>
      <c r="B2163" s="591"/>
      <c r="C2163" s="598"/>
      <c r="D2163" s="586"/>
      <c r="E2163" s="587"/>
      <c r="F2163" s="588"/>
      <c r="G2163" s="586"/>
      <c r="H2163" s="599"/>
      <c r="I2163" s="595">
        <f t="shared" si="153"/>
        <v>0</v>
      </c>
      <c r="J2163" s="595">
        <f t="shared" si="154"/>
        <v>0</v>
      </c>
      <c r="K2163" s="596"/>
      <c r="L2163" s="597"/>
    </row>
    <row r="2164" spans="1:12" x14ac:dyDescent="0.2">
      <c r="A2164" s="316">
        <v>55</v>
      </c>
      <c r="B2164" s="591"/>
      <c r="C2164" s="598"/>
      <c r="D2164" s="586"/>
      <c r="E2164" s="587"/>
      <c r="F2164" s="588"/>
      <c r="G2164" s="586"/>
      <c r="H2164" s="599"/>
      <c r="I2164" s="595">
        <f t="shared" si="153"/>
        <v>0</v>
      </c>
      <c r="J2164" s="595">
        <f t="shared" si="154"/>
        <v>0</v>
      </c>
      <c r="K2164" s="596"/>
      <c r="L2164" s="597"/>
    </row>
    <row r="2165" spans="1:12" x14ac:dyDescent="0.2">
      <c r="A2165" s="316">
        <v>56</v>
      </c>
      <c r="B2165" s="591"/>
      <c r="C2165" s="598"/>
      <c r="D2165" s="586"/>
      <c r="E2165" s="601"/>
      <c r="F2165" s="588"/>
      <c r="G2165" s="586"/>
      <c r="H2165" s="599"/>
      <c r="I2165" s="595">
        <f t="shared" si="153"/>
        <v>0</v>
      </c>
      <c r="J2165" s="595">
        <f t="shared" si="154"/>
        <v>0</v>
      </c>
      <c r="K2165" s="596"/>
      <c r="L2165" s="597"/>
    </row>
    <row r="2166" spans="1:12" x14ac:dyDescent="0.2">
      <c r="A2166" s="316">
        <v>57</v>
      </c>
      <c r="B2166" s="591"/>
      <c r="C2166" s="598"/>
      <c r="D2166" s="586"/>
      <c r="E2166" s="587"/>
      <c r="F2166" s="588"/>
      <c r="G2166" s="586"/>
      <c r="H2166" s="599"/>
      <c r="I2166" s="595">
        <f t="shared" si="153"/>
        <v>0</v>
      </c>
      <c r="J2166" s="595">
        <f t="shared" si="154"/>
        <v>0</v>
      </c>
      <c r="K2166" s="596"/>
      <c r="L2166" s="597"/>
    </row>
    <row r="2167" spans="1:12" x14ac:dyDescent="0.2">
      <c r="A2167" s="316">
        <v>58</v>
      </c>
      <c r="B2167" s="591"/>
      <c r="C2167" s="598"/>
      <c r="D2167" s="586"/>
      <c r="E2167" s="587"/>
      <c r="F2167" s="588"/>
      <c r="G2167" s="586"/>
      <c r="H2167" s="599"/>
      <c r="I2167" s="595">
        <f t="shared" si="153"/>
        <v>0</v>
      </c>
      <c r="J2167" s="595">
        <f t="shared" si="154"/>
        <v>0</v>
      </c>
      <c r="K2167" s="596"/>
      <c r="L2167" s="597"/>
    </row>
    <row r="2168" spans="1:12" x14ac:dyDescent="0.2">
      <c r="A2168" s="316">
        <v>59</v>
      </c>
      <c r="B2168" s="591"/>
      <c r="C2168" s="598"/>
      <c r="D2168" s="586"/>
      <c r="E2168" s="587"/>
      <c r="F2168" s="588"/>
      <c r="G2168" s="586"/>
      <c r="H2168" s="599"/>
      <c r="I2168" s="595">
        <f t="shared" si="153"/>
        <v>0</v>
      </c>
      <c r="J2168" s="595">
        <f t="shared" si="154"/>
        <v>0</v>
      </c>
      <c r="K2168" s="596"/>
      <c r="L2168" s="597"/>
    </row>
    <row r="2169" spans="1:12" x14ac:dyDescent="0.2">
      <c r="A2169" s="316">
        <v>60</v>
      </c>
      <c r="B2169" s="591"/>
      <c r="C2169" s="598"/>
      <c r="D2169" s="586"/>
      <c r="E2169" s="587"/>
      <c r="F2169" s="588"/>
      <c r="G2169" s="586"/>
      <c r="H2169" s="599"/>
      <c r="I2169" s="595">
        <f t="shared" si="153"/>
        <v>0</v>
      </c>
      <c r="J2169" s="595">
        <f t="shared" si="154"/>
        <v>0</v>
      </c>
      <c r="K2169" s="596"/>
      <c r="L2169" s="597"/>
    </row>
    <row r="2170" spans="1:12" x14ac:dyDescent="0.2">
      <c r="A2170" s="316">
        <v>61</v>
      </c>
      <c r="B2170" s="591"/>
      <c r="C2170" s="598"/>
      <c r="D2170" s="586"/>
      <c r="E2170" s="587"/>
      <c r="F2170" s="588"/>
      <c r="G2170" s="586"/>
      <c r="H2170" s="599"/>
      <c r="I2170" s="595">
        <f t="shared" si="153"/>
        <v>0</v>
      </c>
      <c r="J2170" s="595">
        <f t="shared" si="154"/>
        <v>0</v>
      </c>
      <c r="K2170" s="596"/>
      <c r="L2170" s="597"/>
    </row>
    <row r="2171" spans="1:12" x14ac:dyDescent="0.2">
      <c r="A2171" s="316">
        <v>62</v>
      </c>
      <c r="B2171" s="591"/>
      <c r="C2171" s="598"/>
      <c r="D2171" s="586"/>
      <c r="E2171" s="587"/>
      <c r="F2171" s="588"/>
      <c r="G2171" s="586"/>
      <c r="H2171" s="599"/>
      <c r="I2171" s="595">
        <f t="shared" si="153"/>
        <v>0</v>
      </c>
      <c r="J2171" s="595">
        <f t="shared" si="154"/>
        <v>0</v>
      </c>
      <c r="K2171" s="596"/>
      <c r="L2171" s="597"/>
    </row>
    <row r="2172" spans="1:12" x14ac:dyDescent="0.2">
      <c r="A2172" s="316">
        <v>63</v>
      </c>
      <c r="B2172" s="591"/>
      <c r="C2172" s="598"/>
      <c r="D2172" s="586"/>
      <c r="E2172" s="587"/>
      <c r="F2172" s="588"/>
      <c r="G2172" s="586"/>
      <c r="H2172" s="599"/>
      <c r="I2172" s="595">
        <f t="shared" si="153"/>
        <v>0</v>
      </c>
      <c r="J2172" s="595">
        <f t="shared" si="154"/>
        <v>0</v>
      </c>
      <c r="K2172" s="596"/>
      <c r="L2172" s="597"/>
    </row>
    <row r="2173" spans="1:12" x14ac:dyDescent="0.2">
      <c r="A2173" s="316">
        <v>64</v>
      </c>
      <c r="B2173" s="591"/>
      <c r="C2173" s="598"/>
      <c r="D2173" s="586"/>
      <c r="E2173" s="587"/>
      <c r="F2173" s="588"/>
      <c r="G2173" s="586"/>
      <c r="H2173" s="599"/>
      <c r="I2173" s="595">
        <f t="shared" si="153"/>
        <v>0</v>
      </c>
      <c r="J2173" s="595">
        <f t="shared" si="154"/>
        <v>0</v>
      </c>
      <c r="K2173" s="596"/>
      <c r="L2173" s="597"/>
    </row>
    <row r="2174" spans="1:12" x14ac:dyDescent="0.2">
      <c r="A2174" s="316">
        <v>65</v>
      </c>
      <c r="B2174" s="591"/>
      <c r="C2174" s="598"/>
      <c r="D2174" s="586"/>
      <c r="E2174" s="587"/>
      <c r="F2174" s="588"/>
      <c r="G2174" s="586"/>
      <c r="H2174" s="599"/>
      <c r="I2174" s="595">
        <f t="shared" ref="I2174:I2237" si="155">K2174/1.11</f>
        <v>0</v>
      </c>
      <c r="J2174" s="595">
        <f t="shared" ref="J2174:J2237" si="156">I2174*11%</f>
        <v>0</v>
      </c>
      <c r="K2174" s="596"/>
      <c r="L2174" s="597"/>
    </row>
    <row r="2175" spans="1:12" x14ac:dyDescent="0.2">
      <c r="A2175" s="316">
        <v>66</v>
      </c>
      <c r="B2175" s="591"/>
      <c r="C2175" s="598"/>
      <c r="D2175" s="586"/>
      <c r="E2175" s="587"/>
      <c r="F2175" s="588"/>
      <c r="G2175" s="586"/>
      <c r="H2175" s="599"/>
      <c r="I2175" s="595">
        <f t="shared" si="155"/>
        <v>0</v>
      </c>
      <c r="J2175" s="595">
        <f t="shared" si="156"/>
        <v>0</v>
      </c>
      <c r="K2175" s="596"/>
      <c r="L2175" s="597"/>
    </row>
    <row r="2176" spans="1:12" x14ac:dyDescent="0.2">
      <c r="A2176" s="316">
        <v>67</v>
      </c>
      <c r="B2176" s="591"/>
      <c r="C2176" s="598"/>
      <c r="D2176" s="586"/>
      <c r="E2176" s="587"/>
      <c r="F2176" s="588"/>
      <c r="G2176" s="586"/>
      <c r="H2176" s="599"/>
      <c r="I2176" s="595">
        <f t="shared" si="155"/>
        <v>0</v>
      </c>
      <c r="J2176" s="595">
        <f t="shared" si="156"/>
        <v>0</v>
      </c>
      <c r="K2176" s="596"/>
      <c r="L2176" s="597"/>
    </row>
    <row r="2177" spans="1:12" x14ac:dyDescent="0.2">
      <c r="A2177" s="316">
        <v>68</v>
      </c>
      <c r="B2177" s="591"/>
      <c r="C2177" s="598"/>
      <c r="D2177" s="586"/>
      <c r="E2177" s="587"/>
      <c r="F2177" s="588"/>
      <c r="G2177" s="586"/>
      <c r="H2177" s="599"/>
      <c r="I2177" s="595">
        <f t="shared" si="155"/>
        <v>0</v>
      </c>
      <c r="J2177" s="595">
        <f t="shared" si="156"/>
        <v>0</v>
      </c>
      <c r="K2177" s="596"/>
      <c r="L2177" s="597"/>
    </row>
    <row r="2178" spans="1:12" x14ac:dyDescent="0.2">
      <c r="A2178" s="316">
        <v>69</v>
      </c>
      <c r="B2178" s="591"/>
      <c r="C2178" s="598"/>
      <c r="D2178" s="586"/>
      <c r="E2178" s="587"/>
      <c r="F2178" s="588"/>
      <c r="G2178" s="586"/>
      <c r="H2178" s="599"/>
      <c r="I2178" s="595">
        <f t="shared" si="155"/>
        <v>0</v>
      </c>
      <c r="J2178" s="595">
        <f t="shared" si="156"/>
        <v>0</v>
      </c>
      <c r="K2178" s="596"/>
      <c r="L2178" s="597"/>
    </row>
    <row r="2179" spans="1:12" x14ac:dyDescent="0.2">
      <c r="A2179" s="316">
        <v>70</v>
      </c>
      <c r="B2179" s="591"/>
      <c r="C2179" s="598"/>
      <c r="D2179" s="586"/>
      <c r="E2179" s="587"/>
      <c r="F2179" s="588"/>
      <c r="G2179" s="586"/>
      <c r="H2179" s="599"/>
      <c r="I2179" s="595">
        <f t="shared" si="155"/>
        <v>0</v>
      </c>
      <c r="J2179" s="595">
        <f t="shared" si="156"/>
        <v>0</v>
      </c>
      <c r="K2179" s="596"/>
      <c r="L2179" s="597"/>
    </row>
    <row r="2180" spans="1:12" x14ac:dyDescent="0.2">
      <c r="A2180" s="316">
        <v>71</v>
      </c>
      <c r="B2180" s="591"/>
      <c r="C2180" s="598"/>
      <c r="D2180" s="586"/>
      <c r="E2180" s="587"/>
      <c r="F2180" s="588"/>
      <c r="G2180" s="586"/>
      <c r="H2180" s="599"/>
      <c r="I2180" s="595">
        <f t="shared" si="155"/>
        <v>0</v>
      </c>
      <c r="J2180" s="595">
        <f t="shared" si="156"/>
        <v>0</v>
      </c>
      <c r="K2180" s="596"/>
      <c r="L2180" s="597"/>
    </row>
    <row r="2181" spans="1:12" x14ac:dyDescent="0.2">
      <c r="A2181" s="316">
        <v>72</v>
      </c>
      <c r="B2181" s="591"/>
      <c r="C2181" s="598"/>
      <c r="D2181" s="586"/>
      <c r="E2181" s="587"/>
      <c r="F2181" s="588"/>
      <c r="G2181" s="586"/>
      <c r="H2181" s="599"/>
      <c r="I2181" s="595">
        <f t="shared" si="155"/>
        <v>0</v>
      </c>
      <c r="J2181" s="595">
        <f t="shared" si="156"/>
        <v>0</v>
      </c>
      <c r="K2181" s="596"/>
      <c r="L2181" s="597"/>
    </row>
    <row r="2182" spans="1:12" x14ac:dyDescent="0.2">
      <c r="A2182" s="316">
        <v>73</v>
      </c>
      <c r="B2182" s="591"/>
      <c r="C2182" s="598"/>
      <c r="D2182" s="586"/>
      <c r="E2182" s="593"/>
      <c r="F2182" s="593"/>
      <c r="G2182" s="586"/>
      <c r="H2182" s="594"/>
      <c r="I2182" s="595">
        <f t="shared" si="155"/>
        <v>0</v>
      </c>
      <c r="J2182" s="595">
        <f t="shared" si="156"/>
        <v>0</v>
      </c>
      <c r="K2182" s="596"/>
      <c r="L2182" s="597"/>
    </row>
    <row r="2183" spans="1:12" x14ac:dyDescent="0.2">
      <c r="A2183" s="316">
        <v>74</v>
      </c>
      <c r="B2183" s="591"/>
      <c r="C2183" s="598"/>
      <c r="D2183" s="586"/>
      <c r="E2183" s="587"/>
      <c r="F2183" s="588"/>
      <c r="G2183" s="586"/>
      <c r="H2183" s="599"/>
      <c r="I2183" s="595">
        <f t="shared" si="155"/>
        <v>0</v>
      </c>
      <c r="J2183" s="595">
        <f t="shared" si="156"/>
        <v>0</v>
      </c>
      <c r="K2183" s="596"/>
      <c r="L2183" s="597"/>
    </row>
    <row r="2184" spans="1:12" x14ac:dyDescent="0.2">
      <c r="A2184" s="316">
        <v>75</v>
      </c>
      <c r="B2184" s="591"/>
      <c r="C2184" s="598"/>
      <c r="D2184" s="586"/>
      <c r="E2184" s="587"/>
      <c r="F2184" s="588"/>
      <c r="G2184" s="586"/>
      <c r="H2184" s="599"/>
      <c r="I2184" s="595">
        <f t="shared" si="155"/>
        <v>0</v>
      </c>
      <c r="J2184" s="595">
        <f t="shared" si="156"/>
        <v>0</v>
      </c>
      <c r="K2184" s="596"/>
      <c r="L2184" s="597"/>
    </row>
    <row r="2185" spans="1:12" x14ac:dyDescent="0.2">
      <c r="A2185" s="316">
        <v>76</v>
      </c>
      <c r="B2185" s="591"/>
      <c r="C2185" s="598"/>
      <c r="D2185" s="586"/>
      <c r="E2185" s="587"/>
      <c r="F2185" s="588"/>
      <c r="G2185" s="586"/>
      <c r="H2185" s="599"/>
      <c r="I2185" s="595">
        <f t="shared" si="155"/>
        <v>0</v>
      </c>
      <c r="J2185" s="595">
        <f t="shared" si="156"/>
        <v>0</v>
      </c>
      <c r="K2185" s="596"/>
      <c r="L2185" s="597"/>
    </row>
    <row r="2186" spans="1:12" x14ac:dyDescent="0.2">
      <c r="A2186" s="316">
        <v>77</v>
      </c>
      <c r="B2186" s="591"/>
      <c r="C2186" s="598"/>
      <c r="D2186" s="586"/>
      <c r="E2186" s="587"/>
      <c r="F2186" s="588"/>
      <c r="G2186" s="586"/>
      <c r="H2186" s="599"/>
      <c r="I2186" s="595">
        <f t="shared" si="155"/>
        <v>0</v>
      </c>
      <c r="J2186" s="595">
        <f t="shared" si="156"/>
        <v>0</v>
      </c>
      <c r="K2186" s="596"/>
      <c r="L2186" s="597"/>
    </row>
    <row r="2187" spans="1:12" x14ac:dyDescent="0.2">
      <c r="A2187" s="316">
        <v>78</v>
      </c>
      <c r="B2187" s="591"/>
      <c r="C2187" s="598"/>
      <c r="D2187" s="586"/>
      <c r="E2187" s="587"/>
      <c r="F2187" s="588"/>
      <c r="G2187" s="586"/>
      <c r="H2187" s="599"/>
      <c r="I2187" s="595">
        <f t="shared" si="155"/>
        <v>0</v>
      </c>
      <c r="J2187" s="595">
        <f t="shared" si="156"/>
        <v>0</v>
      </c>
      <c r="K2187" s="596"/>
      <c r="L2187" s="597"/>
    </row>
    <row r="2188" spans="1:12" x14ac:dyDescent="0.2">
      <c r="A2188" s="316">
        <v>79</v>
      </c>
      <c r="B2188" s="591"/>
      <c r="C2188" s="598"/>
      <c r="D2188" s="586"/>
      <c r="E2188" s="587"/>
      <c r="F2188" s="588"/>
      <c r="G2188" s="586"/>
      <c r="H2188" s="599"/>
      <c r="I2188" s="595">
        <f t="shared" si="155"/>
        <v>0</v>
      </c>
      <c r="J2188" s="595">
        <f t="shared" si="156"/>
        <v>0</v>
      </c>
      <c r="K2188" s="596"/>
      <c r="L2188" s="597"/>
    </row>
    <row r="2189" spans="1:12" x14ac:dyDescent="0.2">
      <c r="A2189" s="316">
        <v>80</v>
      </c>
      <c r="B2189" s="591"/>
      <c r="C2189" s="598"/>
      <c r="D2189" s="586"/>
      <c r="E2189" s="587"/>
      <c r="F2189" s="588"/>
      <c r="G2189" s="586"/>
      <c r="H2189" s="599"/>
      <c r="I2189" s="595">
        <f t="shared" si="155"/>
        <v>0</v>
      </c>
      <c r="J2189" s="595">
        <f t="shared" si="156"/>
        <v>0</v>
      </c>
      <c r="K2189" s="596"/>
      <c r="L2189" s="597"/>
    </row>
    <row r="2190" spans="1:12" x14ac:dyDescent="0.2">
      <c r="A2190" s="316">
        <v>81</v>
      </c>
      <c r="B2190" s="591"/>
      <c r="C2190" s="598"/>
      <c r="D2190" s="586"/>
      <c r="E2190" s="587"/>
      <c r="F2190" s="588"/>
      <c r="G2190" s="586"/>
      <c r="H2190" s="599"/>
      <c r="I2190" s="595">
        <f t="shared" si="155"/>
        <v>0</v>
      </c>
      <c r="J2190" s="595">
        <f t="shared" si="156"/>
        <v>0</v>
      </c>
      <c r="K2190" s="596"/>
      <c r="L2190" s="597"/>
    </row>
    <row r="2191" spans="1:12" x14ac:dyDescent="0.2">
      <c r="A2191" s="316">
        <v>82</v>
      </c>
      <c r="B2191" s="591"/>
      <c r="C2191" s="598"/>
      <c r="D2191" s="586"/>
      <c r="E2191" s="587"/>
      <c r="F2191" s="588"/>
      <c r="G2191" s="586"/>
      <c r="H2191" s="599"/>
      <c r="I2191" s="595">
        <f t="shared" si="155"/>
        <v>0</v>
      </c>
      <c r="J2191" s="595">
        <f t="shared" si="156"/>
        <v>0</v>
      </c>
      <c r="K2191" s="596"/>
      <c r="L2191" s="597"/>
    </row>
    <row r="2192" spans="1:12" x14ac:dyDescent="0.2">
      <c r="A2192" s="316">
        <v>83</v>
      </c>
      <c r="B2192" s="591"/>
      <c r="C2192" s="598"/>
      <c r="D2192" s="586"/>
      <c r="E2192" s="587"/>
      <c r="F2192" s="588"/>
      <c r="G2192" s="586"/>
      <c r="H2192" s="599"/>
      <c r="I2192" s="595">
        <f t="shared" si="155"/>
        <v>0</v>
      </c>
      <c r="J2192" s="595">
        <f t="shared" si="156"/>
        <v>0</v>
      </c>
      <c r="K2192" s="596"/>
      <c r="L2192" s="597"/>
    </row>
    <row r="2193" spans="1:12" x14ac:dyDescent="0.2">
      <c r="A2193" s="316">
        <v>84</v>
      </c>
      <c r="B2193" s="591"/>
      <c r="C2193" s="598"/>
      <c r="D2193" s="586"/>
      <c r="E2193" s="593"/>
      <c r="F2193" s="593"/>
      <c r="G2193" s="586"/>
      <c r="H2193" s="594"/>
      <c r="I2193" s="595">
        <f t="shared" si="155"/>
        <v>0</v>
      </c>
      <c r="J2193" s="595">
        <f t="shared" si="156"/>
        <v>0</v>
      </c>
      <c r="K2193" s="596"/>
      <c r="L2193" s="597"/>
    </row>
    <row r="2194" spans="1:12" x14ac:dyDescent="0.2">
      <c r="A2194" s="316">
        <v>85</v>
      </c>
      <c r="B2194" s="591"/>
      <c r="C2194" s="598"/>
      <c r="D2194" s="586"/>
      <c r="E2194" s="593"/>
      <c r="F2194" s="593"/>
      <c r="G2194" s="586"/>
      <c r="H2194" s="594"/>
      <c r="I2194" s="595">
        <f t="shared" si="155"/>
        <v>0</v>
      </c>
      <c r="J2194" s="595">
        <f t="shared" si="156"/>
        <v>0</v>
      </c>
      <c r="K2194" s="596"/>
      <c r="L2194" s="597"/>
    </row>
    <row r="2195" spans="1:12" x14ac:dyDescent="0.2">
      <c r="A2195" s="316">
        <v>86</v>
      </c>
      <c r="B2195" s="591"/>
      <c r="C2195" s="598"/>
      <c r="D2195" s="586"/>
      <c r="E2195" s="587"/>
      <c r="F2195" s="588"/>
      <c r="G2195" s="586"/>
      <c r="H2195" s="599"/>
      <c r="I2195" s="595">
        <f t="shared" si="155"/>
        <v>0</v>
      </c>
      <c r="J2195" s="595">
        <f t="shared" si="156"/>
        <v>0</v>
      </c>
      <c r="K2195" s="596"/>
      <c r="L2195" s="597"/>
    </row>
    <row r="2196" spans="1:12" x14ac:dyDescent="0.2">
      <c r="A2196" s="316">
        <v>87</v>
      </c>
      <c r="B2196" s="591"/>
      <c r="C2196" s="598"/>
      <c r="D2196" s="586"/>
      <c r="E2196" s="587"/>
      <c r="F2196" s="588"/>
      <c r="G2196" s="586"/>
      <c r="H2196" s="599"/>
      <c r="I2196" s="595">
        <f t="shared" si="155"/>
        <v>0</v>
      </c>
      <c r="J2196" s="595">
        <f t="shared" si="156"/>
        <v>0</v>
      </c>
      <c r="K2196" s="596"/>
      <c r="L2196" s="597"/>
    </row>
    <row r="2197" spans="1:12" x14ac:dyDescent="0.2">
      <c r="A2197" s="316">
        <v>88</v>
      </c>
      <c r="B2197" s="591"/>
      <c r="C2197" s="598"/>
      <c r="D2197" s="586"/>
      <c r="E2197" s="587"/>
      <c r="F2197" s="588"/>
      <c r="G2197" s="586"/>
      <c r="H2197" s="599"/>
      <c r="I2197" s="595">
        <f t="shared" si="155"/>
        <v>0</v>
      </c>
      <c r="J2197" s="595">
        <f t="shared" si="156"/>
        <v>0</v>
      </c>
      <c r="K2197" s="596"/>
      <c r="L2197" s="597"/>
    </row>
    <row r="2198" spans="1:12" x14ac:dyDescent="0.2">
      <c r="A2198" s="316">
        <v>89</v>
      </c>
      <c r="B2198" s="591"/>
      <c r="C2198" s="598"/>
      <c r="D2198" s="586"/>
      <c r="E2198" s="587"/>
      <c r="F2198" s="588"/>
      <c r="G2198" s="586"/>
      <c r="H2198" s="599"/>
      <c r="I2198" s="595">
        <f t="shared" si="155"/>
        <v>0</v>
      </c>
      <c r="J2198" s="595">
        <f t="shared" si="156"/>
        <v>0</v>
      </c>
      <c r="K2198" s="596"/>
      <c r="L2198" s="597"/>
    </row>
    <row r="2199" spans="1:12" x14ac:dyDescent="0.2">
      <c r="A2199" s="316">
        <v>90</v>
      </c>
      <c r="B2199" s="591"/>
      <c r="C2199" s="598"/>
      <c r="D2199" s="586"/>
      <c r="E2199" s="587"/>
      <c r="F2199" s="588"/>
      <c r="G2199" s="586"/>
      <c r="H2199" s="599"/>
      <c r="I2199" s="595">
        <f t="shared" si="155"/>
        <v>0</v>
      </c>
      <c r="J2199" s="595">
        <f t="shared" si="156"/>
        <v>0</v>
      </c>
      <c r="K2199" s="596"/>
      <c r="L2199" s="597"/>
    </row>
    <row r="2200" spans="1:12" x14ac:dyDescent="0.2">
      <c r="A2200" s="316">
        <v>91</v>
      </c>
      <c r="B2200" s="591"/>
      <c r="C2200" s="598"/>
      <c r="D2200" s="586"/>
      <c r="E2200" s="587"/>
      <c r="F2200" s="588"/>
      <c r="G2200" s="586"/>
      <c r="H2200" s="599"/>
      <c r="I2200" s="595">
        <f t="shared" si="155"/>
        <v>0</v>
      </c>
      <c r="J2200" s="595">
        <f t="shared" si="156"/>
        <v>0</v>
      </c>
      <c r="K2200" s="596"/>
      <c r="L2200" s="597"/>
    </row>
    <row r="2201" spans="1:12" x14ac:dyDescent="0.2">
      <c r="A2201" s="316">
        <v>92</v>
      </c>
      <c r="B2201" s="591"/>
      <c r="C2201" s="598"/>
      <c r="D2201" s="586"/>
      <c r="E2201" s="587"/>
      <c r="F2201" s="588"/>
      <c r="G2201" s="586"/>
      <c r="H2201" s="599"/>
      <c r="I2201" s="595">
        <f t="shared" si="155"/>
        <v>0</v>
      </c>
      <c r="J2201" s="595">
        <f t="shared" si="156"/>
        <v>0</v>
      </c>
      <c r="K2201" s="596"/>
      <c r="L2201" s="597"/>
    </row>
    <row r="2202" spans="1:12" x14ac:dyDescent="0.2">
      <c r="A2202" s="316">
        <v>93</v>
      </c>
      <c r="B2202" s="591"/>
      <c r="C2202" s="598"/>
      <c r="D2202" s="586"/>
      <c r="E2202" s="587"/>
      <c r="F2202" s="588"/>
      <c r="G2202" s="586"/>
      <c r="H2202" s="599"/>
      <c r="I2202" s="595">
        <f t="shared" si="155"/>
        <v>0</v>
      </c>
      <c r="J2202" s="595">
        <f t="shared" si="156"/>
        <v>0</v>
      </c>
      <c r="K2202" s="596"/>
      <c r="L2202" s="597"/>
    </row>
    <row r="2203" spans="1:12" x14ac:dyDescent="0.2">
      <c r="A2203" s="316">
        <v>94</v>
      </c>
      <c r="B2203" s="591"/>
      <c r="C2203" s="598"/>
      <c r="D2203" s="586"/>
      <c r="E2203" s="587"/>
      <c r="F2203" s="588"/>
      <c r="G2203" s="586"/>
      <c r="H2203" s="599"/>
      <c r="I2203" s="595">
        <f t="shared" si="155"/>
        <v>0</v>
      </c>
      <c r="J2203" s="595">
        <f t="shared" si="156"/>
        <v>0</v>
      </c>
      <c r="K2203" s="596"/>
      <c r="L2203" s="597"/>
    </row>
    <row r="2204" spans="1:12" x14ac:dyDescent="0.2">
      <c r="A2204" s="316">
        <v>95</v>
      </c>
      <c r="B2204" s="591"/>
      <c r="C2204" s="598"/>
      <c r="D2204" s="586"/>
      <c r="E2204" s="587"/>
      <c r="F2204" s="588"/>
      <c r="G2204" s="586"/>
      <c r="H2204" s="599"/>
      <c r="I2204" s="595">
        <f t="shared" si="155"/>
        <v>0</v>
      </c>
      <c r="J2204" s="595">
        <f t="shared" si="156"/>
        <v>0</v>
      </c>
      <c r="K2204" s="596"/>
      <c r="L2204" s="597"/>
    </row>
    <row r="2205" spans="1:12" x14ac:dyDescent="0.2">
      <c r="A2205" s="316">
        <v>96</v>
      </c>
      <c r="B2205" s="591"/>
      <c r="C2205" s="602"/>
      <c r="D2205" s="603"/>
      <c r="E2205" s="604"/>
      <c r="F2205" s="605"/>
      <c r="G2205" s="654"/>
      <c r="H2205" s="606"/>
      <c r="I2205" s="595">
        <f t="shared" si="155"/>
        <v>0</v>
      </c>
      <c r="J2205" s="595">
        <f t="shared" si="156"/>
        <v>0</v>
      </c>
      <c r="K2205" s="596"/>
      <c r="L2205" s="597"/>
    </row>
    <row r="2206" spans="1:12" x14ac:dyDescent="0.2">
      <c r="A2206" s="316">
        <v>97</v>
      </c>
      <c r="B2206" s="591"/>
      <c r="C2206" s="598"/>
      <c r="D2206" s="586"/>
      <c r="E2206" s="593"/>
      <c r="F2206" s="593"/>
      <c r="G2206" s="586"/>
      <c r="H2206" s="599"/>
      <c r="I2206" s="595">
        <f t="shared" si="155"/>
        <v>0</v>
      </c>
      <c r="J2206" s="595">
        <f t="shared" si="156"/>
        <v>0</v>
      </c>
      <c r="K2206" s="596"/>
      <c r="L2206" s="597"/>
    </row>
    <row r="2207" spans="1:12" x14ac:dyDescent="0.2">
      <c r="A2207" s="316">
        <v>98</v>
      </c>
      <c r="B2207" s="591"/>
      <c r="C2207" s="598"/>
      <c r="D2207" s="586"/>
      <c r="E2207" s="587"/>
      <c r="F2207" s="588"/>
      <c r="G2207" s="586"/>
      <c r="H2207" s="599"/>
      <c r="I2207" s="595">
        <f t="shared" si="155"/>
        <v>0</v>
      </c>
      <c r="J2207" s="595">
        <f t="shared" si="156"/>
        <v>0</v>
      </c>
      <c r="K2207" s="596"/>
      <c r="L2207" s="597"/>
    </row>
    <row r="2208" spans="1:12" x14ac:dyDescent="0.2">
      <c r="A2208" s="316">
        <v>99</v>
      </c>
      <c r="B2208" s="591"/>
      <c r="C2208" s="598"/>
      <c r="D2208" s="586"/>
      <c r="E2208" s="587"/>
      <c r="F2208" s="588"/>
      <c r="G2208" s="586"/>
      <c r="H2208" s="599"/>
      <c r="I2208" s="595">
        <f t="shared" si="155"/>
        <v>0</v>
      </c>
      <c r="J2208" s="595">
        <f t="shared" si="156"/>
        <v>0</v>
      </c>
      <c r="K2208" s="596"/>
      <c r="L2208" s="597"/>
    </row>
    <row r="2209" spans="1:12" x14ac:dyDescent="0.2">
      <c r="A2209" s="316">
        <v>100</v>
      </c>
      <c r="B2209" s="591"/>
      <c r="C2209" s="598"/>
      <c r="D2209" s="586"/>
      <c r="E2209" s="587"/>
      <c r="F2209" s="588"/>
      <c r="G2209" s="586"/>
      <c r="H2209" s="599"/>
      <c r="I2209" s="595">
        <f t="shared" si="155"/>
        <v>0</v>
      </c>
      <c r="J2209" s="595">
        <f t="shared" si="156"/>
        <v>0</v>
      </c>
      <c r="K2209" s="596"/>
      <c r="L2209" s="597"/>
    </row>
    <row r="2210" spans="1:12" x14ac:dyDescent="0.2">
      <c r="A2210" s="316">
        <v>101</v>
      </c>
      <c r="B2210" s="591"/>
      <c r="C2210" s="598"/>
      <c r="D2210" s="586"/>
      <c r="E2210" s="587"/>
      <c r="F2210" s="588"/>
      <c r="G2210" s="586"/>
      <c r="H2210" s="599"/>
      <c r="I2210" s="595">
        <f t="shared" si="155"/>
        <v>0</v>
      </c>
      <c r="J2210" s="595">
        <f t="shared" si="156"/>
        <v>0</v>
      </c>
      <c r="K2210" s="596"/>
      <c r="L2210" s="597"/>
    </row>
    <row r="2211" spans="1:12" x14ac:dyDescent="0.2">
      <c r="A2211" s="316">
        <v>102</v>
      </c>
      <c r="B2211" s="591"/>
      <c r="C2211" s="598"/>
      <c r="D2211" s="586"/>
      <c r="E2211" s="587"/>
      <c r="F2211" s="588"/>
      <c r="G2211" s="586"/>
      <c r="H2211" s="599"/>
      <c r="I2211" s="595">
        <f t="shared" si="155"/>
        <v>0</v>
      </c>
      <c r="J2211" s="595">
        <f t="shared" si="156"/>
        <v>0</v>
      </c>
      <c r="K2211" s="596"/>
      <c r="L2211" s="597"/>
    </row>
    <row r="2212" spans="1:12" x14ac:dyDescent="0.2">
      <c r="A2212" s="316">
        <v>103</v>
      </c>
      <c r="B2212" s="591"/>
      <c r="C2212" s="598"/>
      <c r="D2212" s="586"/>
      <c r="E2212" s="587"/>
      <c r="F2212" s="588"/>
      <c r="G2212" s="586"/>
      <c r="H2212" s="599"/>
      <c r="I2212" s="595">
        <f t="shared" si="155"/>
        <v>0</v>
      </c>
      <c r="J2212" s="595">
        <f t="shared" si="156"/>
        <v>0</v>
      </c>
      <c r="K2212" s="596"/>
      <c r="L2212" s="597"/>
    </row>
    <row r="2213" spans="1:12" x14ac:dyDescent="0.2">
      <c r="A2213" s="316">
        <v>104</v>
      </c>
      <c r="B2213" s="591"/>
      <c r="C2213" s="598"/>
      <c r="D2213" s="586"/>
      <c r="E2213" s="587"/>
      <c r="F2213" s="588"/>
      <c r="G2213" s="586"/>
      <c r="H2213" s="599"/>
      <c r="I2213" s="595">
        <f t="shared" si="155"/>
        <v>0</v>
      </c>
      <c r="J2213" s="595">
        <f t="shared" si="156"/>
        <v>0</v>
      </c>
      <c r="K2213" s="596"/>
      <c r="L2213" s="597"/>
    </row>
    <row r="2214" spans="1:12" x14ac:dyDescent="0.2">
      <c r="A2214" s="316">
        <v>105</v>
      </c>
      <c r="B2214" s="591"/>
      <c r="C2214" s="598"/>
      <c r="D2214" s="586"/>
      <c r="E2214" s="587"/>
      <c r="F2214" s="588"/>
      <c r="G2214" s="586"/>
      <c r="H2214" s="599"/>
      <c r="I2214" s="595">
        <f t="shared" si="155"/>
        <v>0</v>
      </c>
      <c r="J2214" s="595">
        <f t="shared" si="156"/>
        <v>0</v>
      </c>
      <c r="K2214" s="596"/>
      <c r="L2214" s="597"/>
    </row>
    <row r="2215" spans="1:12" x14ac:dyDescent="0.2">
      <c r="A2215" s="316">
        <v>106</v>
      </c>
      <c r="B2215" s="591"/>
      <c r="C2215" s="598"/>
      <c r="D2215" s="586"/>
      <c r="E2215" s="587"/>
      <c r="F2215" s="588"/>
      <c r="G2215" s="586"/>
      <c r="H2215" s="599"/>
      <c r="I2215" s="595">
        <f t="shared" si="155"/>
        <v>0</v>
      </c>
      <c r="J2215" s="595">
        <f t="shared" si="156"/>
        <v>0</v>
      </c>
      <c r="K2215" s="596"/>
      <c r="L2215" s="597"/>
    </row>
    <row r="2216" spans="1:12" x14ac:dyDescent="0.2">
      <c r="A2216" s="316">
        <v>107</v>
      </c>
      <c r="B2216" s="591"/>
      <c r="C2216" s="602"/>
      <c r="D2216" s="603"/>
      <c r="E2216" s="604"/>
      <c r="F2216" s="605"/>
      <c r="G2216" s="654"/>
      <c r="H2216" s="606"/>
      <c r="I2216" s="595">
        <f t="shared" si="155"/>
        <v>0</v>
      </c>
      <c r="J2216" s="595">
        <f t="shared" si="156"/>
        <v>0</v>
      </c>
      <c r="K2216" s="596"/>
      <c r="L2216" s="597"/>
    </row>
    <row r="2217" spans="1:12" x14ac:dyDescent="0.2">
      <c r="A2217" s="316">
        <v>108</v>
      </c>
      <c r="B2217" s="591"/>
      <c r="C2217" s="598"/>
      <c r="D2217" s="586"/>
      <c r="E2217" s="593"/>
      <c r="F2217" s="593"/>
      <c r="G2217" s="586"/>
      <c r="H2217" s="599"/>
      <c r="I2217" s="595">
        <f t="shared" si="155"/>
        <v>0</v>
      </c>
      <c r="J2217" s="595">
        <f t="shared" si="156"/>
        <v>0</v>
      </c>
      <c r="K2217" s="596"/>
      <c r="L2217" s="597"/>
    </row>
    <row r="2218" spans="1:12" x14ac:dyDescent="0.2">
      <c r="A2218" s="316">
        <v>109</v>
      </c>
      <c r="B2218" s="591"/>
      <c r="C2218" s="598"/>
      <c r="D2218" s="586"/>
      <c r="E2218" s="587"/>
      <c r="F2218" s="588"/>
      <c r="G2218" s="586"/>
      <c r="H2218" s="599"/>
      <c r="I2218" s="595">
        <f t="shared" si="155"/>
        <v>0</v>
      </c>
      <c r="J2218" s="595">
        <f t="shared" si="156"/>
        <v>0</v>
      </c>
      <c r="K2218" s="596"/>
      <c r="L2218" s="597"/>
    </row>
    <row r="2219" spans="1:12" x14ac:dyDescent="0.2">
      <c r="A2219" s="316">
        <v>110</v>
      </c>
      <c r="B2219" s="591"/>
      <c r="C2219" s="598"/>
      <c r="D2219" s="586"/>
      <c r="E2219" s="587"/>
      <c r="F2219" s="588"/>
      <c r="G2219" s="586"/>
      <c r="H2219" s="599"/>
      <c r="I2219" s="595">
        <f t="shared" si="155"/>
        <v>0</v>
      </c>
      <c r="J2219" s="595">
        <f t="shared" si="156"/>
        <v>0</v>
      </c>
      <c r="K2219" s="596"/>
      <c r="L2219" s="597"/>
    </row>
    <row r="2220" spans="1:12" x14ac:dyDescent="0.2">
      <c r="A2220" s="316">
        <v>111</v>
      </c>
      <c r="B2220" s="591"/>
      <c r="C2220" s="598"/>
      <c r="D2220" s="586"/>
      <c r="E2220" s="587"/>
      <c r="F2220" s="588"/>
      <c r="G2220" s="586"/>
      <c r="H2220" s="599"/>
      <c r="I2220" s="595">
        <f t="shared" si="155"/>
        <v>0</v>
      </c>
      <c r="J2220" s="595">
        <f t="shared" si="156"/>
        <v>0</v>
      </c>
      <c r="K2220" s="596"/>
      <c r="L2220" s="597"/>
    </row>
    <row r="2221" spans="1:12" x14ac:dyDescent="0.2">
      <c r="A2221" s="316">
        <v>112</v>
      </c>
      <c r="B2221" s="591"/>
      <c r="C2221" s="598"/>
      <c r="D2221" s="586"/>
      <c r="E2221" s="587"/>
      <c r="F2221" s="588"/>
      <c r="G2221" s="586"/>
      <c r="H2221" s="599"/>
      <c r="I2221" s="595">
        <f t="shared" si="155"/>
        <v>0</v>
      </c>
      <c r="J2221" s="595">
        <f t="shared" si="156"/>
        <v>0</v>
      </c>
      <c r="K2221" s="596"/>
      <c r="L2221" s="597"/>
    </row>
    <row r="2222" spans="1:12" x14ac:dyDescent="0.2">
      <c r="A2222" s="316">
        <v>113</v>
      </c>
      <c r="B2222" s="591"/>
      <c r="C2222" s="598"/>
      <c r="D2222" s="586"/>
      <c r="E2222" s="587"/>
      <c r="F2222" s="588"/>
      <c r="G2222" s="586"/>
      <c r="H2222" s="599"/>
      <c r="I2222" s="595">
        <f t="shared" si="155"/>
        <v>0</v>
      </c>
      <c r="J2222" s="595">
        <f t="shared" si="156"/>
        <v>0</v>
      </c>
      <c r="K2222" s="596"/>
      <c r="L2222" s="597"/>
    </row>
    <row r="2223" spans="1:12" x14ac:dyDescent="0.2">
      <c r="A2223" s="316">
        <v>114</v>
      </c>
      <c r="B2223" s="591"/>
      <c r="C2223" s="598"/>
      <c r="D2223" s="586"/>
      <c r="E2223" s="587"/>
      <c r="F2223" s="588"/>
      <c r="G2223" s="586"/>
      <c r="H2223" s="599"/>
      <c r="I2223" s="595">
        <f t="shared" si="155"/>
        <v>0</v>
      </c>
      <c r="J2223" s="595">
        <f t="shared" si="156"/>
        <v>0</v>
      </c>
      <c r="K2223" s="596"/>
      <c r="L2223" s="597"/>
    </row>
    <row r="2224" spans="1:12" x14ac:dyDescent="0.2">
      <c r="A2224" s="316">
        <v>115</v>
      </c>
      <c r="B2224" s="591"/>
      <c r="C2224" s="598"/>
      <c r="D2224" s="586"/>
      <c r="E2224" s="587"/>
      <c r="F2224" s="588"/>
      <c r="G2224" s="586"/>
      <c r="H2224" s="599"/>
      <c r="I2224" s="595">
        <f t="shared" si="155"/>
        <v>0</v>
      </c>
      <c r="J2224" s="595">
        <f t="shared" si="156"/>
        <v>0</v>
      </c>
      <c r="K2224" s="596"/>
      <c r="L2224" s="597"/>
    </row>
    <row r="2225" spans="1:12" x14ac:dyDescent="0.2">
      <c r="A2225" s="316">
        <v>116</v>
      </c>
      <c r="B2225" s="591"/>
      <c r="C2225" s="598"/>
      <c r="D2225" s="586"/>
      <c r="E2225" s="587"/>
      <c r="F2225" s="588"/>
      <c r="G2225" s="586"/>
      <c r="H2225" s="599"/>
      <c r="I2225" s="595">
        <f t="shared" si="155"/>
        <v>0</v>
      </c>
      <c r="J2225" s="595">
        <f t="shared" si="156"/>
        <v>0</v>
      </c>
      <c r="K2225" s="596"/>
      <c r="L2225" s="597"/>
    </row>
    <row r="2226" spans="1:12" x14ac:dyDescent="0.2">
      <c r="A2226" s="316">
        <v>117</v>
      </c>
      <c r="B2226" s="591"/>
      <c r="C2226" s="598"/>
      <c r="D2226" s="586"/>
      <c r="E2226" s="587"/>
      <c r="F2226" s="588"/>
      <c r="G2226" s="586"/>
      <c r="H2226" s="599"/>
      <c r="I2226" s="595">
        <f t="shared" si="155"/>
        <v>0</v>
      </c>
      <c r="J2226" s="595">
        <f t="shared" si="156"/>
        <v>0</v>
      </c>
      <c r="K2226" s="596"/>
      <c r="L2226" s="597"/>
    </row>
    <row r="2227" spans="1:12" x14ac:dyDescent="0.2">
      <c r="A2227" s="316">
        <v>118</v>
      </c>
      <c r="B2227" s="591"/>
      <c r="C2227" s="602"/>
      <c r="D2227" s="603"/>
      <c r="E2227" s="604"/>
      <c r="F2227" s="605"/>
      <c r="G2227" s="654"/>
      <c r="H2227" s="606"/>
      <c r="I2227" s="595">
        <f t="shared" si="155"/>
        <v>0</v>
      </c>
      <c r="J2227" s="595">
        <f t="shared" si="156"/>
        <v>0</v>
      </c>
      <c r="K2227" s="596"/>
      <c r="L2227" s="597"/>
    </row>
    <row r="2228" spans="1:12" x14ac:dyDescent="0.2">
      <c r="A2228" s="316">
        <v>119</v>
      </c>
      <c r="B2228" s="591"/>
      <c r="C2228" s="598"/>
      <c r="D2228" s="586"/>
      <c r="E2228" s="593"/>
      <c r="F2228" s="593"/>
      <c r="G2228" s="586"/>
      <c r="H2228" s="599"/>
      <c r="I2228" s="595">
        <f t="shared" si="155"/>
        <v>0</v>
      </c>
      <c r="J2228" s="595">
        <f t="shared" si="156"/>
        <v>0</v>
      </c>
      <c r="K2228" s="596"/>
      <c r="L2228" s="597"/>
    </row>
    <row r="2229" spans="1:12" x14ac:dyDescent="0.2">
      <c r="A2229" s="316">
        <v>120</v>
      </c>
      <c r="B2229" s="591"/>
      <c r="C2229" s="598"/>
      <c r="D2229" s="586"/>
      <c r="E2229" s="587"/>
      <c r="F2229" s="588"/>
      <c r="G2229" s="586"/>
      <c r="H2229" s="599"/>
      <c r="I2229" s="595">
        <f t="shared" si="155"/>
        <v>0</v>
      </c>
      <c r="J2229" s="595">
        <f t="shared" si="156"/>
        <v>0</v>
      </c>
      <c r="K2229" s="596"/>
      <c r="L2229" s="597"/>
    </row>
    <row r="2230" spans="1:12" x14ac:dyDescent="0.2">
      <c r="A2230" s="316">
        <v>121</v>
      </c>
      <c r="B2230" s="591"/>
      <c r="C2230" s="598"/>
      <c r="D2230" s="586"/>
      <c r="E2230" s="587"/>
      <c r="F2230" s="588"/>
      <c r="G2230" s="586"/>
      <c r="H2230" s="599"/>
      <c r="I2230" s="595">
        <f t="shared" si="155"/>
        <v>0</v>
      </c>
      <c r="J2230" s="595">
        <f t="shared" si="156"/>
        <v>0</v>
      </c>
      <c r="K2230" s="596"/>
      <c r="L2230" s="597"/>
    </row>
    <row r="2231" spans="1:12" x14ac:dyDescent="0.2">
      <c r="A2231" s="316">
        <v>122</v>
      </c>
      <c r="B2231" s="591"/>
      <c r="C2231" s="598"/>
      <c r="D2231" s="586"/>
      <c r="E2231" s="587"/>
      <c r="F2231" s="588"/>
      <c r="G2231" s="586"/>
      <c r="H2231" s="599"/>
      <c r="I2231" s="595">
        <f t="shared" si="155"/>
        <v>0</v>
      </c>
      <c r="J2231" s="595">
        <f t="shared" si="156"/>
        <v>0</v>
      </c>
      <c r="K2231" s="596"/>
      <c r="L2231" s="597"/>
    </row>
    <row r="2232" spans="1:12" x14ac:dyDescent="0.2">
      <c r="A2232" s="316">
        <v>123</v>
      </c>
      <c r="B2232" s="591"/>
      <c r="C2232" s="598"/>
      <c r="D2232" s="586"/>
      <c r="E2232" s="587"/>
      <c r="F2232" s="588"/>
      <c r="G2232" s="586"/>
      <c r="H2232" s="599"/>
      <c r="I2232" s="595">
        <f t="shared" si="155"/>
        <v>0</v>
      </c>
      <c r="J2232" s="595">
        <f t="shared" si="156"/>
        <v>0</v>
      </c>
      <c r="K2232" s="596"/>
      <c r="L2232" s="597"/>
    </row>
    <row r="2233" spans="1:12" x14ac:dyDescent="0.2">
      <c r="A2233" s="316">
        <v>124</v>
      </c>
      <c r="B2233" s="591"/>
      <c r="C2233" s="598"/>
      <c r="D2233" s="586"/>
      <c r="E2233" s="587"/>
      <c r="F2233" s="588"/>
      <c r="G2233" s="586"/>
      <c r="H2233" s="599"/>
      <c r="I2233" s="595">
        <f t="shared" si="155"/>
        <v>0</v>
      </c>
      <c r="J2233" s="595">
        <f t="shared" si="156"/>
        <v>0</v>
      </c>
      <c r="K2233" s="596"/>
      <c r="L2233" s="597"/>
    </row>
    <row r="2234" spans="1:12" x14ac:dyDescent="0.2">
      <c r="A2234" s="316">
        <v>125</v>
      </c>
      <c r="B2234" s="591"/>
      <c r="C2234" s="598"/>
      <c r="D2234" s="586"/>
      <c r="E2234" s="587"/>
      <c r="F2234" s="588"/>
      <c r="G2234" s="586"/>
      <c r="H2234" s="599"/>
      <c r="I2234" s="595">
        <f t="shared" si="155"/>
        <v>0</v>
      </c>
      <c r="J2234" s="595">
        <f t="shared" si="156"/>
        <v>0</v>
      </c>
      <c r="K2234" s="596"/>
      <c r="L2234" s="597"/>
    </row>
    <row r="2235" spans="1:12" x14ac:dyDescent="0.2">
      <c r="A2235" s="316">
        <v>126</v>
      </c>
      <c r="B2235" s="591"/>
      <c r="C2235" s="598"/>
      <c r="D2235" s="586"/>
      <c r="E2235" s="587"/>
      <c r="F2235" s="588"/>
      <c r="G2235" s="586"/>
      <c r="H2235" s="599"/>
      <c r="I2235" s="595">
        <f t="shared" si="155"/>
        <v>0</v>
      </c>
      <c r="J2235" s="595">
        <f t="shared" si="156"/>
        <v>0</v>
      </c>
      <c r="K2235" s="596"/>
      <c r="L2235" s="597"/>
    </row>
    <row r="2236" spans="1:12" x14ac:dyDescent="0.2">
      <c r="A2236" s="316">
        <v>127</v>
      </c>
      <c r="B2236" s="591"/>
      <c r="C2236" s="598"/>
      <c r="D2236" s="586"/>
      <c r="E2236" s="587"/>
      <c r="F2236" s="588"/>
      <c r="G2236" s="586"/>
      <c r="H2236" s="599"/>
      <c r="I2236" s="595">
        <f t="shared" si="155"/>
        <v>0</v>
      </c>
      <c r="J2236" s="595">
        <f t="shared" si="156"/>
        <v>0</v>
      </c>
      <c r="K2236" s="596"/>
      <c r="L2236" s="597"/>
    </row>
    <row r="2237" spans="1:12" x14ac:dyDescent="0.2">
      <c r="A2237" s="316">
        <v>128</v>
      </c>
      <c r="B2237" s="591"/>
      <c r="C2237" s="598"/>
      <c r="D2237" s="586"/>
      <c r="E2237" s="587"/>
      <c r="F2237" s="588"/>
      <c r="G2237" s="586"/>
      <c r="H2237" s="599"/>
      <c r="I2237" s="595">
        <f t="shared" si="155"/>
        <v>0</v>
      </c>
      <c r="J2237" s="595">
        <f t="shared" si="156"/>
        <v>0</v>
      </c>
      <c r="K2237" s="596"/>
      <c r="L2237" s="597"/>
    </row>
    <row r="2238" spans="1:12" x14ac:dyDescent="0.2">
      <c r="A2238" s="316">
        <v>129</v>
      </c>
      <c r="B2238" s="591"/>
      <c r="C2238" s="602"/>
      <c r="D2238" s="603"/>
      <c r="E2238" s="604"/>
      <c r="F2238" s="605"/>
      <c r="G2238" s="654"/>
      <c r="H2238" s="606"/>
      <c r="I2238" s="595">
        <f t="shared" ref="I2238:I2259" si="157">K2238/1.11</f>
        <v>0</v>
      </c>
      <c r="J2238" s="595">
        <f t="shared" ref="J2238:J2259" si="158">I2238*11%</f>
        <v>0</v>
      </c>
      <c r="K2238" s="596"/>
      <c r="L2238" s="597"/>
    </row>
    <row r="2239" spans="1:12" x14ac:dyDescent="0.2">
      <c r="A2239" s="316">
        <v>130</v>
      </c>
      <c r="B2239" s="591"/>
      <c r="C2239" s="598"/>
      <c r="D2239" s="586"/>
      <c r="E2239" s="593"/>
      <c r="F2239" s="593"/>
      <c r="G2239" s="586"/>
      <c r="H2239" s="599"/>
      <c r="I2239" s="595">
        <f t="shared" si="157"/>
        <v>0</v>
      </c>
      <c r="J2239" s="595">
        <f t="shared" si="158"/>
        <v>0</v>
      </c>
      <c r="K2239" s="596"/>
      <c r="L2239" s="597"/>
    </row>
    <row r="2240" spans="1:12" x14ac:dyDescent="0.2">
      <c r="A2240" s="316">
        <v>131</v>
      </c>
      <c r="B2240" s="591"/>
      <c r="C2240" s="598"/>
      <c r="D2240" s="586"/>
      <c r="E2240" s="587"/>
      <c r="F2240" s="588"/>
      <c r="G2240" s="586"/>
      <c r="H2240" s="599"/>
      <c r="I2240" s="595">
        <f t="shared" si="157"/>
        <v>0</v>
      </c>
      <c r="J2240" s="595">
        <f t="shared" si="158"/>
        <v>0</v>
      </c>
      <c r="K2240" s="596"/>
      <c r="L2240" s="597"/>
    </row>
    <row r="2241" spans="1:12" x14ac:dyDescent="0.2">
      <c r="A2241" s="316">
        <v>132</v>
      </c>
      <c r="B2241" s="591"/>
      <c r="C2241" s="598"/>
      <c r="D2241" s="586"/>
      <c r="E2241" s="587"/>
      <c r="F2241" s="588"/>
      <c r="G2241" s="586"/>
      <c r="H2241" s="599"/>
      <c r="I2241" s="595">
        <f t="shared" si="157"/>
        <v>0</v>
      </c>
      <c r="J2241" s="595">
        <f t="shared" si="158"/>
        <v>0</v>
      </c>
      <c r="K2241" s="596"/>
      <c r="L2241" s="597"/>
    </row>
    <row r="2242" spans="1:12" x14ac:dyDescent="0.2">
      <c r="A2242" s="316">
        <v>133</v>
      </c>
      <c r="B2242" s="591"/>
      <c r="C2242" s="598"/>
      <c r="D2242" s="586"/>
      <c r="E2242" s="587"/>
      <c r="F2242" s="588"/>
      <c r="G2242" s="586"/>
      <c r="H2242" s="599"/>
      <c r="I2242" s="595">
        <f t="shared" si="157"/>
        <v>0</v>
      </c>
      <c r="J2242" s="595">
        <f t="shared" si="158"/>
        <v>0</v>
      </c>
      <c r="K2242" s="596"/>
      <c r="L2242" s="597"/>
    </row>
    <row r="2243" spans="1:12" x14ac:dyDescent="0.2">
      <c r="A2243" s="316">
        <v>134</v>
      </c>
      <c r="B2243" s="591"/>
      <c r="C2243" s="598"/>
      <c r="D2243" s="586"/>
      <c r="E2243" s="587"/>
      <c r="F2243" s="588"/>
      <c r="G2243" s="586"/>
      <c r="H2243" s="599"/>
      <c r="I2243" s="595">
        <f t="shared" si="157"/>
        <v>0</v>
      </c>
      <c r="J2243" s="595">
        <f t="shared" si="158"/>
        <v>0</v>
      </c>
      <c r="K2243" s="596"/>
      <c r="L2243" s="597"/>
    </row>
    <row r="2244" spans="1:12" x14ac:dyDescent="0.2">
      <c r="A2244" s="316">
        <v>135</v>
      </c>
      <c r="B2244" s="591"/>
      <c r="C2244" s="598"/>
      <c r="D2244" s="586"/>
      <c r="E2244" s="587"/>
      <c r="F2244" s="588"/>
      <c r="G2244" s="586"/>
      <c r="H2244" s="599"/>
      <c r="I2244" s="595">
        <f t="shared" si="157"/>
        <v>0</v>
      </c>
      <c r="J2244" s="595">
        <f t="shared" si="158"/>
        <v>0</v>
      </c>
      <c r="K2244" s="596"/>
      <c r="L2244" s="597"/>
    </row>
    <row r="2245" spans="1:12" x14ac:dyDescent="0.2">
      <c r="A2245" s="316">
        <v>136</v>
      </c>
      <c r="B2245" s="591"/>
      <c r="C2245" s="598"/>
      <c r="D2245" s="586"/>
      <c r="E2245" s="587"/>
      <c r="F2245" s="588"/>
      <c r="G2245" s="586"/>
      <c r="H2245" s="599"/>
      <c r="I2245" s="595">
        <f t="shared" si="157"/>
        <v>0</v>
      </c>
      <c r="J2245" s="595">
        <f t="shared" si="158"/>
        <v>0</v>
      </c>
      <c r="K2245" s="596"/>
      <c r="L2245" s="597"/>
    </row>
    <row r="2246" spans="1:12" x14ac:dyDescent="0.2">
      <c r="A2246" s="316">
        <v>137</v>
      </c>
      <c r="B2246" s="591"/>
      <c r="C2246" s="598"/>
      <c r="D2246" s="586"/>
      <c r="E2246" s="587"/>
      <c r="F2246" s="588"/>
      <c r="G2246" s="586"/>
      <c r="H2246" s="599"/>
      <c r="I2246" s="595">
        <f t="shared" si="157"/>
        <v>0</v>
      </c>
      <c r="J2246" s="595">
        <f t="shared" si="158"/>
        <v>0</v>
      </c>
      <c r="K2246" s="596"/>
      <c r="L2246" s="597"/>
    </row>
    <row r="2247" spans="1:12" x14ac:dyDescent="0.2">
      <c r="A2247" s="316">
        <v>138</v>
      </c>
      <c r="B2247" s="591"/>
      <c r="C2247" s="598"/>
      <c r="D2247" s="586"/>
      <c r="E2247" s="587"/>
      <c r="F2247" s="588"/>
      <c r="G2247" s="586"/>
      <c r="H2247" s="599"/>
      <c r="I2247" s="595">
        <f t="shared" si="157"/>
        <v>0</v>
      </c>
      <c r="J2247" s="595">
        <f t="shared" si="158"/>
        <v>0</v>
      </c>
      <c r="K2247" s="596"/>
      <c r="L2247" s="597"/>
    </row>
    <row r="2248" spans="1:12" x14ac:dyDescent="0.2">
      <c r="A2248" s="316">
        <v>139</v>
      </c>
      <c r="B2248" s="591"/>
      <c r="C2248" s="598"/>
      <c r="D2248" s="586"/>
      <c r="E2248" s="587"/>
      <c r="F2248" s="588"/>
      <c r="G2248" s="586"/>
      <c r="H2248" s="599"/>
      <c r="I2248" s="595">
        <f t="shared" si="157"/>
        <v>0</v>
      </c>
      <c r="J2248" s="595">
        <f t="shared" si="158"/>
        <v>0</v>
      </c>
      <c r="K2248" s="596"/>
      <c r="L2248" s="597"/>
    </row>
    <row r="2249" spans="1:12" x14ac:dyDescent="0.2">
      <c r="A2249" s="316">
        <v>140</v>
      </c>
      <c r="B2249" s="591"/>
      <c r="C2249" s="602"/>
      <c r="D2249" s="603"/>
      <c r="E2249" s="604"/>
      <c r="F2249" s="605"/>
      <c r="G2249" s="654"/>
      <c r="H2249" s="606"/>
      <c r="I2249" s="595">
        <f t="shared" si="157"/>
        <v>0</v>
      </c>
      <c r="J2249" s="595">
        <f t="shared" si="158"/>
        <v>0</v>
      </c>
      <c r="K2249" s="596"/>
      <c r="L2249" s="597"/>
    </row>
    <row r="2250" spans="1:12" x14ac:dyDescent="0.2">
      <c r="A2250" s="316">
        <v>141</v>
      </c>
      <c r="B2250" s="591"/>
      <c r="C2250" s="598"/>
      <c r="D2250" s="586"/>
      <c r="E2250" s="587"/>
      <c r="F2250" s="588"/>
      <c r="G2250" s="586"/>
      <c r="H2250" s="599"/>
      <c r="I2250" s="595">
        <f t="shared" si="157"/>
        <v>0</v>
      </c>
      <c r="J2250" s="595">
        <f t="shared" si="158"/>
        <v>0</v>
      </c>
      <c r="K2250" s="596"/>
      <c r="L2250" s="597"/>
    </row>
    <row r="2251" spans="1:12" x14ac:dyDescent="0.2">
      <c r="A2251" s="316">
        <v>142</v>
      </c>
      <c r="B2251" s="591"/>
      <c r="C2251" s="598"/>
      <c r="D2251" s="586"/>
      <c r="E2251" s="587"/>
      <c r="F2251" s="588"/>
      <c r="G2251" s="586"/>
      <c r="H2251" s="599"/>
      <c r="I2251" s="595">
        <f t="shared" si="157"/>
        <v>0</v>
      </c>
      <c r="J2251" s="595">
        <f t="shared" si="158"/>
        <v>0</v>
      </c>
      <c r="K2251" s="596"/>
      <c r="L2251" s="597"/>
    </row>
    <row r="2252" spans="1:12" x14ac:dyDescent="0.2">
      <c r="A2252" s="316">
        <v>143</v>
      </c>
      <c r="B2252" s="591"/>
      <c r="C2252" s="598"/>
      <c r="D2252" s="586"/>
      <c r="E2252" s="587"/>
      <c r="F2252" s="588"/>
      <c r="G2252" s="586"/>
      <c r="H2252" s="599"/>
      <c r="I2252" s="595">
        <f t="shared" si="157"/>
        <v>0</v>
      </c>
      <c r="J2252" s="595">
        <f t="shared" si="158"/>
        <v>0</v>
      </c>
      <c r="K2252" s="596"/>
      <c r="L2252" s="597"/>
    </row>
    <row r="2253" spans="1:12" x14ac:dyDescent="0.2">
      <c r="A2253" s="316">
        <v>144</v>
      </c>
      <c r="B2253" s="591"/>
      <c r="C2253" s="598"/>
      <c r="D2253" s="586"/>
      <c r="E2253" s="587"/>
      <c r="F2253" s="588"/>
      <c r="G2253" s="586"/>
      <c r="H2253" s="599"/>
      <c r="I2253" s="595">
        <f t="shared" si="157"/>
        <v>0</v>
      </c>
      <c r="J2253" s="595">
        <f t="shared" si="158"/>
        <v>0</v>
      </c>
      <c r="K2253" s="596"/>
      <c r="L2253" s="597"/>
    </row>
    <row r="2254" spans="1:12" x14ac:dyDescent="0.2">
      <c r="A2254" s="316">
        <v>145</v>
      </c>
      <c r="B2254" s="591"/>
      <c r="C2254" s="602"/>
      <c r="D2254" s="603"/>
      <c r="E2254" s="604"/>
      <c r="F2254" s="605"/>
      <c r="G2254" s="654"/>
      <c r="H2254" s="606"/>
      <c r="I2254" s="595">
        <f t="shared" si="157"/>
        <v>0</v>
      </c>
      <c r="J2254" s="595">
        <f t="shared" si="158"/>
        <v>0</v>
      </c>
      <c r="K2254" s="596"/>
      <c r="L2254" s="597"/>
    </row>
    <row r="2255" spans="1:12" x14ac:dyDescent="0.2">
      <c r="A2255" s="316">
        <v>146</v>
      </c>
      <c r="B2255" s="591"/>
      <c r="C2255" s="598"/>
      <c r="D2255" s="586"/>
      <c r="E2255" s="587"/>
      <c r="F2255" s="588"/>
      <c r="G2255" s="586"/>
      <c r="H2255" s="599"/>
      <c r="I2255" s="595">
        <f t="shared" si="157"/>
        <v>0</v>
      </c>
      <c r="J2255" s="595">
        <f t="shared" si="158"/>
        <v>0</v>
      </c>
      <c r="K2255" s="596"/>
      <c r="L2255" s="597"/>
    </row>
    <row r="2256" spans="1:12" x14ac:dyDescent="0.2">
      <c r="A2256" s="316">
        <v>147</v>
      </c>
      <c r="B2256" s="591"/>
      <c r="C2256" s="598"/>
      <c r="D2256" s="586"/>
      <c r="E2256" s="587"/>
      <c r="F2256" s="588"/>
      <c r="G2256" s="586"/>
      <c r="H2256" s="599"/>
      <c r="I2256" s="595">
        <f t="shared" si="157"/>
        <v>0</v>
      </c>
      <c r="J2256" s="595">
        <f t="shared" si="158"/>
        <v>0</v>
      </c>
      <c r="K2256" s="596"/>
      <c r="L2256" s="597"/>
    </row>
    <row r="2257" spans="1:12" x14ac:dyDescent="0.2">
      <c r="A2257" s="316">
        <v>148</v>
      </c>
      <c r="B2257" s="591"/>
      <c r="C2257" s="598"/>
      <c r="D2257" s="586"/>
      <c r="E2257" s="587"/>
      <c r="F2257" s="588"/>
      <c r="G2257" s="586"/>
      <c r="H2257" s="599"/>
      <c r="I2257" s="595">
        <f t="shared" si="157"/>
        <v>0</v>
      </c>
      <c r="J2257" s="595">
        <f t="shared" si="158"/>
        <v>0</v>
      </c>
      <c r="K2257" s="596"/>
      <c r="L2257" s="597"/>
    </row>
    <row r="2258" spans="1:12" x14ac:dyDescent="0.2">
      <c r="A2258" s="316">
        <v>149</v>
      </c>
      <c r="B2258" s="591"/>
      <c r="C2258" s="598"/>
      <c r="D2258" s="586"/>
      <c r="E2258" s="587"/>
      <c r="F2258" s="588"/>
      <c r="G2258" s="586"/>
      <c r="H2258" s="599"/>
      <c r="I2258" s="595">
        <f t="shared" si="157"/>
        <v>0</v>
      </c>
      <c r="J2258" s="595">
        <f t="shared" si="158"/>
        <v>0</v>
      </c>
      <c r="K2258" s="596"/>
      <c r="L2258" s="597"/>
    </row>
    <row r="2259" spans="1:12" x14ac:dyDescent="0.2">
      <c r="A2259" s="316">
        <v>150</v>
      </c>
      <c r="B2259" s="608"/>
      <c r="C2259" s="609"/>
      <c r="D2259" s="610"/>
      <c r="E2259" s="611"/>
      <c r="F2259" s="612"/>
      <c r="G2259" s="657"/>
      <c r="H2259" s="613"/>
      <c r="I2259" s="595">
        <f t="shared" si="157"/>
        <v>0</v>
      </c>
      <c r="J2259" s="595">
        <f t="shared" si="158"/>
        <v>0</v>
      </c>
      <c r="K2259" s="614"/>
      <c r="L2259" s="615"/>
    </row>
    <row r="2260" spans="1:12" ht="18.75" thickBot="1" x14ac:dyDescent="0.3">
      <c r="B2260" s="536" t="s">
        <v>218</v>
      </c>
      <c r="C2260" s="528"/>
      <c r="D2260" s="529"/>
      <c r="E2260" s="530"/>
      <c r="F2260" s="531"/>
      <c r="G2260" s="658"/>
      <c r="H2260" s="535"/>
      <c r="I2260" s="532">
        <f>SUM(I2110:I2259)</f>
        <v>0</v>
      </c>
      <c r="J2260" s="532">
        <f>SUM(J2110:J2259)</f>
        <v>0</v>
      </c>
      <c r="K2260" s="533">
        <f>SUM(K2110:K2259)</f>
        <v>0</v>
      </c>
      <c r="L2260" s="534"/>
    </row>
    <row r="2261" spans="1:12" x14ac:dyDescent="0.2">
      <c r="A2261" s="41"/>
    </row>
    <row r="2262" spans="1:12" ht="25.5" x14ac:dyDescent="0.35">
      <c r="A2262" s="41"/>
      <c r="B2262" s="342" t="s">
        <v>319</v>
      </c>
      <c r="C2262" s="411"/>
      <c r="D2262" s="411"/>
      <c r="E2262" s="318">
        <f>K200+K360+K559+K711+K896+K1123+K1348+K1586+K1804+K1956+K2108+K2260</f>
        <v>15183381849.4</v>
      </c>
      <c r="F2262" s="411"/>
      <c r="G2262" s="659"/>
      <c r="H2262" s="41"/>
      <c r="I2262" s="328"/>
      <c r="J2262" s="328"/>
      <c r="K2262" s="428"/>
      <c r="L2262" s="29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31" t="s">
        <v>112</v>
      </c>
      <c r="B1" s="831"/>
      <c r="C1" s="831"/>
      <c r="D1" s="831"/>
      <c r="E1" s="831"/>
      <c r="F1" s="831"/>
      <c r="G1" s="831"/>
      <c r="H1" s="831"/>
      <c r="I1" s="831"/>
      <c r="J1" s="831"/>
    </row>
    <row r="2" spans="1:10" ht="18" x14ac:dyDescent="0.25">
      <c r="A2" s="831" t="s">
        <v>113</v>
      </c>
      <c r="B2" s="831"/>
      <c r="C2" s="831"/>
      <c r="D2" s="831"/>
      <c r="E2" s="831"/>
      <c r="F2" s="831"/>
      <c r="G2" s="831"/>
      <c r="H2" s="831"/>
      <c r="I2" s="831"/>
      <c r="J2" s="831"/>
    </row>
    <row r="3" spans="1:10" ht="18" x14ac:dyDescent="0.25">
      <c r="A3" s="831" t="s">
        <v>114</v>
      </c>
      <c r="B3" s="831"/>
      <c r="C3" s="831"/>
      <c r="D3" s="831"/>
      <c r="E3" s="831"/>
      <c r="F3" s="831"/>
      <c r="G3" s="831"/>
      <c r="H3" s="831"/>
      <c r="I3" s="831"/>
      <c r="J3" s="831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32" t="s">
        <v>116</v>
      </c>
      <c r="I5" s="833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34" t="s">
        <v>124</v>
      </c>
      <c r="I6" s="835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36" t="s">
        <v>129</v>
      </c>
      <c r="I7" s="837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26" t="s">
        <v>138</v>
      </c>
      <c r="B21" s="827"/>
      <c r="C21" s="828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29"/>
      <c r="J23" s="829"/>
    </row>
    <row r="24" spans="1:10" x14ac:dyDescent="0.25">
      <c r="I24" s="825"/>
      <c r="J24" s="825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30"/>
      <c r="J30" s="830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31" t="s">
        <v>112</v>
      </c>
      <c r="B1" s="831"/>
      <c r="C1" s="831"/>
      <c r="D1" s="831"/>
      <c r="E1" s="831"/>
      <c r="F1" s="831"/>
      <c r="G1" s="831"/>
      <c r="H1" s="831"/>
      <c r="I1" s="831"/>
      <c r="J1" s="831"/>
    </row>
    <row r="2" spans="1:10" ht="18" x14ac:dyDescent="0.25">
      <c r="A2" s="831" t="s">
        <v>139</v>
      </c>
      <c r="B2" s="831"/>
      <c r="C2" s="831"/>
      <c r="D2" s="831"/>
      <c r="E2" s="831"/>
      <c r="F2" s="831"/>
      <c r="G2" s="831"/>
      <c r="H2" s="831"/>
      <c r="I2" s="831"/>
      <c r="J2" s="831"/>
    </row>
    <row r="3" spans="1:10" ht="18" x14ac:dyDescent="0.25">
      <c r="A3" s="831" t="s">
        <v>114</v>
      </c>
      <c r="B3" s="831"/>
      <c r="C3" s="831"/>
      <c r="D3" s="831"/>
      <c r="E3" s="831"/>
      <c r="F3" s="831"/>
      <c r="G3" s="831"/>
      <c r="H3" s="831"/>
      <c r="I3" s="831"/>
      <c r="J3" s="831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38"/>
      <c r="B5" s="838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32" t="s">
        <v>116</v>
      </c>
      <c r="I7" s="833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34" t="s">
        <v>124</v>
      </c>
      <c r="I8" s="835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36" t="s">
        <v>129</v>
      </c>
      <c r="I9" s="837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26" t="s">
        <v>144</v>
      </c>
      <c r="B74" s="827"/>
      <c r="C74" s="828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29"/>
      <c r="J76" s="829"/>
    </row>
    <row r="77" spans="1:10" x14ac:dyDescent="0.25">
      <c r="I77" s="825"/>
      <c r="J77" s="825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30"/>
      <c r="J83" s="830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2022-09-23T02:46:31Z</cp:lastPrinted>
  <dcterms:created xsi:type="dcterms:W3CDTF">2016-02-04T01:58:45Z</dcterms:created>
  <dcterms:modified xsi:type="dcterms:W3CDTF">2022-10-17T03:01:18Z</dcterms:modified>
</cp:coreProperties>
</file>