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\"/>
    </mc:Choice>
  </mc:AlternateContent>
  <bookViews>
    <workbookView xWindow="0" yWindow="0" windowWidth="20490" windowHeight="7905" activeTab="6"/>
  </bookViews>
  <sheets>
    <sheet name="April" sheetId="1" r:id="rId1"/>
    <sheet name="Mei" sheetId="2" r:id="rId2"/>
    <sheet name="Juni" sheetId="3" r:id="rId3"/>
    <sheet name="Juli" sheetId="5" r:id="rId4"/>
    <sheet name="Agustus" sheetId="6" r:id="rId5"/>
    <sheet name="September" sheetId="7" r:id="rId6"/>
    <sheet name="Sheet1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8" i="7" l="1"/>
  <c r="N341" i="7"/>
  <c r="N444" i="7"/>
  <c r="N236" i="7"/>
  <c r="N225" i="7"/>
  <c r="N801" i="7"/>
  <c r="N871" i="7"/>
  <c r="N613" i="7"/>
  <c r="N684" i="7"/>
  <c r="N686" i="7"/>
  <c r="N675" i="7"/>
  <c r="N44" i="7"/>
  <c r="P44" i="7"/>
  <c r="R44" i="7" s="1"/>
  <c r="S44" i="7" s="1"/>
  <c r="N431" i="7" l="1"/>
  <c r="N193" i="7"/>
  <c r="N445" i="7"/>
  <c r="N430" i="7"/>
  <c r="N432" i="7"/>
  <c r="N224" i="7"/>
  <c r="N287" i="7"/>
  <c r="N182" i="7"/>
  <c r="N181" i="7"/>
  <c r="N180" i="7"/>
  <c r="N183" i="7"/>
  <c r="N715" i="7"/>
  <c r="N136" i="7"/>
  <c r="N100" i="7"/>
  <c r="N150" i="7" l="1"/>
  <c r="N184" i="7"/>
  <c r="N915" i="7"/>
  <c r="N471" i="7" l="1"/>
  <c r="N497" i="7"/>
  <c r="N762" i="7"/>
  <c r="N700" i="7"/>
  <c r="N416" i="7"/>
  <c r="N386" i="7"/>
  <c r="N240" i="7"/>
  <c r="N238" i="7"/>
  <c r="N114" i="7"/>
  <c r="N141" i="7"/>
  <c r="N103" i="7"/>
  <c r="N102" i="7"/>
  <c r="N99" i="7"/>
  <c r="N98" i="7"/>
  <c r="N736" i="7"/>
  <c r="N824" i="7"/>
  <c r="N815" i="7"/>
  <c r="N259" i="7"/>
  <c r="N582" i="7"/>
  <c r="N564" i="7"/>
  <c r="N819" i="7"/>
  <c r="N889" i="7"/>
  <c r="N888" i="7"/>
  <c r="N887" i="7"/>
  <c r="N162" i="7"/>
  <c r="N354" i="7"/>
  <c r="N298" i="7"/>
  <c r="N137" i="7"/>
  <c r="N263" i="7" l="1"/>
  <c r="N883" i="7"/>
  <c r="J883" i="7"/>
  <c r="N421" i="7" l="1"/>
  <c r="N672" i="7"/>
  <c r="N228" i="7"/>
  <c r="N406" i="7"/>
  <c r="N846" i="7"/>
  <c r="N777" i="7"/>
  <c r="N37" i="7"/>
  <c r="N413" i="7" l="1"/>
  <c r="N499" i="7"/>
  <c r="N277" i="7"/>
  <c r="N674" i="7"/>
  <c r="N640" i="7"/>
  <c r="N235" i="7"/>
  <c r="N805" i="7"/>
  <c r="N916" i="7"/>
  <c r="N937" i="7"/>
  <c r="N785" i="7"/>
  <c r="N168" i="7"/>
  <c r="N169" i="7"/>
  <c r="E624" i="7"/>
  <c r="E635" i="7"/>
  <c r="E634" i="7"/>
  <c r="E512" i="7"/>
  <c r="N821" i="7" l="1"/>
  <c r="N509" i="7"/>
  <c r="N591" i="7"/>
  <c r="N512" i="7"/>
  <c r="N699" i="7"/>
  <c r="N289" i="7"/>
  <c r="N747" i="7"/>
  <c r="N523" i="7"/>
  <c r="N178" i="7"/>
  <c r="N845" i="7"/>
  <c r="N36" i="7" l="1"/>
  <c r="N35" i="7"/>
  <c r="N112" i="7"/>
  <c r="N930" i="7"/>
  <c r="N521" i="7"/>
  <c r="N768" i="7"/>
  <c r="N790" i="7"/>
  <c r="N101" i="7"/>
  <c r="N456" i="7"/>
  <c r="N351" i="7"/>
  <c r="N352" i="7"/>
  <c r="N362" i="7"/>
  <c r="N517" i="7"/>
  <c r="N361" i="7"/>
  <c r="N163" i="7"/>
  <c r="N826" i="7"/>
  <c r="N528" i="7"/>
  <c r="N140" i="7"/>
  <c r="N304" i="7"/>
  <c r="N781" i="7"/>
  <c r="N778" i="7"/>
  <c r="N827" i="7"/>
  <c r="N562" i="7" l="1"/>
  <c r="N420" i="7" l="1"/>
  <c r="N817" i="7"/>
  <c r="N816" i="7"/>
  <c r="N676" i="7"/>
  <c r="N655" i="7"/>
  <c r="N288" i="7"/>
  <c r="J103" i="7"/>
  <c r="N278" i="7"/>
  <c r="N270" i="7"/>
  <c r="N501" i="7"/>
  <c r="N850" i="7"/>
  <c r="J850" i="7"/>
  <c r="N851" i="7"/>
  <c r="N145" i="7" l="1"/>
  <c r="N526" i="7"/>
  <c r="N138" i="7"/>
  <c r="N529" i="7" l="1"/>
  <c r="N527" i="7"/>
  <c r="N111" i="7"/>
  <c r="N366" i="7"/>
  <c r="N281" i="7"/>
  <c r="N370" i="7"/>
  <c r="N922" i="7"/>
  <c r="N923" i="7"/>
  <c r="N879" i="7" l="1"/>
  <c r="N875" i="7"/>
  <c r="N395" i="7"/>
  <c r="N535" i="7"/>
  <c r="N534" i="7"/>
  <c r="N532" i="7"/>
  <c r="N531" i="7"/>
  <c r="N204" i="7"/>
  <c r="N155" i="7" l="1"/>
  <c r="N128" i="7"/>
  <c r="N127" i="7"/>
  <c r="N90" i="7"/>
  <c r="E883" i="7" l="1"/>
  <c r="P883" i="7"/>
  <c r="R883" i="7" s="1"/>
  <c r="S883" i="7" s="1"/>
  <c r="E532" i="7"/>
  <c r="P532" i="7" s="1"/>
  <c r="R532" i="7" s="1"/>
  <c r="S532" i="7" s="1"/>
  <c r="E535" i="7"/>
  <c r="P535" i="7" s="1"/>
  <c r="R535" i="7" s="1"/>
  <c r="S535" i="7" s="1"/>
  <c r="P72" i="7"/>
  <c r="R72" i="7" s="1"/>
  <c r="S72" i="7" s="1"/>
  <c r="E381" i="7"/>
  <c r="E715" i="7"/>
  <c r="E366" i="7"/>
  <c r="C236" i="7"/>
  <c r="E225" i="7"/>
  <c r="E430" i="7"/>
  <c r="E412" i="7"/>
  <c r="E107" i="7"/>
  <c r="E686" i="7"/>
  <c r="E812" i="7"/>
  <c r="E811" i="7"/>
  <c r="E308" i="7"/>
  <c r="E915" i="7"/>
  <c r="E184" i="7"/>
  <c r="E182" i="7"/>
  <c r="E181" i="7"/>
  <c r="E180" i="7"/>
  <c r="E801" i="7"/>
  <c r="E341" i="7"/>
  <c r="E613" i="7"/>
  <c r="P808" i="7"/>
  <c r="R808" i="7" s="1"/>
  <c r="S808" i="7" s="1"/>
  <c r="E871" i="7"/>
  <c r="E675" i="7"/>
  <c r="E432" i="7"/>
  <c r="C498" i="7"/>
  <c r="E185" i="7"/>
  <c r="E183" i="7"/>
  <c r="P413" i="7"/>
  <c r="R413" i="7" s="1"/>
  <c r="S413" i="7" s="1"/>
  <c r="P411" i="7"/>
  <c r="R411" i="7" s="1"/>
  <c r="S411" i="7" s="1"/>
  <c r="E287" i="7"/>
  <c r="P464" i="7"/>
  <c r="R464" i="7" s="1"/>
  <c r="S464" i="7" s="1"/>
  <c r="E128" i="7"/>
  <c r="J785" i="7"/>
  <c r="E676" i="7" l="1"/>
  <c r="E655" i="7"/>
  <c r="E425" i="7"/>
  <c r="E351" i="7"/>
  <c r="E352" i="7"/>
  <c r="E354" i="7"/>
  <c r="E286" i="7"/>
  <c r="E285" i="7"/>
  <c r="E421" i="7" l="1"/>
  <c r="E700" i="7"/>
  <c r="E631" i="7"/>
  <c r="E630" i="7"/>
  <c r="J620" i="7"/>
  <c r="P620" i="7"/>
  <c r="R620" i="7" s="1"/>
  <c r="S620" i="7" s="1"/>
  <c r="E880" i="7"/>
  <c r="E879" i="7"/>
  <c r="E876" i="7"/>
  <c r="E875" i="7"/>
  <c r="J28" i="7"/>
  <c r="P28" i="7"/>
  <c r="R28" i="7" s="1"/>
  <c r="S28" i="7" s="1"/>
  <c r="E114" i="7"/>
  <c r="E444" i="7"/>
  <c r="E930" i="7"/>
  <c r="E523" i="7"/>
  <c r="E240" i="7"/>
  <c r="E239" i="7"/>
  <c r="E36" i="7"/>
  <c r="E791" i="7"/>
  <c r="E826" i="7"/>
  <c r="E136" i="7"/>
  <c r="E162" i="7"/>
  <c r="J157" i="7"/>
  <c r="E156" i="7"/>
  <c r="E159" i="7"/>
  <c r="E158" i="7"/>
  <c r="E155" i="7"/>
  <c r="J36" i="7"/>
  <c r="P36" i="7"/>
  <c r="E375" i="7"/>
  <c r="E193" i="7"/>
  <c r="E189" i="7"/>
  <c r="E229" i="7"/>
  <c r="E228" i="7"/>
  <c r="E517" i="7"/>
  <c r="E518" i="7"/>
  <c r="J419" i="7"/>
  <c r="E445" i="7"/>
  <c r="J444" i="7"/>
  <c r="E139" i="7"/>
  <c r="J139" i="7"/>
  <c r="J159" i="7"/>
  <c r="P159" i="7"/>
  <c r="R159" i="7" s="1"/>
  <c r="S159" i="7" s="1"/>
  <c r="J156" i="7"/>
  <c r="P156" i="7"/>
  <c r="R156" i="7" s="1"/>
  <c r="S156" i="7" s="1"/>
  <c r="E101" i="7"/>
  <c r="E747" i="7"/>
  <c r="E277" i="7"/>
  <c r="E275" i="7"/>
  <c r="R36" i="7" l="1"/>
  <c r="S36" i="7" s="1"/>
  <c r="J188" i="7"/>
  <c r="E815" i="7"/>
  <c r="E515" i="7"/>
  <c r="E169" i="7"/>
  <c r="E167" i="7"/>
  <c r="E103" i="7" l="1"/>
  <c r="J102" i="7"/>
  <c r="E100" i="7"/>
  <c r="E99" i="7"/>
  <c r="E141" i="7"/>
  <c r="E516" i="7"/>
  <c r="J277" i="7" l="1"/>
  <c r="P277" i="7"/>
  <c r="J274" i="7"/>
  <c r="J273" i="7"/>
  <c r="P273" i="7"/>
  <c r="J271" i="7"/>
  <c r="P271" i="7"/>
  <c r="R271" i="7" s="1"/>
  <c r="S271" i="7" s="1"/>
  <c r="P516" i="7"/>
  <c r="J516" i="7"/>
  <c r="J515" i="7"/>
  <c r="P515" i="7"/>
  <c r="R515" i="7" s="1"/>
  <c r="S515" i="7" s="1"/>
  <c r="P141" i="7"/>
  <c r="R141" i="7" s="1"/>
  <c r="S141" i="7" s="1"/>
  <c r="E112" i="7"/>
  <c r="J638" i="7"/>
  <c r="P638" i="7"/>
  <c r="E361" i="7"/>
  <c r="E755" i="7"/>
  <c r="E819" i="7"/>
  <c r="J169" i="7"/>
  <c r="P169" i="7"/>
  <c r="J141" i="7"/>
  <c r="E137" i="7"/>
  <c r="J622" i="7"/>
  <c r="P622" i="7"/>
  <c r="E138" i="7"/>
  <c r="J239" i="7"/>
  <c r="P239" i="7"/>
  <c r="J582" i="7"/>
  <c r="P582" i="7"/>
  <c r="R582" i="7" s="1"/>
  <c r="S582" i="7" s="1"/>
  <c r="R638" i="7" l="1"/>
  <c r="S638" i="7" s="1"/>
  <c r="R622" i="7"/>
  <c r="S622" i="7" s="1"/>
  <c r="R516" i="7"/>
  <c r="S516" i="7" s="1"/>
  <c r="R277" i="7"/>
  <c r="S277" i="7" s="1"/>
  <c r="R273" i="7"/>
  <c r="S273" i="7" s="1"/>
  <c r="R169" i="7"/>
  <c r="S169" i="7" s="1"/>
  <c r="R239" i="7"/>
  <c r="S239" i="7" s="1"/>
  <c r="J137" i="7"/>
  <c r="P470" i="7" l="1"/>
  <c r="R470" i="7" s="1"/>
  <c r="S470" i="7" s="1"/>
  <c r="R947" i="7"/>
  <c r="P942" i="7"/>
  <c r="R942" i="7" s="1"/>
  <c r="S942" i="7" s="1"/>
  <c r="P939" i="7"/>
  <c r="R939" i="7" s="1"/>
  <c r="S939" i="7" s="1"/>
  <c r="P937" i="7"/>
  <c r="R937" i="7" s="1"/>
  <c r="S937" i="7" s="1"/>
  <c r="P935" i="7"/>
  <c r="J935" i="7"/>
  <c r="P934" i="7"/>
  <c r="J934" i="7"/>
  <c r="P933" i="7"/>
  <c r="J933" i="7"/>
  <c r="P932" i="7"/>
  <c r="J932" i="7"/>
  <c r="P931" i="7"/>
  <c r="R931" i="7" s="1"/>
  <c r="S931" i="7" s="1"/>
  <c r="P930" i="7"/>
  <c r="J930" i="7"/>
  <c r="P929" i="7"/>
  <c r="J929" i="7"/>
  <c r="P928" i="7"/>
  <c r="J928" i="7"/>
  <c r="P927" i="7"/>
  <c r="J927" i="7"/>
  <c r="P925" i="7"/>
  <c r="R925" i="7" s="1"/>
  <c r="S925" i="7" s="1"/>
  <c r="P924" i="7"/>
  <c r="R924" i="7" s="1"/>
  <c r="S924" i="7" s="1"/>
  <c r="P923" i="7"/>
  <c r="R923" i="7" s="1"/>
  <c r="S923" i="7" s="1"/>
  <c r="P922" i="7"/>
  <c r="R922" i="7" s="1"/>
  <c r="S922" i="7" s="1"/>
  <c r="P921" i="7"/>
  <c r="R921" i="7" s="1"/>
  <c r="S921" i="7" s="1"/>
  <c r="P920" i="7"/>
  <c r="R920" i="7" s="1"/>
  <c r="S920" i="7" s="1"/>
  <c r="P919" i="7"/>
  <c r="R919" i="7" s="1"/>
  <c r="S919" i="7" s="1"/>
  <c r="P918" i="7"/>
  <c r="R918" i="7" s="1"/>
  <c r="S918" i="7" s="1"/>
  <c r="P917" i="7"/>
  <c r="R917" i="7" s="1"/>
  <c r="S917" i="7" s="1"/>
  <c r="P916" i="7"/>
  <c r="R916" i="7" s="1"/>
  <c r="S916" i="7" s="1"/>
  <c r="P915" i="7"/>
  <c r="R915" i="7" s="1"/>
  <c r="S915" i="7" s="1"/>
  <c r="P914" i="7"/>
  <c r="R914" i="7" s="1"/>
  <c r="S914" i="7" s="1"/>
  <c r="P913" i="7"/>
  <c r="R913" i="7" s="1"/>
  <c r="S913" i="7" s="1"/>
  <c r="P910" i="7"/>
  <c r="J910" i="7"/>
  <c r="P909" i="7"/>
  <c r="J909" i="7"/>
  <c r="P908" i="7"/>
  <c r="J908" i="7"/>
  <c r="P907" i="7"/>
  <c r="J907" i="7"/>
  <c r="P906" i="7"/>
  <c r="J906" i="7"/>
  <c r="S905" i="7"/>
  <c r="P903" i="7"/>
  <c r="J903" i="7"/>
  <c r="P902" i="7"/>
  <c r="J902" i="7"/>
  <c r="P901" i="7"/>
  <c r="J901" i="7"/>
  <c r="P900" i="7"/>
  <c r="J900" i="7"/>
  <c r="P897" i="7"/>
  <c r="R897" i="7" s="1"/>
  <c r="S897" i="7" s="1"/>
  <c r="P896" i="7"/>
  <c r="R896" i="7" s="1"/>
  <c r="S896" i="7" s="1"/>
  <c r="P895" i="7"/>
  <c r="J895" i="7"/>
  <c r="J894" i="7"/>
  <c r="P894" i="7"/>
  <c r="P892" i="7"/>
  <c r="R892" i="7" s="1"/>
  <c r="S892" i="7" s="1"/>
  <c r="P891" i="7"/>
  <c r="R891" i="7" s="1"/>
  <c r="S891" i="7" s="1"/>
  <c r="P889" i="7"/>
  <c r="R889" i="7" s="1"/>
  <c r="S889" i="7" s="1"/>
  <c r="P888" i="7"/>
  <c r="R888" i="7" s="1"/>
  <c r="S888" i="7" s="1"/>
  <c r="P887" i="7"/>
  <c r="R887" i="7" s="1"/>
  <c r="S887" i="7" s="1"/>
  <c r="P880" i="7"/>
  <c r="J880" i="7"/>
  <c r="P879" i="7"/>
  <c r="J879" i="7"/>
  <c r="P878" i="7"/>
  <c r="R878" i="7" s="1"/>
  <c r="S878" i="7" s="1"/>
  <c r="P877" i="7"/>
  <c r="R877" i="7" s="1"/>
  <c r="S877" i="7" s="1"/>
  <c r="P876" i="7"/>
  <c r="J876" i="7"/>
  <c r="P875" i="7"/>
  <c r="J875" i="7"/>
  <c r="P873" i="7"/>
  <c r="R873" i="7" s="1"/>
  <c r="S873" i="7" s="1"/>
  <c r="P872" i="7"/>
  <c r="R872" i="7" s="1"/>
  <c r="S872" i="7" s="1"/>
  <c r="P870" i="7"/>
  <c r="R870" i="7" s="1"/>
  <c r="S870" i="7" s="1"/>
  <c r="P869" i="7"/>
  <c r="R869" i="7" s="1"/>
  <c r="S869" i="7" s="1"/>
  <c r="P868" i="7"/>
  <c r="R868" i="7" s="1"/>
  <c r="S868" i="7" s="1"/>
  <c r="P867" i="7"/>
  <c r="R867" i="7" s="1"/>
  <c r="S867" i="7" s="1"/>
  <c r="P866" i="7"/>
  <c r="R866" i="7" s="1"/>
  <c r="S866" i="7" s="1"/>
  <c r="P865" i="7"/>
  <c r="R865" i="7" s="1"/>
  <c r="S865" i="7" s="1"/>
  <c r="P864" i="7"/>
  <c r="R864" i="7" s="1"/>
  <c r="S864" i="7" s="1"/>
  <c r="P863" i="7"/>
  <c r="R863" i="7" s="1"/>
  <c r="S863" i="7" s="1"/>
  <c r="P861" i="7"/>
  <c r="R861" i="7" s="1"/>
  <c r="S861" i="7" s="1"/>
  <c r="P858" i="7"/>
  <c r="R858" i="7" s="1"/>
  <c r="S858" i="7" s="1"/>
  <c r="P855" i="7"/>
  <c r="R855" i="7" s="1"/>
  <c r="S855" i="7" s="1"/>
  <c r="P854" i="7"/>
  <c r="R854" i="7" s="1"/>
  <c r="S854" i="7" s="1"/>
  <c r="P852" i="7"/>
  <c r="J852" i="7"/>
  <c r="P851" i="7"/>
  <c r="J851" i="7"/>
  <c r="P850" i="7"/>
  <c r="P848" i="7"/>
  <c r="R848" i="7" s="1"/>
  <c r="S848" i="7" s="1"/>
  <c r="P846" i="7"/>
  <c r="R846" i="7" s="1"/>
  <c r="S846" i="7" s="1"/>
  <c r="P845" i="7"/>
  <c r="R845" i="7" s="1"/>
  <c r="S845" i="7" s="1"/>
  <c r="P842" i="7"/>
  <c r="R842" i="7" s="1"/>
  <c r="S842" i="7" s="1"/>
  <c r="P840" i="7"/>
  <c r="R840" i="7" s="1"/>
  <c r="S840" i="7" s="1"/>
  <c r="P839" i="7"/>
  <c r="R839" i="7" s="1"/>
  <c r="S839" i="7" s="1"/>
  <c r="P838" i="7"/>
  <c r="R838" i="7" s="1"/>
  <c r="S838" i="7" s="1"/>
  <c r="P837" i="7"/>
  <c r="R837" i="7" s="1"/>
  <c r="S837" i="7" s="1"/>
  <c r="P836" i="7"/>
  <c r="R836" i="7" s="1"/>
  <c r="S836" i="7" s="1"/>
  <c r="P834" i="7"/>
  <c r="J834" i="7"/>
  <c r="P833" i="7"/>
  <c r="J833" i="7"/>
  <c r="P832" i="7"/>
  <c r="J832" i="7"/>
  <c r="P831" i="7"/>
  <c r="J831" i="7"/>
  <c r="P830" i="7"/>
  <c r="J830" i="7"/>
  <c r="P829" i="7"/>
  <c r="R829" i="7" s="1"/>
  <c r="S829" i="7" s="1"/>
  <c r="P828" i="7"/>
  <c r="J828" i="7"/>
  <c r="P827" i="7"/>
  <c r="J827" i="7"/>
  <c r="P826" i="7"/>
  <c r="J826" i="7"/>
  <c r="P825" i="7"/>
  <c r="J825" i="7"/>
  <c r="P824" i="7"/>
  <c r="J824" i="7"/>
  <c r="P823" i="7"/>
  <c r="R823" i="7" s="1"/>
  <c r="S823" i="7" s="1"/>
  <c r="P822" i="7"/>
  <c r="J822" i="7"/>
  <c r="P821" i="7"/>
  <c r="J821" i="7"/>
  <c r="P820" i="7"/>
  <c r="J820" i="7"/>
  <c r="P819" i="7"/>
  <c r="J819" i="7"/>
  <c r="P818" i="7"/>
  <c r="J818" i="7"/>
  <c r="P817" i="7"/>
  <c r="J817" i="7"/>
  <c r="P816" i="7"/>
  <c r="J816" i="7"/>
  <c r="J815" i="7"/>
  <c r="P813" i="7"/>
  <c r="R813" i="7" s="1"/>
  <c r="S813" i="7" s="1"/>
  <c r="P812" i="7"/>
  <c r="R812" i="7" s="1"/>
  <c r="S812" i="7" s="1"/>
  <c r="P811" i="7"/>
  <c r="R811" i="7" s="1"/>
  <c r="S811" i="7" s="1"/>
  <c r="P810" i="7"/>
  <c r="R810" i="7" s="1"/>
  <c r="S810" i="7" s="1"/>
  <c r="P809" i="7"/>
  <c r="R809" i="7" s="1"/>
  <c r="S809" i="7" s="1"/>
  <c r="P807" i="7"/>
  <c r="R807" i="7" s="1"/>
  <c r="S807" i="7" s="1"/>
  <c r="P806" i="7"/>
  <c r="R806" i="7" s="1"/>
  <c r="S806" i="7" s="1"/>
  <c r="P805" i="7"/>
  <c r="R805" i="7" s="1"/>
  <c r="S805" i="7" s="1"/>
  <c r="P804" i="7"/>
  <c r="J804" i="7"/>
  <c r="P803" i="7"/>
  <c r="R803" i="7" s="1"/>
  <c r="S803" i="7" s="1"/>
  <c r="P802" i="7"/>
  <c r="R802" i="7" s="1"/>
  <c r="S802" i="7" s="1"/>
  <c r="P801" i="7"/>
  <c r="R801" i="7" s="1"/>
  <c r="S801" i="7" s="1"/>
  <c r="P798" i="7"/>
  <c r="J798" i="7"/>
  <c r="P796" i="7"/>
  <c r="R796" i="7" s="1"/>
  <c r="S796" i="7" s="1"/>
  <c r="P795" i="7"/>
  <c r="R795" i="7" s="1"/>
  <c r="S795" i="7" s="1"/>
  <c r="P791" i="7"/>
  <c r="J791" i="7"/>
  <c r="P790" i="7"/>
  <c r="J790" i="7"/>
  <c r="P788" i="7"/>
  <c r="R788" i="7" s="1"/>
  <c r="S788" i="7" s="1"/>
  <c r="P787" i="7"/>
  <c r="J787" i="7"/>
  <c r="P786" i="7"/>
  <c r="J786" i="7"/>
  <c r="P785" i="7"/>
  <c r="P782" i="7"/>
  <c r="J782" i="7"/>
  <c r="P781" i="7"/>
  <c r="J781" i="7"/>
  <c r="P780" i="7"/>
  <c r="R780" i="7" s="1"/>
  <c r="S780" i="7" s="1"/>
  <c r="P779" i="7"/>
  <c r="R779" i="7" s="1"/>
  <c r="S779" i="7" s="1"/>
  <c r="P778" i="7"/>
  <c r="J778" i="7"/>
  <c r="P777" i="7"/>
  <c r="J777" i="7"/>
  <c r="P775" i="7"/>
  <c r="R775" i="7" s="1"/>
  <c r="S775" i="7" s="1"/>
  <c r="P774" i="7"/>
  <c r="R774" i="7" s="1"/>
  <c r="S774" i="7" s="1"/>
  <c r="P770" i="7"/>
  <c r="R770" i="7" s="1"/>
  <c r="S770" i="7" s="1"/>
  <c r="P768" i="7"/>
  <c r="R768" i="7" s="1"/>
  <c r="S768" i="7" s="1"/>
  <c r="P766" i="7"/>
  <c r="R766" i="7" s="1"/>
  <c r="S766" i="7" s="1"/>
  <c r="P764" i="7"/>
  <c r="R764" i="7" s="1"/>
  <c r="S764" i="7" s="1"/>
  <c r="P763" i="7"/>
  <c r="J763" i="7"/>
  <c r="J762" i="7"/>
  <c r="P760" i="7"/>
  <c r="R760" i="7" s="1"/>
  <c r="S760" i="7" s="1"/>
  <c r="P759" i="7"/>
  <c r="R759" i="7" s="1"/>
  <c r="S759" i="7" s="1"/>
  <c r="J755" i="7"/>
  <c r="P754" i="7"/>
  <c r="J754" i="7"/>
  <c r="P753" i="7"/>
  <c r="J753" i="7"/>
  <c r="P752" i="7"/>
  <c r="J752" i="7"/>
  <c r="P751" i="7"/>
  <c r="J751" i="7"/>
  <c r="P750" i="7"/>
  <c r="J750" i="7"/>
  <c r="J749" i="7"/>
  <c r="P749" i="7"/>
  <c r="P748" i="7"/>
  <c r="J748" i="7"/>
  <c r="J747" i="7"/>
  <c r="P747" i="7"/>
  <c r="P746" i="7"/>
  <c r="J746" i="7"/>
  <c r="P744" i="7"/>
  <c r="R744" i="7" s="1"/>
  <c r="S744" i="7" s="1"/>
  <c r="P743" i="7"/>
  <c r="R743" i="7" s="1"/>
  <c r="S743" i="7" s="1"/>
  <c r="P742" i="7"/>
  <c r="R742" i="7" s="1"/>
  <c r="S742" i="7" s="1"/>
  <c r="P741" i="7"/>
  <c r="R741" i="7" s="1"/>
  <c r="S741" i="7" s="1"/>
  <c r="P740" i="7"/>
  <c r="R740" i="7" s="1"/>
  <c r="S740" i="7" s="1"/>
  <c r="P739" i="7"/>
  <c r="R739" i="7" s="1"/>
  <c r="S739" i="7" s="1"/>
  <c r="P736" i="7"/>
  <c r="J736" i="7"/>
  <c r="P735" i="7"/>
  <c r="R735" i="7" s="1"/>
  <c r="S735" i="7" s="1"/>
  <c r="P731" i="7"/>
  <c r="R731" i="7" s="1"/>
  <c r="S731" i="7" s="1"/>
  <c r="P730" i="7"/>
  <c r="R730" i="7" s="1"/>
  <c r="S730" i="7" s="1"/>
  <c r="P729" i="7"/>
  <c r="R729" i="7" s="1"/>
  <c r="S729" i="7" s="1"/>
  <c r="P728" i="7"/>
  <c r="R728" i="7" s="1"/>
  <c r="S728" i="7" s="1"/>
  <c r="P727" i="7"/>
  <c r="R727" i="7" s="1"/>
  <c r="S727" i="7" s="1"/>
  <c r="P725" i="7"/>
  <c r="R725" i="7" s="1"/>
  <c r="S725" i="7" s="1"/>
  <c r="P724" i="7"/>
  <c r="R724" i="7" s="1"/>
  <c r="S724" i="7" s="1"/>
  <c r="P723" i="7"/>
  <c r="R723" i="7" s="1"/>
  <c r="S723" i="7" s="1"/>
  <c r="P722" i="7"/>
  <c r="R722" i="7" s="1"/>
  <c r="S722" i="7" s="1"/>
  <c r="P721" i="7"/>
  <c r="R721" i="7" s="1"/>
  <c r="S721" i="7" s="1"/>
  <c r="P720" i="7"/>
  <c r="R720" i="7" s="1"/>
  <c r="S720" i="7" s="1"/>
  <c r="J718" i="7"/>
  <c r="P718" i="7"/>
  <c r="P717" i="7"/>
  <c r="J717" i="7"/>
  <c r="P715" i="7"/>
  <c r="R715" i="7" s="1"/>
  <c r="S715" i="7" s="1"/>
  <c r="P714" i="7"/>
  <c r="R714" i="7" s="1"/>
  <c r="S714" i="7" s="1"/>
  <c r="P713" i="7"/>
  <c r="R713" i="7" s="1"/>
  <c r="S713" i="7" s="1"/>
  <c r="P710" i="7"/>
  <c r="R710" i="7" s="1"/>
  <c r="S710" i="7" s="1"/>
  <c r="P709" i="7"/>
  <c r="J709" i="7"/>
  <c r="P708" i="7"/>
  <c r="J708" i="7"/>
  <c r="P707" i="7"/>
  <c r="J707" i="7"/>
  <c r="P706" i="7"/>
  <c r="J706" i="7"/>
  <c r="P705" i="7"/>
  <c r="J705" i="7"/>
  <c r="P704" i="7"/>
  <c r="J704" i="7"/>
  <c r="P703" i="7"/>
  <c r="J703" i="7"/>
  <c r="P702" i="7"/>
  <c r="J702" i="7"/>
  <c r="J701" i="7"/>
  <c r="P701" i="7"/>
  <c r="P700" i="7"/>
  <c r="J700" i="7"/>
  <c r="J699" i="7"/>
  <c r="P699" i="7"/>
  <c r="P697" i="7"/>
  <c r="R697" i="7" s="1"/>
  <c r="S697" i="7" s="1"/>
  <c r="P696" i="7"/>
  <c r="R696" i="7" s="1"/>
  <c r="S696" i="7" s="1"/>
  <c r="P695" i="7"/>
  <c r="R695" i="7" s="1"/>
  <c r="S695" i="7" s="1"/>
  <c r="P694" i="7"/>
  <c r="R694" i="7" s="1"/>
  <c r="S694" i="7" s="1"/>
  <c r="P693" i="7"/>
  <c r="R693" i="7" s="1"/>
  <c r="S693" i="7" s="1"/>
  <c r="P692" i="7"/>
  <c r="R692" i="7" s="1"/>
  <c r="S692" i="7" s="1"/>
  <c r="P691" i="7"/>
  <c r="R691" i="7" s="1"/>
  <c r="S691" i="7" s="1"/>
  <c r="P690" i="7"/>
  <c r="R690" i="7" s="1"/>
  <c r="S690" i="7" s="1"/>
  <c r="P689" i="7"/>
  <c r="R689" i="7" s="1"/>
  <c r="S689" i="7" s="1"/>
  <c r="P688" i="7"/>
  <c r="R688" i="7" s="1"/>
  <c r="S688" i="7" s="1"/>
  <c r="P687" i="7"/>
  <c r="R687" i="7" s="1"/>
  <c r="S687" i="7" s="1"/>
  <c r="P686" i="7"/>
  <c r="R686" i="7" s="1"/>
  <c r="S686" i="7" s="1"/>
  <c r="P685" i="7"/>
  <c r="R685" i="7" s="1"/>
  <c r="S685" i="7" s="1"/>
  <c r="P684" i="7"/>
  <c r="R684" i="7" s="1"/>
  <c r="S684" i="7" s="1"/>
  <c r="P681" i="7"/>
  <c r="R681" i="7" s="1"/>
  <c r="S681" i="7" s="1"/>
  <c r="P680" i="7"/>
  <c r="R680" i="7" s="1"/>
  <c r="S680" i="7" s="1"/>
  <c r="P679" i="7"/>
  <c r="J679" i="7"/>
  <c r="P677" i="7"/>
  <c r="R677" i="7" s="1"/>
  <c r="S677" i="7" s="1"/>
  <c r="P676" i="7"/>
  <c r="R676" i="7" s="1"/>
  <c r="S676" i="7" s="1"/>
  <c r="P675" i="7"/>
  <c r="R675" i="7" s="1"/>
  <c r="S675" i="7" s="1"/>
  <c r="P674" i="7"/>
  <c r="R674" i="7" s="1"/>
  <c r="S674" i="7" s="1"/>
  <c r="P673" i="7"/>
  <c r="R673" i="7" s="1"/>
  <c r="S673" i="7" s="1"/>
  <c r="P672" i="7"/>
  <c r="R672" i="7" s="1"/>
  <c r="S672" i="7" s="1"/>
  <c r="P669" i="7"/>
  <c r="R669" i="7" s="1"/>
  <c r="S669" i="7" s="1"/>
  <c r="P668" i="7"/>
  <c r="R668" i="7" s="1"/>
  <c r="S668" i="7" s="1"/>
  <c r="P667" i="7"/>
  <c r="R667" i="7" s="1"/>
  <c r="S667" i="7" s="1"/>
  <c r="P665" i="7"/>
  <c r="J665" i="7"/>
  <c r="P664" i="7"/>
  <c r="J664" i="7"/>
  <c r="P663" i="7"/>
  <c r="R663" i="7" s="1"/>
  <c r="S663" i="7" s="1"/>
  <c r="P662" i="7"/>
  <c r="J662" i="7"/>
  <c r="P661" i="7"/>
  <c r="J661" i="7"/>
  <c r="P659" i="7"/>
  <c r="R659" i="7" s="1"/>
  <c r="S659" i="7" s="1"/>
  <c r="P658" i="7"/>
  <c r="R658" i="7" s="1"/>
  <c r="S658" i="7" s="1"/>
  <c r="P657" i="7"/>
  <c r="R657" i="7" s="1"/>
  <c r="S657" i="7" s="1"/>
  <c r="P656" i="7"/>
  <c r="R656" i="7" s="1"/>
  <c r="S656" i="7" s="1"/>
  <c r="P655" i="7"/>
  <c r="R655" i="7" s="1"/>
  <c r="S655" i="7" s="1"/>
  <c r="P654" i="7"/>
  <c r="R654" i="7" s="1"/>
  <c r="S654" i="7" s="1"/>
  <c r="P651" i="7"/>
  <c r="R651" i="7" s="1"/>
  <c r="S651" i="7" s="1"/>
  <c r="P650" i="7"/>
  <c r="J650" i="7"/>
  <c r="P647" i="7"/>
  <c r="R647" i="7" s="1"/>
  <c r="S647" i="7" s="1"/>
  <c r="P646" i="7"/>
  <c r="R646" i="7" s="1"/>
  <c r="S646" i="7" s="1"/>
  <c r="P645" i="7"/>
  <c r="R645" i="7" s="1"/>
  <c r="S645" i="7" s="1"/>
  <c r="P644" i="7"/>
  <c r="R644" i="7" s="1"/>
  <c r="S644" i="7" s="1"/>
  <c r="P643" i="7"/>
  <c r="R643" i="7" s="1"/>
  <c r="S643" i="7" s="1"/>
  <c r="P640" i="7"/>
  <c r="R640" i="7" s="1"/>
  <c r="S640" i="7" s="1"/>
  <c r="P637" i="7"/>
  <c r="J637" i="7"/>
  <c r="P636" i="7"/>
  <c r="J636" i="7"/>
  <c r="P635" i="7"/>
  <c r="J635" i="7"/>
  <c r="P634" i="7"/>
  <c r="J634" i="7"/>
  <c r="P633" i="7"/>
  <c r="J633" i="7"/>
  <c r="P632" i="7"/>
  <c r="J632" i="7"/>
  <c r="P631" i="7"/>
  <c r="J631" i="7"/>
  <c r="P630" i="7"/>
  <c r="J630" i="7"/>
  <c r="P629" i="7"/>
  <c r="J629" i="7"/>
  <c r="P628" i="7"/>
  <c r="R628" i="7" s="1"/>
  <c r="S628" i="7" s="1"/>
  <c r="P627" i="7"/>
  <c r="J627" i="7"/>
  <c r="P626" i="7"/>
  <c r="J626" i="7"/>
  <c r="P625" i="7"/>
  <c r="J625" i="7"/>
  <c r="P624" i="7"/>
  <c r="J624" i="7"/>
  <c r="P623" i="7"/>
  <c r="J623" i="7"/>
  <c r="P621" i="7"/>
  <c r="J621" i="7"/>
  <c r="P618" i="7"/>
  <c r="R618" i="7" s="1"/>
  <c r="S618" i="7" s="1"/>
  <c r="P617" i="7"/>
  <c r="R617" i="7" s="1"/>
  <c r="S617" i="7" s="1"/>
  <c r="P616" i="7"/>
  <c r="R616" i="7" s="1"/>
  <c r="S616" i="7" s="1"/>
  <c r="P615" i="7"/>
  <c r="R615" i="7" s="1"/>
  <c r="S615" i="7" s="1"/>
  <c r="P614" i="7"/>
  <c r="R614" i="7" s="1"/>
  <c r="S614" i="7" s="1"/>
  <c r="P613" i="7"/>
  <c r="R613" i="7" s="1"/>
  <c r="S613" i="7" s="1"/>
  <c r="P610" i="7"/>
  <c r="R610" i="7" s="1"/>
  <c r="S610" i="7" s="1"/>
  <c r="P609" i="7"/>
  <c r="R609" i="7" s="1"/>
  <c r="S609" i="7" s="1"/>
  <c r="P608" i="7"/>
  <c r="R608" i="7" s="1"/>
  <c r="S608" i="7" s="1"/>
  <c r="P607" i="7"/>
  <c r="R607" i="7" s="1"/>
  <c r="S607" i="7" s="1"/>
  <c r="P606" i="7"/>
  <c r="R606" i="7" s="1"/>
  <c r="S606" i="7" s="1"/>
  <c r="P603" i="7"/>
  <c r="R603" i="7" s="1"/>
  <c r="S603" i="7" s="1"/>
  <c r="P601" i="7"/>
  <c r="J601" i="7"/>
  <c r="P598" i="7"/>
  <c r="J598" i="7"/>
  <c r="P597" i="7"/>
  <c r="J597" i="7"/>
  <c r="P594" i="7"/>
  <c r="R594" i="7" s="1"/>
  <c r="S594" i="7" s="1"/>
  <c r="P592" i="7"/>
  <c r="J592" i="7"/>
  <c r="P591" i="7"/>
  <c r="J591" i="7"/>
  <c r="P589" i="7"/>
  <c r="R589" i="7" s="1"/>
  <c r="S589" i="7" s="1"/>
  <c r="P587" i="7"/>
  <c r="R587" i="7" s="1"/>
  <c r="S587" i="7" s="1"/>
  <c r="P586" i="7"/>
  <c r="J586" i="7"/>
  <c r="P583" i="7"/>
  <c r="J583" i="7"/>
  <c r="P581" i="7"/>
  <c r="J581" i="7"/>
  <c r="P579" i="7"/>
  <c r="R579" i="7" s="1"/>
  <c r="S579" i="7" s="1"/>
  <c r="P576" i="7"/>
  <c r="J576" i="7"/>
  <c r="P575" i="7"/>
  <c r="J575" i="7"/>
  <c r="P573" i="7"/>
  <c r="R573" i="7" s="1"/>
  <c r="S573" i="7" s="1"/>
  <c r="P572" i="7"/>
  <c r="R572" i="7" s="1"/>
  <c r="S572" i="7" s="1"/>
  <c r="P571" i="7"/>
  <c r="R571" i="7" s="1"/>
  <c r="S571" i="7" s="1"/>
  <c r="P570" i="7"/>
  <c r="R570" i="7" s="1"/>
  <c r="S570" i="7" s="1"/>
  <c r="P569" i="7"/>
  <c r="R569" i="7" s="1"/>
  <c r="S569" i="7" s="1"/>
  <c r="P568" i="7"/>
  <c r="R568" i="7" s="1"/>
  <c r="S568" i="7" s="1"/>
  <c r="P565" i="7"/>
  <c r="R565" i="7" s="1"/>
  <c r="S565" i="7" s="1"/>
  <c r="P564" i="7"/>
  <c r="R564" i="7" s="1"/>
  <c r="S564" i="7" s="1"/>
  <c r="P562" i="7"/>
  <c r="R562" i="7" s="1"/>
  <c r="S562" i="7" s="1"/>
  <c r="P560" i="7"/>
  <c r="R560" i="7" s="1"/>
  <c r="S560" i="7" s="1"/>
  <c r="P559" i="7"/>
  <c r="R559" i="7" s="1"/>
  <c r="S559" i="7" s="1"/>
  <c r="P558" i="7"/>
  <c r="R558" i="7" s="1"/>
  <c r="S558" i="7" s="1"/>
  <c r="P557" i="7"/>
  <c r="R557" i="7" s="1"/>
  <c r="S557" i="7" s="1"/>
  <c r="P556" i="7"/>
  <c r="R556" i="7" s="1"/>
  <c r="S556" i="7" s="1"/>
  <c r="P555" i="7"/>
  <c r="R555" i="7" s="1"/>
  <c r="S555" i="7" s="1"/>
  <c r="P554" i="7"/>
  <c r="R554" i="7" s="1"/>
  <c r="S554" i="7" s="1"/>
  <c r="P553" i="7"/>
  <c r="R553" i="7" s="1"/>
  <c r="S553" i="7" s="1"/>
  <c r="P552" i="7"/>
  <c r="R552" i="7" s="1"/>
  <c r="S552" i="7" s="1"/>
  <c r="P551" i="7"/>
  <c r="R551" i="7" s="1"/>
  <c r="S551" i="7" s="1"/>
  <c r="P550" i="7"/>
  <c r="R550" i="7" s="1"/>
  <c r="S550" i="7" s="1"/>
  <c r="P549" i="7"/>
  <c r="R549" i="7" s="1"/>
  <c r="S549" i="7" s="1"/>
  <c r="P548" i="7"/>
  <c r="R548" i="7" s="1"/>
  <c r="S548" i="7" s="1"/>
  <c r="P547" i="7"/>
  <c r="R547" i="7" s="1"/>
  <c r="S547" i="7" s="1"/>
  <c r="P546" i="7"/>
  <c r="R546" i="7" s="1"/>
  <c r="S546" i="7" s="1"/>
  <c r="P545" i="7"/>
  <c r="R545" i="7" s="1"/>
  <c r="S545" i="7" s="1"/>
  <c r="P544" i="7"/>
  <c r="R544" i="7" s="1"/>
  <c r="S544" i="7" s="1"/>
  <c r="P543" i="7"/>
  <c r="R543" i="7" s="1"/>
  <c r="S543" i="7" s="1"/>
  <c r="P542" i="7"/>
  <c r="R542" i="7" s="1"/>
  <c r="S542" i="7" s="1"/>
  <c r="P541" i="7"/>
  <c r="R541" i="7" s="1"/>
  <c r="S541" i="7" s="1"/>
  <c r="P540" i="7"/>
  <c r="R540" i="7" s="1"/>
  <c r="S540" i="7" s="1"/>
  <c r="P539" i="7"/>
  <c r="R539" i="7" s="1"/>
  <c r="S539" i="7" s="1"/>
  <c r="P538" i="7"/>
  <c r="R538" i="7" s="1"/>
  <c r="S538" i="7" s="1"/>
  <c r="P537" i="7"/>
  <c r="R537" i="7" s="1"/>
  <c r="S537" i="7" s="1"/>
  <c r="P536" i="7"/>
  <c r="J536" i="7"/>
  <c r="P534" i="7"/>
  <c r="R534" i="7" s="1"/>
  <c r="S534" i="7" s="1"/>
  <c r="P533" i="7"/>
  <c r="R533" i="7" s="1"/>
  <c r="S533" i="7" s="1"/>
  <c r="P531" i="7"/>
  <c r="R531" i="7" s="1"/>
  <c r="S531" i="7" s="1"/>
  <c r="P529" i="7"/>
  <c r="J529" i="7"/>
  <c r="P528" i="7"/>
  <c r="J528" i="7"/>
  <c r="P527" i="7"/>
  <c r="J527" i="7"/>
  <c r="P526" i="7"/>
  <c r="J526" i="7"/>
  <c r="P525" i="7"/>
  <c r="J525" i="7"/>
  <c r="P524" i="7"/>
  <c r="J524" i="7"/>
  <c r="P523" i="7"/>
  <c r="J523" i="7"/>
  <c r="J522" i="7"/>
  <c r="P522" i="7"/>
  <c r="P521" i="7"/>
  <c r="J521" i="7"/>
  <c r="P520" i="7"/>
  <c r="R520" i="7" s="1"/>
  <c r="S520" i="7" s="1"/>
  <c r="P519" i="7"/>
  <c r="J519" i="7"/>
  <c r="P518" i="7"/>
  <c r="J518" i="7"/>
  <c r="P517" i="7"/>
  <c r="J517" i="7"/>
  <c r="P514" i="7"/>
  <c r="J514" i="7"/>
  <c r="P513" i="7"/>
  <c r="J513" i="7"/>
  <c r="P512" i="7"/>
  <c r="J512" i="7"/>
  <c r="P511" i="7"/>
  <c r="J511" i="7"/>
  <c r="P510" i="7"/>
  <c r="J510" i="7"/>
  <c r="J509" i="7"/>
  <c r="P509" i="7"/>
  <c r="P508" i="7"/>
  <c r="R508" i="7" s="1"/>
  <c r="S508" i="7" s="1"/>
  <c r="P507" i="7"/>
  <c r="J507" i="7"/>
  <c r="P506" i="7"/>
  <c r="J506" i="7"/>
  <c r="P505" i="7"/>
  <c r="R505" i="7" s="1"/>
  <c r="S505" i="7" s="1"/>
  <c r="P503" i="7"/>
  <c r="R503" i="7" s="1"/>
  <c r="S503" i="7" s="1"/>
  <c r="P502" i="7"/>
  <c r="R502" i="7" s="1"/>
  <c r="S502" i="7" s="1"/>
  <c r="P501" i="7"/>
  <c r="R501" i="7" s="1"/>
  <c r="S501" i="7" s="1"/>
  <c r="P500" i="7"/>
  <c r="R500" i="7" s="1"/>
  <c r="S500" i="7" s="1"/>
  <c r="P499" i="7"/>
  <c r="R499" i="7" s="1"/>
  <c r="S499" i="7" s="1"/>
  <c r="P498" i="7"/>
  <c r="R498" i="7" s="1"/>
  <c r="S498" i="7" s="1"/>
  <c r="P497" i="7"/>
  <c r="R497" i="7" s="1"/>
  <c r="S497" i="7" s="1"/>
  <c r="P496" i="7"/>
  <c r="R496" i="7" s="1"/>
  <c r="S496" i="7" s="1"/>
  <c r="P495" i="7"/>
  <c r="R495" i="7" s="1"/>
  <c r="S495" i="7" s="1"/>
  <c r="P494" i="7"/>
  <c r="R494" i="7" s="1"/>
  <c r="S494" i="7" s="1"/>
  <c r="P493" i="7"/>
  <c r="R493" i="7" s="1"/>
  <c r="S493" i="7" s="1"/>
  <c r="P492" i="7"/>
  <c r="R492" i="7" s="1"/>
  <c r="S492" i="7" s="1"/>
  <c r="P491" i="7"/>
  <c r="R491" i="7" s="1"/>
  <c r="S491" i="7" s="1"/>
  <c r="P490" i="7"/>
  <c r="R490" i="7" s="1"/>
  <c r="S490" i="7" s="1"/>
  <c r="P488" i="7"/>
  <c r="R488" i="7" s="1"/>
  <c r="S488" i="7" s="1"/>
  <c r="P487" i="7"/>
  <c r="R487" i="7" s="1"/>
  <c r="S487" i="7" s="1"/>
  <c r="P485" i="7"/>
  <c r="R485" i="7" s="1"/>
  <c r="S485" i="7" s="1"/>
  <c r="P484" i="7"/>
  <c r="R484" i="7" s="1"/>
  <c r="S484" i="7" s="1"/>
  <c r="P483" i="7"/>
  <c r="R483" i="7" s="1"/>
  <c r="S483" i="7" s="1"/>
  <c r="P482" i="7"/>
  <c r="R482" i="7" s="1"/>
  <c r="S482" i="7" s="1"/>
  <c r="P479" i="7"/>
  <c r="J479" i="7"/>
  <c r="P478" i="7"/>
  <c r="J478" i="7"/>
  <c r="P477" i="7"/>
  <c r="R477" i="7" s="1"/>
  <c r="S477" i="7" s="1"/>
  <c r="P476" i="7"/>
  <c r="R476" i="7" s="1"/>
  <c r="S476" i="7" s="1"/>
  <c r="P475" i="7"/>
  <c r="R475" i="7" s="1"/>
  <c r="S475" i="7" s="1"/>
  <c r="P474" i="7"/>
  <c r="J474" i="7"/>
  <c r="P473" i="7"/>
  <c r="R473" i="7" s="1"/>
  <c r="S473" i="7" s="1"/>
  <c r="P471" i="7"/>
  <c r="R471" i="7" s="1"/>
  <c r="S471" i="7" s="1"/>
  <c r="P469" i="7"/>
  <c r="R469" i="7" s="1"/>
  <c r="S469" i="7" s="1"/>
  <c r="P468" i="7"/>
  <c r="R468" i="7" s="1"/>
  <c r="S468" i="7" s="1"/>
  <c r="P467" i="7"/>
  <c r="R467" i="7" s="1"/>
  <c r="S467" i="7" s="1"/>
  <c r="P466" i="7"/>
  <c r="R466" i="7" s="1"/>
  <c r="S466" i="7" s="1"/>
  <c r="P465" i="7"/>
  <c r="R465" i="7" s="1"/>
  <c r="S465" i="7" s="1"/>
  <c r="P463" i="7"/>
  <c r="R463" i="7" s="1"/>
  <c r="S463" i="7" s="1"/>
  <c r="P462" i="7"/>
  <c r="R462" i="7" s="1"/>
  <c r="S462" i="7" s="1"/>
  <c r="P461" i="7"/>
  <c r="R461" i="7" s="1"/>
  <c r="S461" i="7" s="1"/>
  <c r="P457" i="7"/>
  <c r="J457" i="7"/>
  <c r="P456" i="7"/>
  <c r="J456" i="7"/>
  <c r="P454" i="7"/>
  <c r="R454" i="7" s="1"/>
  <c r="S454" i="7" s="1"/>
  <c r="P453" i="7"/>
  <c r="R453" i="7" s="1"/>
  <c r="S453" i="7" s="1"/>
  <c r="P450" i="7"/>
  <c r="R450" i="7" s="1"/>
  <c r="S450" i="7" s="1"/>
  <c r="P449" i="7"/>
  <c r="R449" i="7" s="1"/>
  <c r="S449" i="7" s="1"/>
  <c r="P446" i="7"/>
  <c r="J446" i="7"/>
  <c r="P445" i="7"/>
  <c r="J445" i="7"/>
  <c r="P444" i="7"/>
  <c r="P442" i="7"/>
  <c r="R442" i="7" s="1"/>
  <c r="S442" i="7" s="1"/>
  <c r="P441" i="7"/>
  <c r="R441" i="7" s="1"/>
  <c r="S441" i="7" s="1"/>
  <c r="P438" i="7"/>
  <c r="R438" i="7" s="1"/>
  <c r="S438" i="7" s="1"/>
  <c r="P437" i="7"/>
  <c r="J437" i="7"/>
  <c r="J436" i="7"/>
  <c r="R436" i="7" s="1"/>
  <c r="S436" i="7" s="1"/>
  <c r="P435" i="7"/>
  <c r="J435" i="7"/>
  <c r="P433" i="7"/>
  <c r="R433" i="7" s="1"/>
  <c r="S433" i="7" s="1"/>
  <c r="P432" i="7"/>
  <c r="R432" i="7" s="1"/>
  <c r="S432" i="7" s="1"/>
  <c r="P431" i="7"/>
  <c r="R431" i="7" s="1"/>
  <c r="S431" i="7" s="1"/>
  <c r="P430" i="7"/>
  <c r="R430" i="7" s="1"/>
  <c r="S430" i="7" s="1"/>
  <c r="P429" i="7"/>
  <c r="R429" i="7" s="1"/>
  <c r="S429" i="7" s="1"/>
  <c r="P425" i="7"/>
  <c r="R425" i="7" s="1"/>
  <c r="S425" i="7" s="1"/>
  <c r="P421" i="7"/>
  <c r="J421" i="7"/>
  <c r="P420" i="7"/>
  <c r="J420" i="7"/>
  <c r="P419" i="7"/>
  <c r="P418" i="7"/>
  <c r="J418" i="7"/>
  <c r="J417" i="7"/>
  <c r="P417" i="7"/>
  <c r="P416" i="7"/>
  <c r="J416" i="7"/>
  <c r="P414" i="7"/>
  <c r="R414" i="7" s="1"/>
  <c r="S414" i="7" s="1"/>
  <c r="P412" i="7"/>
  <c r="R412" i="7" s="1"/>
  <c r="S412" i="7" s="1"/>
  <c r="P410" i="7"/>
  <c r="R410" i="7" s="1"/>
  <c r="S410" i="7" s="1"/>
  <c r="P409" i="7"/>
  <c r="R409" i="7" s="1"/>
  <c r="S409" i="7" s="1"/>
  <c r="P406" i="7"/>
  <c r="R406" i="7" s="1"/>
  <c r="S406" i="7" s="1"/>
  <c r="P403" i="7"/>
  <c r="R403" i="7" s="1"/>
  <c r="S403" i="7" s="1"/>
  <c r="P400" i="7"/>
  <c r="J400" i="7"/>
  <c r="P399" i="7"/>
  <c r="J399" i="7"/>
  <c r="P398" i="7"/>
  <c r="J398" i="7"/>
  <c r="P396" i="7"/>
  <c r="J396" i="7"/>
  <c r="P395" i="7"/>
  <c r="J395" i="7"/>
  <c r="P394" i="7"/>
  <c r="J394" i="7"/>
  <c r="P393" i="7"/>
  <c r="J393" i="7"/>
  <c r="P392" i="7"/>
  <c r="J392" i="7"/>
  <c r="P391" i="7"/>
  <c r="J391" i="7"/>
  <c r="P390" i="7"/>
  <c r="J390" i="7"/>
  <c r="S389" i="7"/>
  <c r="P387" i="7"/>
  <c r="J387" i="7"/>
  <c r="P386" i="7"/>
  <c r="J386" i="7"/>
  <c r="P385" i="7"/>
  <c r="J385" i="7"/>
  <c r="P383" i="7"/>
  <c r="J383" i="7"/>
  <c r="P382" i="7"/>
  <c r="J382" i="7"/>
  <c r="P381" i="7"/>
  <c r="J381" i="7"/>
  <c r="P380" i="7"/>
  <c r="J380" i="7"/>
  <c r="P379" i="7"/>
  <c r="J379" i="7"/>
  <c r="P375" i="7"/>
  <c r="J375" i="7"/>
  <c r="P373" i="7"/>
  <c r="R373" i="7" s="1"/>
  <c r="S373" i="7" s="1"/>
  <c r="P370" i="7"/>
  <c r="J370" i="7"/>
  <c r="P369" i="7"/>
  <c r="J369" i="7"/>
  <c r="J368" i="7"/>
  <c r="P368" i="7"/>
  <c r="P366" i="7"/>
  <c r="R366" i="7" s="1"/>
  <c r="S366" i="7" s="1"/>
  <c r="P363" i="7"/>
  <c r="J363" i="7"/>
  <c r="P362" i="7"/>
  <c r="J362" i="7"/>
  <c r="P361" i="7"/>
  <c r="J361" i="7"/>
  <c r="P359" i="7"/>
  <c r="R359" i="7" s="1"/>
  <c r="S359" i="7" s="1"/>
  <c r="P358" i="7"/>
  <c r="R358" i="7" s="1"/>
  <c r="S358" i="7" s="1"/>
  <c r="P357" i="7"/>
  <c r="R357" i="7" s="1"/>
  <c r="S357" i="7" s="1"/>
  <c r="P356" i="7"/>
  <c r="R356" i="7" s="1"/>
  <c r="S356" i="7" s="1"/>
  <c r="P355" i="7"/>
  <c r="R355" i="7" s="1"/>
  <c r="S355" i="7" s="1"/>
  <c r="P354" i="7"/>
  <c r="R354" i="7" s="1"/>
  <c r="S354" i="7" s="1"/>
  <c r="P353" i="7"/>
  <c r="R353" i="7" s="1"/>
  <c r="S353" i="7" s="1"/>
  <c r="P352" i="7"/>
  <c r="R352" i="7" s="1"/>
  <c r="S352" i="7" s="1"/>
  <c r="P351" i="7"/>
  <c r="R351" i="7" s="1"/>
  <c r="S351" i="7" s="1"/>
  <c r="P347" i="7"/>
  <c r="R347" i="7" s="1"/>
  <c r="S347" i="7" s="1"/>
  <c r="P346" i="7"/>
  <c r="R346" i="7" s="1"/>
  <c r="S346" i="7" s="1"/>
  <c r="P345" i="7"/>
  <c r="R345" i="7" s="1"/>
  <c r="S345" i="7" s="1"/>
  <c r="P344" i="7"/>
  <c r="R344" i="7" s="1"/>
  <c r="S344" i="7" s="1"/>
  <c r="P343" i="7"/>
  <c r="R343" i="7" s="1"/>
  <c r="S343" i="7" s="1"/>
  <c r="P342" i="7"/>
  <c r="R342" i="7" s="1"/>
  <c r="S342" i="7" s="1"/>
  <c r="P341" i="7"/>
  <c r="R341" i="7" s="1"/>
  <c r="S341" i="7" s="1"/>
  <c r="P338" i="7"/>
  <c r="R338" i="7" s="1"/>
  <c r="S338" i="7" s="1"/>
  <c r="P337" i="7"/>
  <c r="R337" i="7" s="1"/>
  <c r="S337" i="7" s="1"/>
  <c r="P335" i="7"/>
  <c r="R335" i="7" s="1"/>
  <c r="S335" i="7" s="1"/>
  <c r="P334" i="7"/>
  <c r="R334" i="7" s="1"/>
  <c r="S334" i="7" s="1"/>
  <c r="P333" i="7"/>
  <c r="R333" i="7" s="1"/>
  <c r="S333" i="7" s="1"/>
  <c r="P330" i="7"/>
  <c r="R330" i="7" s="1"/>
  <c r="S330" i="7" s="1"/>
  <c r="P328" i="7"/>
  <c r="J328" i="7"/>
  <c r="P324" i="7"/>
  <c r="J324" i="7"/>
  <c r="P323" i="7"/>
  <c r="J323" i="7"/>
  <c r="P320" i="7"/>
  <c r="J320" i="7"/>
  <c r="P319" i="7"/>
  <c r="J319" i="7"/>
  <c r="P317" i="7"/>
  <c r="R317" i="7" s="1"/>
  <c r="S317" i="7" s="1"/>
  <c r="P316" i="7"/>
  <c r="R316" i="7" s="1"/>
  <c r="S316" i="7" s="1"/>
  <c r="P315" i="7"/>
  <c r="R315" i="7" s="1"/>
  <c r="S315" i="7" s="1"/>
  <c r="P314" i="7"/>
  <c r="R314" i="7" s="1"/>
  <c r="S314" i="7" s="1"/>
  <c r="P313" i="7"/>
  <c r="R313" i="7" s="1"/>
  <c r="S313" i="7" s="1"/>
  <c r="P312" i="7"/>
  <c r="R312" i="7" s="1"/>
  <c r="S312" i="7" s="1"/>
  <c r="P311" i="7"/>
  <c r="R311" i="7" s="1"/>
  <c r="S311" i="7" s="1"/>
  <c r="P310" i="7"/>
  <c r="R310" i="7" s="1"/>
  <c r="S310" i="7" s="1"/>
  <c r="P309" i="7"/>
  <c r="R309" i="7" s="1"/>
  <c r="S309" i="7" s="1"/>
  <c r="P308" i="7"/>
  <c r="R308" i="7" s="1"/>
  <c r="S308" i="7" s="1"/>
  <c r="P305" i="7"/>
  <c r="J305" i="7"/>
  <c r="P304" i="7"/>
  <c r="J304" i="7"/>
  <c r="P301" i="7"/>
  <c r="J301" i="7"/>
  <c r="P300" i="7"/>
  <c r="J300" i="7"/>
  <c r="P299" i="7"/>
  <c r="J299" i="7"/>
  <c r="P298" i="7"/>
  <c r="J298" i="7"/>
  <c r="P297" i="7"/>
  <c r="J297" i="7"/>
  <c r="P295" i="7"/>
  <c r="R295" i="7" s="1"/>
  <c r="S295" i="7" s="1"/>
  <c r="P294" i="7"/>
  <c r="R294" i="7" s="1"/>
  <c r="S294" i="7" s="1"/>
  <c r="P293" i="7"/>
  <c r="R293" i="7" s="1"/>
  <c r="S293" i="7" s="1"/>
  <c r="P292" i="7"/>
  <c r="R292" i="7" s="1"/>
  <c r="S292" i="7" s="1"/>
  <c r="P291" i="7"/>
  <c r="R291" i="7" s="1"/>
  <c r="S291" i="7" s="1"/>
  <c r="P290" i="7"/>
  <c r="R290" i="7" s="1"/>
  <c r="S290" i="7" s="1"/>
  <c r="P289" i="7"/>
  <c r="R289" i="7" s="1"/>
  <c r="S289" i="7" s="1"/>
  <c r="P288" i="7"/>
  <c r="R288" i="7" s="1"/>
  <c r="S288" i="7" s="1"/>
  <c r="P287" i="7"/>
  <c r="R287" i="7" s="1"/>
  <c r="S287" i="7" s="1"/>
  <c r="P286" i="7"/>
  <c r="R286" i="7" s="1"/>
  <c r="S286" i="7" s="1"/>
  <c r="P285" i="7"/>
  <c r="R285" i="7" s="1"/>
  <c r="S285" i="7" s="1"/>
  <c r="P284" i="7"/>
  <c r="J284" i="7"/>
  <c r="P281" i="7"/>
  <c r="J281" i="7"/>
  <c r="P278" i="7"/>
  <c r="J278" i="7"/>
  <c r="P276" i="7"/>
  <c r="J276" i="7"/>
  <c r="P275" i="7"/>
  <c r="J275" i="7"/>
  <c r="P274" i="7"/>
  <c r="R274" i="7" s="1"/>
  <c r="S274" i="7" s="1"/>
  <c r="P272" i="7"/>
  <c r="J272" i="7"/>
  <c r="P270" i="7"/>
  <c r="J270" i="7"/>
  <c r="P266" i="7"/>
  <c r="R266" i="7" s="1"/>
  <c r="S266" i="7" s="1"/>
  <c r="P263" i="7"/>
  <c r="R263" i="7" s="1"/>
  <c r="S263" i="7" s="1"/>
  <c r="P259" i="7"/>
  <c r="J259" i="7"/>
  <c r="P258" i="7"/>
  <c r="J258" i="7"/>
  <c r="P256" i="7"/>
  <c r="R256" i="7" s="1"/>
  <c r="S256" i="7" s="1"/>
  <c r="P255" i="7"/>
  <c r="R255" i="7" s="1"/>
  <c r="S255" i="7" s="1"/>
  <c r="P252" i="7"/>
  <c r="R252" i="7" s="1"/>
  <c r="S252" i="7" s="1"/>
  <c r="P249" i="7"/>
  <c r="J249" i="7"/>
  <c r="P248" i="7"/>
  <c r="J248" i="7"/>
  <c r="P247" i="7"/>
  <c r="J247" i="7"/>
  <c r="P245" i="7"/>
  <c r="R245" i="7" s="1"/>
  <c r="S245" i="7" s="1"/>
  <c r="P244" i="7"/>
  <c r="R244" i="7" s="1"/>
  <c r="S244" i="7" s="1"/>
  <c r="P243" i="7"/>
  <c r="R243" i="7" s="1"/>
  <c r="S243" i="7" s="1"/>
  <c r="J240" i="7"/>
  <c r="P240" i="7"/>
  <c r="P238" i="7"/>
  <c r="J238" i="7"/>
  <c r="P236" i="7"/>
  <c r="R236" i="7" s="1"/>
  <c r="S236" i="7" s="1"/>
  <c r="P235" i="7"/>
  <c r="R235" i="7" s="1"/>
  <c r="S235" i="7" s="1"/>
  <c r="P234" i="7"/>
  <c r="R234" i="7" s="1"/>
  <c r="S234" i="7" s="1"/>
  <c r="P231" i="7"/>
  <c r="R231" i="7" s="1"/>
  <c r="S231" i="7" s="1"/>
  <c r="P229" i="7"/>
  <c r="J229" i="7"/>
  <c r="P228" i="7"/>
  <c r="J228" i="7"/>
  <c r="P227" i="7"/>
  <c r="J227" i="7"/>
  <c r="P225" i="7"/>
  <c r="R225" i="7" s="1"/>
  <c r="S225" i="7" s="1"/>
  <c r="J224" i="7"/>
  <c r="H224" i="7"/>
  <c r="P224" i="7" s="1"/>
  <c r="P223" i="7"/>
  <c r="R223" i="7" s="1"/>
  <c r="S223" i="7" s="1"/>
  <c r="P222" i="7"/>
  <c r="R222" i="7" s="1"/>
  <c r="S222" i="7" s="1"/>
  <c r="P221" i="7"/>
  <c r="R221" i="7" s="1"/>
  <c r="S221" i="7" s="1"/>
  <c r="P220" i="7"/>
  <c r="R220" i="7" s="1"/>
  <c r="S220" i="7" s="1"/>
  <c r="P216" i="7"/>
  <c r="R216" i="7" s="1"/>
  <c r="S216" i="7" s="1"/>
  <c r="P215" i="7"/>
  <c r="R215" i="7" s="1"/>
  <c r="S215" i="7" s="1"/>
  <c r="P213" i="7"/>
  <c r="R213" i="7" s="1"/>
  <c r="S213" i="7" s="1"/>
  <c r="P210" i="7"/>
  <c r="R210" i="7" s="1"/>
  <c r="S210" i="7" s="1"/>
  <c r="P209" i="7"/>
  <c r="J209" i="7"/>
  <c r="P208" i="7"/>
  <c r="R208" i="7" s="1"/>
  <c r="S208" i="7" s="1"/>
  <c r="P207" i="7"/>
  <c r="J207" i="7"/>
  <c r="P205" i="7"/>
  <c r="R205" i="7" s="1"/>
  <c r="S205" i="7" s="1"/>
  <c r="P204" i="7"/>
  <c r="R204" i="7" s="1"/>
  <c r="S204" i="7" s="1"/>
  <c r="P203" i="7"/>
  <c r="R203" i="7" s="1"/>
  <c r="S203" i="7" s="1"/>
  <c r="P201" i="7"/>
  <c r="R201" i="7" s="1"/>
  <c r="S201" i="7" s="1"/>
  <c r="P198" i="7"/>
  <c r="J198" i="7"/>
  <c r="P197" i="7"/>
  <c r="J197" i="7"/>
  <c r="P196" i="7"/>
  <c r="J196" i="7"/>
  <c r="P195" i="7"/>
  <c r="J195" i="7"/>
  <c r="P194" i="7"/>
  <c r="J194" i="7"/>
  <c r="J193" i="7"/>
  <c r="P193" i="7"/>
  <c r="P192" i="7"/>
  <c r="R192" i="7" s="1"/>
  <c r="S192" i="7" s="1"/>
  <c r="P191" i="7"/>
  <c r="R191" i="7" s="1"/>
  <c r="S191" i="7" s="1"/>
  <c r="P189" i="7"/>
  <c r="J189" i="7"/>
  <c r="P188" i="7"/>
  <c r="P186" i="7"/>
  <c r="R186" i="7" s="1"/>
  <c r="S186" i="7" s="1"/>
  <c r="P185" i="7"/>
  <c r="R185" i="7" s="1"/>
  <c r="S185" i="7" s="1"/>
  <c r="P184" i="7"/>
  <c r="R184" i="7" s="1"/>
  <c r="S184" i="7" s="1"/>
  <c r="P183" i="7"/>
  <c r="R183" i="7" s="1"/>
  <c r="S183" i="7" s="1"/>
  <c r="P182" i="7"/>
  <c r="R182" i="7" s="1"/>
  <c r="S182" i="7" s="1"/>
  <c r="P181" i="7"/>
  <c r="R181" i="7" s="1"/>
  <c r="S181" i="7" s="1"/>
  <c r="P180" i="7"/>
  <c r="R180" i="7" s="1"/>
  <c r="S180" i="7" s="1"/>
  <c r="P179" i="7"/>
  <c r="R179" i="7" s="1"/>
  <c r="S179" i="7" s="1"/>
  <c r="P178" i="7"/>
  <c r="R178" i="7" s="1"/>
  <c r="S178" i="7" s="1"/>
  <c r="P177" i="7"/>
  <c r="R177" i="7" s="1"/>
  <c r="S177" i="7" s="1"/>
  <c r="P174" i="7"/>
  <c r="J174" i="7"/>
  <c r="P173" i="7"/>
  <c r="J173" i="7"/>
  <c r="P172" i="7"/>
  <c r="J172" i="7"/>
  <c r="P171" i="7"/>
  <c r="J171" i="7"/>
  <c r="P170" i="7"/>
  <c r="J170" i="7"/>
  <c r="P168" i="7"/>
  <c r="J168" i="7"/>
  <c r="P167" i="7"/>
  <c r="J167" i="7"/>
  <c r="P166" i="7"/>
  <c r="J166" i="7"/>
  <c r="P165" i="7"/>
  <c r="J165" i="7"/>
  <c r="P164" i="7"/>
  <c r="J164" i="7"/>
  <c r="P163" i="7"/>
  <c r="J163" i="7"/>
  <c r="P162" i="7"/>
  <c r="J162" i="7"/>
  <c r="P161" i="7"/>
  <c r="J161" i="7"/>
  <c r="P160" i="7"/>
  <c r="J160" i="7"/>
  <c r="P158" i="7"/>
  <c r="J158" i="7"/>
  <c r="P157" i="7"/>
  <c r="P155" i="7"/>
  <c r="J155" i="7"/>
  <c r="P153" i="7"/>
  <c r="J153" i="7"/>
  <c r="P152" i="7"/>
  <c r="J152" i="7"/>
  <c r="P151" i="7"/>
  <c r="J151" i="7"/>
  <c r="P150" i="7"/>
  <c r="J150" i="7"/>
  <c r="P149" i="7"/>
  <c r="J149" i="7"/>
  <c r="P148" i="7"/>
  <c r="J148" i="7"/>
  <c r="P147" i="7"/>
  <c r="J147" i="7"/>
  <c r="P146" i="7"/>
  <c r="J146" i="7"/>
  <c r="J145" i="7"/>
  <c r="P145" i="7"/>
  <c r="P142" i="7"/>
  <c r="J142" i="7"/>
  <c r="P140" i="7"/>
  <c r="J140" i="7"/>
  <c r="P139" i="7"/>
  <c r="P138" i="7"/>
  <c r="J138" i="7"/>
  <c r="P137" i="7"/>
  <c r="J136" i="7"/>
  <c r="P135" i="7"/>
  <c r="J135" i="7"/>
  <c r="P134" i="7"/>
  <c r="J134" i="7"/>
  <c r="P132" i="7"/>
  <c r="R132" i="7" s="1"/>
  <c r="S132" i="7" s="1"/>
  <c r="P131" i="7"/>
  <c r="R131" i="7" s="1"/>
  <c r="S131" i="7" s="1"/>
  <c r="P130" i="7"/>
  <c r="J130" i="7"/>
  <c r="P129" i="7"/>
  <c r="R129" i="7" s="1"/>
  <c r="S129" i="7" s="1"/>
  <c r="P128" i="7"/>
  <c r="J128" i="7"/>
  <c r="P127" i="7"/>
  <c r="J127" i="7"/>
  <c r="P126" i="7"/>
  <c r="R126" i="7" s="1"/>
  <c r="S126" i="7" s="1"/>
  <c r="P125" i="7"/>
  <c r="R125" i="7" s="1"/>
  <c r="S125" i="7" s="1"/>
  <c r="P124" i="7"/>
  <c r="R124" i="7" s="1"/>
  <c r="S124" i="7" s="1"/>
  <c r="P123" i="7"/>
  <c r="R123" i="7" s="1"/>
  <c r="S123" i="7" s="1"/>
  <c r="P122" i="7"/>
  <c r="R122" i="7" s="1"/>
  <c r="S122" i="7" s="1"/>
  <c r="P121" i="7"/>
  <c r="R121" i="7" s="1"/>
  <c r="S121" i="7" s="1"/>
  <c r="P120" i="7"/>
  <c r="R120" i="7" s="1"/>
  <c r="S120" i="7" s="1"/>
  <c r="P119" i="7"/>
  <c r="R119" i="7" s="1"/>
  <c r="S119" i="7" s="1"/>
  <c r="P118" i="7"/>
  <c r="R118" i="7" s="1"/>
  <c r="S118" i="7" s="1"/>
  <c r="J114" i="7"/>
  <c r="J113" i="7"/>
  <c r="P113" i="7"/>
  <c r="P112" i="7"/>
  <c r="J112" i="7"/>
  <c r="P111" i="7"/>
  <c r="J111" i="7"/>
  <c r="P109" i="7"/>
  <c r="R109" i="7" s="1"/>
  <c r="S109" i="7" s="1"/>
  <c r="P108" i="7"/>
  <c r="R108" i="7" s="1"/>
  <c r="S108" i="7" s="1"/>
  <c r="P107" i="7"/>
  <c r="R107" i="7" s="1"/>
  <c r="S107" i="7" s="1"/>
  <c r="P106" i="7"/>
  <c r="R106" i="7" s="1"/>
  <c r="S106" i="7" s="1"/>
  <c r="P103" i="7"/>
  <c r="P102" i="7"/>
  <c r="J101" i="7"/>
  <c r="P101" i="7"/>
  <c r="J100" i="7"/>
  <c r="P99" i="7"/>
  <c r="J99" i="7"/>
  <c r="P98" i="7"/>
  <c r="J98" i="7"/>
  <c r="J97" i="7"/>
  <c r="P97" i="7"/>
  <c r="P95" i="7"/>
  <c r="J95" i="7"/>
  <c r="P94" i="7"/>
  <c r="R94" i="7" s="1"/>
  <c r="S94" i="7" s="1"/>
  <c r="P93" i="7"/>
  <c r="R93" i="7" s="1"/>
  <c r="S93" i="7" s="1"/>
  <c r="P92" i="7"/>
  <c r="R92" i="7" s="1"/>
  <c r="S92" i="7" s="1"/>
  <c r="P91" i="7"/>
  <c r="R91" i="7" s="1"/>
  <c r="S91" i="7" s="1"/>
  <c r="P90" i="7"/>
  <c r="R90" i="7" s="1"/>
  <c r="S90" i="7" s="1"/>
  <c r="P89" i="7"/>
  <c r="R89" i="7" s="1"/>
  <c r="S89" i="7" s="1"/>
  <c r="P88" i="7"/>
  <c r="R88" i="7" s="1"/>
  <c r="S88" i="7" s="1"/>
  <c r="P87" i="7"/>
  <c r="R87" i="7" s="1"/>
  <c r="S87" i="7" s="1"/>
  <c r="P86" i="7"/>
  <c r="R86" i="7" s="1"/>
  <c r="S86" i="7" s="1"/>
  <c r="P85" i="7"/>
  <c r="R85" i="7" s="1"/>
  <c r="S85" i="7" s="1"/>
  <c r="P84" i="7"/>
  <c r="R84" i="7" s="1"/>
  <c r="S84" i="7" s="1"/>
  <c r="P83" i="7"/>
  <c r="R83" i="7" s="1"/>
  <c r="S83" i="7" s="1"/>
  <c r="P82" i="7"/>
  <c r="R82" i="7" s="1"/>
  <c r="S82" i="7" s="1"/>
  <c r="P78" i="7"/>
  <c r="R78" i="7" s="1"/>
  <c r="S78" i="7" s="1"/>
  <c r="P77" i="7"/>
  <c r="R77" i="7" s="1"/>
  <c r="S77" i="7" s="1"/>
  <c r="S76" i="7"/>
  <c r="P74" i="7"/>
  <c r="R74" i="7" s="1"/>
  <c r="S74" i="7" s="1"/>
  <c r="P73" i="7"/>
  <c r="R73" i="7" s="1"/>
  <c r="S73" i="7" s="1"/>
  <c r="P71" i="7"/>
  <c r="R71" i="7" s="1"/>
  <c r="S71" i="7" s="1"/>
  <c r="P70" i="7"/>
  <c r="R70" i="7" s="1"/>
  <c r="S70" i="7" s="1"/>
  <c r="P69" i="7"/>
  <c r="R69" i="7" s="1"/>
  <c r="S69" i="7" s="1"/>
  <c r="P68" i="7"/>
  <c r="R68" i="7" s="1"/>
  <c r="S68" i="7" s="1"/>
  <c r="P67" i="7"/>
  <c r="R67" i="7" s="1"/>
  <c r="S67" i="7" s="1"/>
  <c r="P65" i="7"/>
  <c r="R65" i="7" s="1"/>
  <c r="S65" i="7" s="1"/>
  <c r="P64" i="7"/>
  <c r="R64" i="7" s="1"/>
  <c r="S64" i="7" s="1"/>
  <c r="P63" i="7"/>
  <c r="R63" i="7" s="1"/>
  <c r="S63" i="7" s="1"/>
  <c r="P62" i="7"/>
  <c r="R62" i="7" s="1"/>
  <c r="S62" i="7" s="1"/>
  <c r="P61" i="7"/>
  <c r="R61" i="7" s="1"/>
  <c r="S61" i="7" s="1"/>
  <c r="P60" i="7"/>
  <c r="R60" i="7" s="1"/>
  <c r="S60" i="7" s="1"/>
  <c r="P59" i="7"/>
  <c r="R59" i="7" s="1"/>
  <c r="S59" i="7" s="1"/>
  <c r="P58" i="7"/>
  <c r="R58" i="7" s="1"/>
  <c r="S58" i="7" s="1"/>
  <c r="P57" i="7"/>
  <c r="R57" i="7" s="1"/>
  <c r="S57" i="7" s="1"/>
  <c r="P56" i="7"/>
  <c r="R56" i="7" s="1"/>
  <c r="S56" i="7" s="1"/>
  <c r="P55" i="7"/>
  <c r="R55" i="7" s="1"/>
  <c r="S55" i="7" s="1"/>
  <c r="P54" i="7"/>
  <c r="R54" i="7" s="1"/>
  <c r="S54" i="7" s="1"/>
  <c r="P53" i="7"/>
  <c r="R53" i="7" s="1"/>
  <c r="S53" i="7" s="1"/>
  <c r="P52" i="7"/>
  <c r="R52" i="7" s="1"/>
  <c r="S52" i="7" s="1"/>
  <c r="P51" i="7"/>
  <c r="R51" i="7" s="1"/>
  <c r="S51" i="7" s="1"/>
  <c r="P50" i="7"/>
  <c r="R50" i="7" s="1"/>
  <c r="S50" i="7" s="1"/>
  <c r="P49" i="7"/>
  <c r="R49" i="7" s="1"/>
  <c r="S49" i="7" s="1"/>
  <c r="P46" i="7"/>
  <c r="R46" i="7" s="1"/>
  <c r="S46" i="7" s="1"/>
  <c r="P45" i="7"/>
  <c r="R45" i="7" s="1"/>
  <c r="S45" i="7" s="1"/>
  <c r="P41" i="7"/>
  <c r="J41" i="7"/>
  <c r="P40" i="7"/>
  <c r="J40" i="7"/>
  <c r="P39" i="7"/>
  <c r="J39" i="7"/>
  <c r="P38" i="7"/>
  <c r="J38" i="7"/>
  <c r="P37" i="7"/>
  <c r="J37" i="7"/>
  <c r="P35" i="7"/>
  <c r="J35" i="7"/>
  <c r="P33" i="7"/>
  <c r="R33" i="7" s="1"/>
  <c r="S33" i="7" s="1"/>
  <c r="P29" i="7"/>
  <c r="J29" i="7"/>
  <c r="P26" i="7"/>
  <c r="R26" i="7" s="1"/>
  <c r="S26" i="7" s="1"/>
  <c r="P25" i="7"/>
  <c r="R25" i="7" s="1"/>
  <c r="S25" i="7" s="1"/>
  <c r="P24" i="7"/>
  <c r="R24" i="7" s="1"/>
  <c r="S24" i="7" s="1"/>
  <c r="P23" i="7"/>
  <c r="R23" i="7" s="1"/>
  <c r="S23" i="7" s="1"/>
  <c r="P22" i="7"/>
  <c r="R22" i="7" s="1"/>
  <c r="S22" i="7" s="1"/>
  <c r="P21" i="7"/>
  <c r="R21" i="7" s="1"/>
  <c r="S21" i="7" s="1"/>
  <c r="P18" i="7"/>
  <c r="R18" i="7" s="1"/>
  <c r="S18" i="7" s="1"/>
  <c r="P17" i="7"/>
  <c r="R17" i="7" s="1"/>
  <c r="S17" i="7" s="1"/>
  <c r="P16" i="7"/>
  <c r="R16" i="7" s="1"/>
  <c r="S16" i="7" s="1"/>
  <c r="P15" i="7"/>
  <c r="J15" i="7"/>
  <c r="P14" i="7"/>
  <c r="R14" i="7" s="1"/>
  <c r="S14" i="7" s="1"/>
  <c r="P13" i="7"/>
  <c r="J13" i="7"/>
  <c r="P12" i="7"/>
  <c r="R12" i="7" s="1"/>
  <c r="S12" i="7" s="1"/>
  <c r="P10" i="7"/>
  <c r="R10" i="7" s="1"/>
  <c r="S10" i="7" s="1"/>
  <c r="P9" i="7"/>
  <c r="R9" i="7" s="1"/>
  <c r="S9" i="7" s="1"/>
  <c r="P8" i="7"/>
  <c r="R8" i="7" s="1"/>
  <c r="S8" i="7" s="1"/>
  <c r="P7" i="7"/>
  <c r="R7" i="7" s="1"/>
  <c r="S7" i="7" s="1"/>
  <c r="P6" i="7"/>
  <c r="R6" i="7" s="1"/>
  <c r="R927" i="7" l="1"/>
  <c r="S927" i="7" s="1"/>
  <c r="R929" i="7"/>
  <c r="S929" i="7" s="1"/>
  <c r="R902" i="7"/>
  <c r="S902" i="7" s="1"/>
  <c r="R629" i="7"/>
  <c r="S629" i="7" s="1"/>
  <c r="R631" i="7"/>
  <c r="S631" i="7" s="1"/>
  <c r="R633" i="7"/>
  <c r="S633" i="7" s="1"/>
  <c r="R138" i="7"/>
  <c r="S138" i="7" s="1"/>
  <c r="R140" i="7"/>
  <c r="S140" i="7" s="1"/>
  <c r="R147" i="7"/>
  <c r="S147" i="7" s="1"/>
  <c r="R149" i="7"/>
  <c r="S149" i="7" s="1"/>
  <c r="R151" i="7"/>
  <c r="S151" i="7" s="1"/>
  <c r="R153" i="7"/>
  <c r="S153" i="7" s="1"/>
  <c r="R160" i="7"/>
  <c r="S160" i="7" s="1"/>
  <c r="R162" i="7"/>
  <c r="S162" i="7" s="1"/>
  <c r="R164" i="7"/>
  <c r="S164" i="7" s="1"/>
  <c r="R171" i="7"/>
  <c r="S171" i="7" s="1"/>
  <c r="R97" i="7"/>
  <c r="S97" i="7" s="1"/>
  <c r="R635" i="7"/>
  <c r="S635" i="7" s="1"/>
  <c r="R361" i="7"/>
  <c r="S361" i="7" s="1"/>
  <c r="R478" i="7"/>
  <c r="S478" i="7" s="1"/>
  <c r="R507" i="7"/>
  <c r="S507" i="7" s="1"/>
  <c r="R623" i="7"/>
  <c r="S623" i="7" s="1"/>
  <c r="R625" i="7"/>
  <c r="S625" i="7" s="1"/>
  <c r="R627" i="7"/>
  <c r="S627" i="7" s="1"/>
  <c r="R699" i="7"/>
  <c r="S699" i="7" s="1"/>
  <c r="R701" i="7"/>
  <c r="S701" i="7" s="1"/>
  <c r="R703" i="7"/>
  <c r="S703" i="7" s="1"/>
  <c r="R746" i="7"/>
  <c r="S746" i="7" s="1"/>
  <c r="R751" i="7"/>
  <c r="S751" i="7" s="1"/>
  <c r="R825" i="7"/>
  <c r="S825" i="7" s="1"/>
  <c r="R827" i="7"/>
  <c r="S827" i="7" s="1"/>
  <c r="R851" i="7"/>
  <c r="S851" i="7" s="1"/>
  <c r="R876" i="7"/>
  <c r="S876" i="7" s="1"/>
  <c r="R879" i="7"/>
  <c r="S879" i="7" s="1"/>
  <c r="R894" i="7"/>
  <c r="S894" i="7" s="1"/>
  <c r="R362" i="7"/>
  <c r="S362" i="7" s="1"/>
  <c r="R375" i="7"/>
  <c r="S375" i="7" s="1"/>
  <c r="R521" i="7"/>
  <c r="S521" i="7" s="1"/>
  <c r="R523" i="7"/>
  <c r="S523" i="7" s="1"/>
  <c r="R527" i="7"/>
  <c r="S527" i="7" s="1"/>
  <c r="R529" i="7"/>
  <c r="S529" i="7" s="1"/>
  <c r="R598" i="7"/>
  <c r="S598" i="7" s="1"/>
  <c r="R895" i="7"/>
  <c r="S895" i="7" s="1"/>
  <c r="R880" i="7"/>
  <c r="S880" i="7" s="1"/>
  <c r="R901" i="7"/>
  <c r="S901" i="7" s="1"/>
  <c r="R903" i="7"/>
  <c r="S903" i="7" s="1"/>
  <c r="R928" i="7"/>
  <c r="S928" i="7" s="1"/>
  <c r="R930" i="7"/>
  <c r="S930" i="7" s="1"/>
  <c r="R173" i="7"/>
  <c r="S173" i="7" s="1"/>
  <c r="R189" i="7"/>
  <c r="S189" i="7" s="1"/>
  <c r="R195" i="7"/>
  <c r="S195" i="7" s="1"/>
  <c r="R197" i="7"/>
  <c r="S197" i="7" s="1"/>
  <c r="R207" i="7"/>
  <c r="S207" i="7" s="1"/>
  <c r="R298" i="7"/>
  <c r="S298" i="7" s="1"/>
  <c r="R512" i="7"/>
  <c r="S512" i="7" s="1"/>
  <c r="R514" i="7"/>
  <c r="S514" i="7" s="1"/>
  <c r="R536" i="7"/>
  <c r="S536" i="7" s="1"/>
  <c r="R575" i="7"/>
  <c r="S575" i="7" s="1"/>
  <c r="R664" i="7"/>
  <c r="S664" i="7" s="1"/>
  <c r="R824" i="7"/>
  <c r="S824" i="7" s="1"/>
  <c r="R826" i="7"/>
  <c r="S826" i="7" s="1"/>
  <c r="R850" i="7"/>
  <c r="S850" i="7" s="1"/>
  <c r="R852" i="7"/>
  <c r="S852" i="7" s="1"/>
  <c r="R875" i="7"/>
  <c r="S875" i="7" s="1"/>
  <c r="R300" i="7"/>
  <c r="S300" i="7" s="1"/>
  <c r="R304" i="7"/>
  <c r="S304" i="7" s="1"/>
  <c r="R103" i="7"/>
  <c r="S103" i="7" s="1"/>
  <c r="R137" i="7"/>
  <c r="S137" i="7" s="1"/>
  <c r="R139" i="7"/>
  <c r="S139" i="7" s="1"/>
  <c r="R142" i="7"/>
  <c r="S142" i="7" s="1"/>
  <c r="R146" i="7"/>
  <c r="S146" i="7" s="1"/>
  <c r="R148" i="7"/>
  <c r="S148" i="7" s="1"/>
  <c r="R158" i="7"/>
  <c r="S158" i="7" s="1"/>
  <c r="R161" i="7"/>
  <c r="S161" i="7" s="1"/>
  <c r="R163" i="7"/>
  <c r="S163" i="7" s="1"/>
  <c r="R320" i="7"/>
  <c r="S320" i="7" s="1"/>
  <c r="R324" i="7"/>
  <c r="S324" i="7" s="1"/>
  <c r="R369" i="7"/>
  <c r="S369" i="7" s="1"/>
  <c r="R390" i="7"/>
  <c r="S390" i="7" s="1"/>
  <c r="R392" i="7"/>
  <c r="S392" i="7" s="1"/>
  <c r="R394" i="7"/>
  <c r="S394" i="7" s="1"/>
  <c r="R396" i="7"/>
  <c r="S396" i="7" s="1"/>
  <c r="R399" i="7"/>
  <c r="S399" i="7" s="1"/>
  <c r="R418" i="7"/>
  <c r="S418" i="7" s="1"/>
  <c r="R421" i="7"/>
  <c r="S421" i="7" s="1"/>
  <c r="R456" i="7"/>
  <c r="S456" i="7" s="1"/>
  <c r="R247" i="7"/>
  <c r="S247" i="7" s="1"/>
  <c r="R249" i="7"/>
  <c r="S249" i="7" s="1"/>
  <c r="R272" i="7"/>
  <c r="S272" i="7" s="1"/>
  <c r="R297" i="7"/>
  <c r="S297" i="7" s="1"/>
  <c r="R299" i="7"/>
  <c r="S299" i="7" s="1"/>
  <c r="R301" i="7"/>
  <c r="S301" i="7" s="1"/>
  <c r="R305" i="7"/>
  <c r="S305" i="7" s="1"/>
  <c r="R368" i="7"/>
  <c r="S368" i="7" s="1"/>
  <c r="R380" i="7"/>
  <c r="S380" i="7" s="1"/>
  <c r="R382" i="7"/>
  <c r="S382" i="7" s="1"/>
  <c r="R385" i="7"/>
  <c r="S385" i="7" s="1"/>
  <c r="R387" i="7"/>
  <c r="S387" i="7" s="1"/>
  <c r="R13" i="7"/>
  <c r="S13" i="7" s="1"/>
  <c r="R583" i="7"/>
  <c r="S583" i="7" s="1"/>
  <c r="R592" i="7"/>
  <c r="S592" i="7" s="1"/>
  <c r="R705" i="7"/>
  <c r="S705" i="7" s="1"/>
  <c r="R707" i="7"/>
  <c r="S707" i="7" s="1"/>
  <c r="R736" i="7"/>
  <c r="S736" i="7" s="1"/>
  <c r="R747" i="7"/>
  <c r="S747" i="7" s="1"/>
  <c r="R749" i="7"/>
  <c r="S749" i="7" s="1"/>
  <c r="R790" i="7"/>
  <c r="S790" i="7" s="1"/>
  <c r="R817" i="7"/>
  <c r="S817" i="7" s="1"/>
  <c r="R819" i="7"/>
  <c r="S819" i="7" s="1"/>
  <c r="R240" i="7"/>
  <c r="S240" i="7" s="1"/>
  <c r="R29" i="7"/>
  <c r="S29" i="7" s="1"/>
  <c r="R517" i="7"/>
  <c r="S517" i="7" s="1"/>
  <c r="R519" i="7"/>
  <c r="S519" i="7" s="1"/>
  <c r="R522" i="7"/>
  <c r="S522" i="7" s="1"/>
  <c r="R662" i="7"/>
  <c r="S662" i="7" s="1"/>
  <c r="R700" i="7"/>
  <c r="S700" i="7" s="1"/>
  <c r="R702" i="7"/>
  <c r="S702" i="7" s="1"/>
  <c r="R791" i="7"/>
  <c r="S791" i="7" s="1"/>
  <c r="R804" i="7"/>
  <c r="S804" i="7" s="1"/>
  <c r="R816" i="7"/>
  <c r="S816" i="7" s="1"/>
  <c r="R818" i="7"/>
  <c r="S818" i="7" s="1"/>
  <c r="R820" i="7"/>
  <c r="S820" i="7" s="1"/>
  <c r="R933" i="7"/>
  <c r="S933" i="7" s="1"/>
  <c r="R35" i="7"/>
  <c r="S35" i="7" s="1"/>
  <c r="R95" i="7"/>
  <c r="S95" i="7" s="1"/>
  <c r="R101" i="7"/>
  <c r="S101" i="7" s="1"/>
  <c r="R128" i="7"/>
  <c r="S128" i="7" s="1"/>
  <c r="R134" i="7"/>
  <c r="S134" i="7" s="1"/>
  <c r="R228" i="7"/>
  <c r="S228" i="7" s="1"/>
  <c r="R238" i="7"/>
  <c r="S238" i="7" s="1"/>
  <c r="R258" i="7"/>
  <c r="S258" i="7" s="1"/>
  <c r="R276" i="7"/>
  <c r="S276" i="7" s="1"/>
  <c r="R281" i="7"/>
  <c r="S281" i="7" s="1"/>
  <c r="R319" i="7"/>
  <c r="S319" i="7" s="1"/>
  <c r="R323" i="7"/>
  <c r="S323" i="7" s="1"/>
  <c r="R328" i="7"/>
  <c r="S328" i="7" s="1"/>
  <c r="R370" i="7"/>
  <c r="S370" i="7" s="1"/>
  <c r="R391" i="7"/>
  <c r="S391" i="7" s="1"/>
  <c r="R393" i="7"/>
  <c r="S393" i="7" s="1"/>
  <c r="R395" i="7"/>
  <c r="S395" i="7" s="1"/>
  <c r="R398" i="7"/>
  <c r="S398" i="7" s="1"/>
  <c r="R400" i="7"/>
  <c r="S400" i="7" s="1"/>
  <c r="R416" i="7"/>
  <c r="S416" i="7" s="1"/>
  <c r="R419" i="7"/>
  <c r="S419" i="7" s="1"/>
  <c r="R420" i="7"/>
  <c r="S420" i="7" s="1"/>
  <c r="R510" i="7"/>
  <c r="S510" i="7" s="1"/>
  <c r="R524" i="7"/>
  <c r="S524" i="7" s="1"/>
  <c r="R528" i="7"/>
  <c r="S528" i="7" s="1"/>
  <c r="R581" i="7"/>
  <c r="S581" i="7" s="1"/>
  <c r="R586" i="7"/>
  <c r="S586" i="7" s="1"/>
  <c r="R591" i="7"/>
  <c r="S591" i="7" s="1"/>
  <c r="R630" i="7"/>
  <c r="S630" i="7" s="1"/>
  <c r="R632" i="7"/>
  <c r="S632" i="7" s="1"/>
  <c r="R634" i="7"/>
  <c r="S634" i="7" s="1"/>
  <c r="R636" i="7"/>
  <c r="S636" i="7" s="1"/>
  <c r="R665" i="7"/>
  <c r="S665" i="7" s="1"/>
  <c r="R704" i="7"/>
  <c r="S704" i="7" s="1"/>
  <c r="R706" i="7"/>
  <c r="S706" i="7" s="1"/>
  <c r="R708" i="7"/>
  <c r="S708" i="7" s="1"/>
  <c r="R750" i="7"/>
  <c r="S750" i="7" s="1"/>
  <c r="R752" i="7"/>
  <c r="S752" i="7" s="1"/>
  <c r="R754" i="7"/>
  <c r="S754" i="7" s="1"/>
  <c r="R778" i="7"/>
  <c r="S778" i="7" s="1"/>
  <c r="R781" i="7"/>
  <c r="S781" i="7" s="1"/>
  <c r="R785" i="7"/>
  <c r="S785" i="7" s="1"/>
  <c r="R787" i="7"/>
  <c r="S787" i="7" s="1"/>
  <c r="R798" i="7"/>
  <c r="S798" i="7" s="1"/>
  <c r="R821" i="7"/>
  <c r="S821" i="7" s="1"/>
  <c r="R828" i="7"/>
  <c r="S828" i="7" s="1"/>
  <c r="R833" i="7"/>
  <c r="S833" i="7" s="1"/>
  <c r="R906" i="7"/>
  <c r="S906" i="7" s="1"/>
  <c r="R908" i="7"/>
  <c r="S908" i="7" s="1"/>
  <c r="R910" i="7"/>
  <c r="S910" i="7" s="1"/>
  <c r="R932" i="7"/>
  <c r="S932" i="7" s="1"/>
  <c r="R934" i="7"/>
  <c r="S934" i="7" s="1"/>
  <c r="R170" i="7"/>
  <c r="S170" i="7" s="1"/>
  <c r="R172" i="7"/>
  <c r="S172" i="7" s="1"/>
  <c r="R174" i="7"/>
  <c r="S174" i="7" s="1"/>
  <c r="R188" i="7"/>
  <c r="S188" i="7" s="1"/>
  <c r="R194" i="7"/>
  <c r="S194" i="7" s="1"/>
  <c r="R196" i="7"/>
  <c r="S196" i="7" s="1"/>
  <c r="R198" i="7"/>
  <c r="S198" i="7" s="1"/>
  <c r="R224" i="7"/>
  <c r="S224" i="7" s="1"/>
  <c r="R248" i="7"/>
  <c r="S248" i="7" s="1"/>
  <c r="R270" i="7"/>
  <c r="S270" i="7" s="1"/>
  <c r="R363" i="7"/>
  <c r="S363" i="7" s="1"/>
  <c r="R379" i="7"/>
  <c r="S379" i="7" s="1"/>
  <c r="R381" i="7"/>
  <c r="S381" i="7" s="1"/>
  <c r="R383" i="7"/>
  <c r="S383" i="7" s="1"/>
  <c r="R386" i="7"/>
  <c r="S386" i="7" s="1"/>
  <c r="R417" i="7"/>
  <c r="S417" i="7" s="1"/>
  <c r="R445" i="7"/>
  <c r="S445" i="7" s="1"/>
  <c r="R446" i="7"/>
  <c r="S446" i="7" s="1"/>
  <c r="R457" i="7"/>
  <c r="S457" i="7" s="1"/>
  <c r="R474" i="7"/>
  <c r="S474" i="7" s="1"/>
  <c r="R506" i="7"/>
  <c r="S506" i="7" s="1"/>
  <c r="R509" i="7"/>
  <c r="S509" i="7" s="1"/>
  <c r="R513" i="7"/>
  <c r="S513" i="7" s="1"/>
  <c r="R576" i="7"/>
  <c r="S576" i="7" s="1"/>
  <c r="R597" i="7"/>
  <c r="S597" i="7" s="1"/>
  <c r="R601" i="7"/>
  <c r="S601" i="7" s="1"/>
  <c r="R621" i="7"/>
  <c r="S621" i="7" s="1"/>
  <c r="R624" i="7"/>
  <c r="S624" i="7" s="1"/>
  <c r="R626" i="7"/>
  <c r="S626" i="7" s="1"/>
  <c r="R661" i="7"/>
  <c r="S661" i="7" s="1"/>
  <c r="R717" i="7"/>
  <c r="S717" i="7" s="1"/>
  <c r="R15" i="7"/>
  <c r="S15" i="7" s="1"/>
  <c r="R99" i="7"/>
  <c r="S99" i="7" s="1"/>
  <c r="R113" i="7"/>
  <c r="S113" i="7" s="1"/>
  <c r="R135" i="7"/>
  <c r="S135" i="7" s="1"/>
  <c r="R145" i="7"/>
  <c r="S145" i="7" s="1"/>
  <c r="R157" i="7"/>
  <c r="S157" i="7" s="1"/>
  <c r="R193" i="7"/>
  <c r="S193" i="7" s="1"/>
  <c r="R209" i="7"/>
  <c r="S209" i="7" s="1"/>
  <c r="R227" i="7"/>
  <c r="S227" i="7" s="1"/>
  <c r="R275" i="7"/>
  <c r="S275" i="7" s="1"/>
  <c r="R278" i="7"/>
  <c r="S278" i="7" s="1"/>
  <c r="R444" i="7"/>
  <c r="S444" i="7" s="1"/>
  <c r="R718" i="7"/>
  <c r="S718" i="7" s="1"/>
  <c r="R753" i="7"/>
  <c r="S753" i="7" s="1"/>
  <c r="R777" i="7"/>
  <c r="S777" i="7" s="1"/>
  <c r="R782" i="7"/>
  <c r="S782" i="7" s="1"/>
  <c r="R786" i="7"/>
  <c r="S786" i="7" s="1"/>
  <c r="R822" i="7"/>
  <c r="S822" i="7" s="1"/>
  <c r="R834" i="7"/>
  <c r="S834" i="7" s="1"/>
  <c r="R900" i="7"/>
  <c r="S900" i="7" s="1"/>
  <c r="R909" i="7"/>
  <c r="S909" i="7" s="1"/>
  <c r="R935" i="7"/>
  <c r="S935" i="7" s="1"/>
  <c r="R37" i="7"/>
  <c r="S37" i="7" s="1"/>
  <c r="R39" i="7"/>
  <c r="S39" i="7" s="1"/>
  <c r="R41" i="7"/>
  <c r="S41" i="7" s="1"/>
  <c r="R130" i="7"/>
  <c r="S130" i="7" s="1"/>
  <c r="R748" i="7"/>
  <c r="S748" i="7" s="1"/>
  <c r="R155" i="7"/>
  <c r="S155" i="7" s="1"/>
  <c r="R259" i="7"/>
  <c r="S259" i="7" s="1"/>
  <c r="R526" i="7"/>
  <c r="S526" i="7" s="1"/>
  <c r="R637" i="7"/>
  <c r="S637" i="7" s="1"/>
  <c r="R112" i="7"/>
  <c r="S112" i="7" s="1"/>
  <c r="R709" i="7"/>
  <c r="S709" i="7" s="1"/>
  <c r="R38" i="7"/>
  <c r="S38" i="7" s="1"/>
  <c r="R40" i="7"/>
  <c r="S40" i="7" s="1"/>
  <c r="R111" i="7"/>
  <c r="S111" i="7" s="1"/>
  <c r="R127" i="7"/>
  <c r="S127" i="7" s="1"/>
  <c r="R650" i="7"/>
  <c r="S650" i="7" s="1"/>
  <c r="R679" i="7"/>
  <c r="S679" i="7" s="1"/>
  <c r="R98" i="7"/>
  <c r="S98" i="7" s="1"/>
  <c r="R102" i="7"/>
  <c r="S102" i="7" s="1"/>
  <c r="P114" i="7"/>
  <c r="R114" i="7" s="1"/>
  <c r="S114" i="7" s="1"/>
  <c r="S6" i="7"/>
  <c r="P66" i="7"/>
  <c r="R66" i="7" s="1"/>
  <c r="S66" i="7" s="1"/>
  <c r="P100" i="7"/>
  <c r="R100" i="7" s="1"/>
  <c r="S100" i="7" s="1"/>
  <c r="R150" i="7"/>
  <c r="S150" i="7" s="1"/>
  <c r="R166" i="7"/>
  <c r="S166" i="7" s="1"/>
  <c r="R168" i="7"/>
  <c r="S168" i="7" s="1"/>
  <c r="R229" i="7"/>
  <c r="S229" i="7" s="1"/>
  <c r="R284" i="7"/>
  <c r="S284" i="7" s="1"/>
  <c r="P136" i="7"/>
  <c r="R136" i="7" s="1"/>
  <c r="S136" i="7" s="1"/>
  <c r="R152" i="7"/>
  <c r="S152" i="7" s="1"/>
  <c r="R165" i="7"/>
  <c r="S165" i="7" s="1"/>
  <c r="R167" i="7"/>
  <c r="S167" i="7" s="1"/>
  <c r="R435" i="7"/>
  <c r="S435" i="7" s="1"/>
  <c r="R479" i="7"/>
  <c r="S479" i="7" s="1"/>
  <c r="R518" i="7"/>
  <c r="S518" i="7" s="1"/>
  <c r="R525" i="7"/>
  <c r="S525" i="7" s="1"/>
  <c r="R437" i="7"/>
  <c r="S437" i="7" s="1"/>
  <c r="R511" i="7"/>
  <c r="S511" i="7" s="1"/>
  <c r="P762" i="7"/>
  <c r="R762" i="7" s="1"/>
  <c r="S762" i="7" s="1"/>
  <c r="R763" i="7"/>
  <c r="S763" i="7" s="1"/>
  <c r="P755" i="7"/>
  <c r="R755" i="7" s="1"/>
  <c r="S755" i="7" s="1"/>
  <c r="P815" i="7"/>
  <c r="R815" i="7" s="1"/>
  <c r="S815" i="7" s="1"/>
  <c r="R831" i="7"/>
  <c r="S831" i="7" s="1"/>
  <c r="R907" i="7"/>
  <c r="S907" i="7" s="1"/>
  <c r="R830" i="7"/>
  <c r="S830" i="7" s="1"/>
  <c r="P871" i="7"/>
  <c r="R871" i="7" s="1"/>
  <c r="S871" i="7" s="1"/>
  <c r="R832" i="7"/>
  <c r="S832" i="7" s="1"/>
  <c r="C752" i="6"/>
  <c r="C699" i="6"/>
  <c r="N621" i="6"/>
  <c r="N618" i="6"/>
  <c r="C362" i="6"/>
  <c r="N224" i="6"/>
  <c r="C177" i="6"/>
  <c r="C162" i="6"/>
  <c r="C155" i="6"/>
  <c r="C101" i="6"/>
  <c r="C52" i="6"/>
  <c r="N165" i="6"/>
  <c r="N779" i="6"/>
  <c r="N508" i="6"/>
  <c r="N759" i="6"/>
  <c r="N149" i="6"/>
  <c r="N393" i="6"/>
  <c r="N842" i="6"/>
  <c r="N137" i="6"/>
  <c r="N48" i="6"/>
  <c r="N681" i="6"/>
  <c r="N467" i="6"/>
  <c r="N95" i="6"/>
  <c r="N335" i="6"/>
  <c r="N199" i="6"/>
  <c r="N356" i="6"/>
  <c r="N633" i="6"/>
  <c r="N424" i="6"/>
  <c r="N748" i="6"/>
  <c r="N693" i="6"/>
  <c r="N752" i="6"/>
  <c r="N179" i="6"/>
  <c r="N138" i="6"/>
  <c r="N225" i="6"/>
  <c r="N136" i="6"/>
  <c r="N181" i="6"/>
  <c r="E136" i="6"/>
  <c r="E138" i="6"/>
  <c r="N175" i="6"/>
  <c r="N178" i="6"/>
  <c r="N512" i="6"/>
  <c r="E512" i="6"/>
  <c r="S945" i="7" l="1"/>
  <c r="S948" i="7" s="1"/>
  <c r="R945" i="7"/>
  <c r="R948" i="7" s="1"/>
  <c r="N341" i="6"/>
  <c r="N851" i="6"/>
  <c r="N559" i="6"/>
  <c r="N910" i="6"/>
  <c r="N883" i="6"/>
  <c r="N882" i="6"/>
  <c r="N881" i="6"/>
  <c r="N516" i="6"/>
  <c r="N873" i="6"/>
  <c r="N99" i="6"/>
  <c r="N522" i="6"/>
  <c r="N514" i="6"/>
  <c r="N867" i="6"/>
  <c r="N866" i="6"/>
  <c r="N694" i="6"/>
  <c r="N868" i="6"/>
  <c r="N234" i="6"/>
  <c r="N235" i="6"/>
  <c r="N785" i="6"/>
  <c r="N472" i="6"/>
  <c r="N833" i="6"/>
  <c r="N545" i="6"/>
  <c r="N427" i="6"/>
  <c r="N302" i="6"/>
  <c r="N166" i="6"/>
  <c r="N159" i="6"/>
  <c r="N98" i="6"/>
  <c r="N97" i="6"/>
  <c r="N823" i="6"/>
  <c r="N709" i="6"/>
  <c r="N711" i="6"/>
  <c r="N176" i="6"/>
  <c r="N756" i="6"/>
  <c r="N865" i="6"/>
  <c r="N282" i="6"/>
  <c r="N864" i="6"/>
  <c r="N116" i="6"/>
  <c r="N107" i="6"/>
  <c r="N649" i="6"/>
  <c r="N389" i="6"/>
  <c r="N609" i="6"/>
  <c r="N683" i="6"/>
  <c r="N220" i="6"/>
  <c r="N799" i="6"/>
  <c r="N339" i="6"/>
  <c r="N909" i="6"/>
  <c r="N438" i="6"/>
  <c r="N731" i="6"/>
  <c r="N291" i="6"/>
  <c r="N293" i="6"/>
  <c r="N811" i="6"/>
  <c r="N830" i="6"/>
  <c r="N829" i="6"/>
  <c r="N100" i="6"/>
  <c r="N96" i="6"/>
  <c r="N498" i="6"/>
  <c r="N177" i="6"/>
  <c r="N695" i="6"/>
  <c r="N144" i="6"/>
  <c r="N170" i="6"/>
  <c r="N745" i="6"/>
  <c r="N497" i="6"/>
  <c r="N523" i="6"/>
  <c r="N524" i="6"/>
  <c r="N180" i="6"/>
  <c r="N380" i="6"/>
  <c r="N379" i="6"/>
  <c r="N520" i="6"/>
  <c r="N283" i="6"/>
  <c r="N362" i="6"/>
  <c r="N72" i="6"/>
  <c r="N70" i="6"/>
  <c r="N65" i="6"/>
  <c r="N63" i="6"/>
  <c r="N837" i="6"/>
  <c r="N255" i="6"/>
  <c r="N500" i="6"/>
  <c r="N528" i="6"/>
  <c r="N526" i="6"/>
  <c r="N525" i="6"/>
  <c r="N817" i="6"/>
  <c r="N587" i="6"/>
  <c r="J587" i="6"/>
  <c r="C587" i="6"/>
  <c r="N820" i="6"/>
  <c r="N174" i="6" l="1"/>
  <c r="N101" i="6"/>
  <c r="N743" i="6"/>
  <c r="N47" i="6" l="1"/>
  <c r="N112" i="6"/>
  <c r="N532" i="6"/>
  <c r="N434" i="6"/>
  <c r="N275" i="6"/>
  <c r="N798" i="6"/>
  <c r="N111" i="6"/>
  <c r="N624" i="6"/>
  <c r="N722" i="6"/>
  <c r="N561" i="6"/>
  <c r="N843" i="6"/>
  <c r="N272" i="6"/>
  <c r="N292" i="6"/>
  <c r="N671" i="6"/>
  <c r="N360" i="6"/>
  <c r="N408" i="6"/>
  <c r="N355" i="6"/>
  <c r="N765" i="6"/>
  <c r="N874" i="6"/>
  <c r="N821" i="6"/>
  <c r="N931" i="6"/>
  <c r="N775" i="6"/>
  <c r="N802" i="6"/>
  <c r="N219" i="6"/>
  <c r="N426" i="6"/>
  <c r="N429" i="6"/>
  <c r="N428" i="6"/>
  <c r="N715" i="6"/>
  <c r="N404" i="6"/>
  <c r="N403" i="6"/>
  <c r="N678" i="6"/>
  <c r="N680" i="6"/>
  <c r="N51" i="6"/>
  <c r="N338" i="6"/>
  <c r="N231" i="6"/>
  <c r="N648" i="6"/>
  <c r="N666" i="6"/>
  <c r="N924" i="6"/>
  <c r="N822" i="6"/>
  <c r="N200" i="6"/>
  <c r="N425" i="6"/>
  <c r="N928" i="6" l="1"/>
  <c r="N922" i="6"/>
  <c r="N724" i="6"/>
  <c r="N747" i="6"/>
  <c r="N746" i="6"/>
  <c r="N690" i="6"/>
  <c r="N194" i="6"/>
  <c r="N189" i="6"/>
  <c r="N760" i="6"/>
  <c r="N630" i="6"/>
  <c r="J100" i="6"/>
  <c r="C100" i="6"/>
  <c r="N173" i="6"/>
  <c r="N62" i="6"/>
  <c r="N60" i="6"/>
  <c r="N50" i="6"/>
  <c r="N52" i="6"/>
  <c r="N684" i="6"/>
  <c r="N411" i="6"/>
  <c r="N89" i="6"/>
  <c r="N88" i="6"/>
  <c r="N509" i="6"/>
  <c r="N495" i="6"/>
  <c r="N127" i="6" l="1"/>
  <c r="N699" i="6"/>
  <c r="N442" i="6"/>
  <c r="N441" i="6" l="1"/>
  <c r="N281" i="6"/>
  <c r="N834" i="6"/>
  <c r="N548" i="6"/>
  <c r="N481" i="6"/>
  <c r="N182" i="6"/>
  <c r="N346" i="6"/>
  <c r="N345" i="6"/>
  <c r="N337" i="6"/>
  <c r="N34" i="6"/>
  <c r="N433" i="6"/>
  <c r="N730" i="6"/>
  <c r="N702" i="6"/>
  <c r="J275" i="6"/>
  <c r="N141" i="6" l="1"/>
  <c r="N655" i="6"/>
  <c r="N254" i="6"/>
  <c r="N636" i="6"/>
  <c r="N394" i="6"/>
  <c r="N750" i="6"/>
  <c r="N93" i="6"/>
  <c r="N480" i="6"/>
  <c r="N410" i="6" l="1"/>
  <c r="N869" i="6"/>
  <c r="N696" i="6"/>
  <c r="N392" i="6"/>
  <c r="N515" i="6" l="1"/>
  <c r="N923" i="6" l="1"/>
  <c r="E865" i="6" l="1"/>
  <c r="N888" i="6"/>
  <c r="N579" i="6"/>
  <c r="N511" i="6"/>
  <c r="N413" i="6"/>
  <c r="N414" i="6"/>
  <c r="N288" i="6"/>
  <c r="N64" i="6"/>
  <c r="P561" i="6" l="1"/>
  <c r="R561" i="6" s="1"/>
  <c r="S561" i="6" s="1"/>
  <c r="P247" i="6"/>
  <c r="R247" i="6" s="1"/>
  <c r="S247" i="6" s="1"/>
  <c r="P599" i="6"/>
  <c r="R599" i="6" s="1"/>
  <c r="S599" i="6" s="1"/>
  <c r="P855" i="6"/>
  <c r="R855" i="6" s="1"/>
  <c r="S855" i="6" s="1"/>
  <c r="P486" i="6"/>
  <c r="R486" i="6" s="1"/>
  <c r="S486" i="6" s="1"/>
  <c r="E48" i="6"/>
  <c r="E65" i="6"/>
  <c r="P65" i="6" s="1"/>
  <c r="R65" i="6" s="1"/>
  <c r="S65" i="6" s="1"/>
  <c r="E47" i="6"/>
  <c r="E149" i="6"/>
  <c r="E737" i="6"/>
  <c r="E709" i="6"/>
  <c r="E681" i="6"/>
  <c r="P917" i="6"/>
  <c r="R917" i="6" s="1"/>
  <c r="S917" i="6" s="1"/>
  <c r="C496" i="6"/>
  <c r="E181" i="6"/>
  <c r="E179" i="6" l="1"/>
  <c r="E178" i="6"/>
  <c r="E712" i="6"/>
  <c r="E426" i="6"/>
  <c r="E427" i="6"/>
  <c r="E798" i="6"/>
  <c r="E802" i="6"/>
  <c r="E302" i="6"/>
  <c r="E176" i="6"/>
  <c r="P341" i="6"/>
  <c r="R341" i="6" s="1"/>
  <c r="S341" i="6" s="1"/>
  <c r="E283" i="6"/>
  <c r="E282" i="6"/>
  <c r="E199" i="6"/>
  <c r="P496" i="6"/>
  <c r="R496" i="6" s="1"/>
  <c r="S496" i="6" s="1"/>
  <c r="E910" i="6"/>
  <c r="E231" i="6"/>
  <c r="J385" i="6"/>
  <c r="P671" i="6"/>
  <c r="R671" i="6" s="1"/>
  <c r="S671" i="6" s="1"/>
  <c r="P652" i="6"/>
  <c r="R652" i="6" s="1"/>
  <c r="S652" i="6" s="1"/>
  <c r="E144" i="6"/>
  <c r="E756" i="6"/>
  <c r="E219" i="6"/>
  <c r="E338" i="6"/>
  <c r="E335" i="6"/>
  <c r="E864" i="6"/>
  <c r="E868" i="6"/>
  <c r="E389" i="6"/>
  <c r="P649" i="6"/>
  <c r="R649" i="6" s="1"/>
  <c r="S649" i="6" s="1"/>
  <c r="P613" i="6"/>
  <c r="R613" i="6" s="1"/>
  <c r="S613" i="6" s="1"/>
  <c r="E609" i="6"/>
  <c r="E683" i="6"/>
  <c r="E220" i="6"/>
  <c r="P8" i="6"/>
  <c r="R8" i="6" s="1"/>
  <c r="S8" i="6" s="1"/>
  <c r="E909" i="6"/>
  <c r="E867" i="6"/>
  <c r="P439" i="6" l="1"/>
  <c r="R439" i="6" s="1"/>
  <c r="S439" i="6" s="1"/>
  <c r="E438" i="6"/>
  <c r="E424" i="6"/>
  <c r="P429" i="6"/>
  <c r="R429" i="6" s="1"/>
  <c r="S429" i="6" s="1"/>
  <c r="P426" i="6"/>
  <c r="R426" i="6" s="1"/>
  <c r="S426" i="6" s="1"/>
  <c r="E666" i="6"/>
  <c r="C469" i="6"/>
  <c r="E177" i="6"/>
  <c r="E180" i="6"/>
  <c r="E678" i="6"/>
  <c r="E680" i="6"/>
  <c r="E869" i="6"/>
  <c r="C468" i="6"/>
  <c r="P263" i="6"/>
  <c r="R263" i="6" s="1"/>
  <c r="S263" i="6" s="1"/>
  <c r="E500" i="6"/>
  <c r="E866" i="6"/>
  <c r="P912" i="6"/>
  <c r="R912" i="6" s="1"/>
  <c r="S912" i="6" s="1"/>
  <c r="P911" i="6"/>
  <c r="R911" i="6" s="1"/>
  <c r="S911" i="6" s="1"/>
  <c r="E888" i="6" l="1"/>
  <c r="E235" i="6"/>
  <c r="E522" i="6"/>
  <c r="E409" i="6"/>
  <c r="E731" i="6"/>
  <c r="E100" i="6"/>
  <c r="E112" i="6"/>
  <c r="E693" i="6"/>
  <c r="J712" i="6"/>
  <c r="P712" i="6"/>
  <c r="E694" i="6"/>
  <c r="J138" i="6"/>
  <c r="E225" i="6"/>
  <c r="E811" i="6"/>
  <c r="P527" i="6"/>
  <c r="J527" i="6"/>
  <c r="E508" i="6"/>
  <c r="J749" i="6"/>
  <c r="P749" i="6"/>
  <c r="E745" i="6"/>
  <c r="J434" i="6"/>
  <c r="P434" i="6"/>
  <c r="E111" i="6"/>
  <c r="E830" i="6"/>
  <c r="E759" i="6"/>
  <c r="E194" i="6"/>
  <c r="E189" i="6"/>
  <c r="E695" i="6"/>
  <c r="E411" i="6"/>
  <c r="E516" i="6"/>
  <c r="J827" i="6"/>
  <c r="P827" i="6"/>
  <c r="R527" i="6" l="1"/>
  <c r="S527" i="6" s="1"/>
  <c r="R712" i="6"/>
  <c r="S712" i="6" s="1"/>
  <c r="R749" i="6"/>
  <c r="S749" i="6" s="1"/>
  <c r="R434" i="6"/>
  <c r="S434" i="6" s="1"/>
  <c r="R827" i="6"/>
  <c r="S827" i="6" s="1"/>
  <c r="J444" i="6"/>
  <c r="P444" i="6"/>
  <c r="E441" i="6"/>
  <c r="J731" i="6"/>
  <c r="P731" i="6"/>
  <c r="R444" i="6" l="1"/>
  <c r="S444" i="6" s="1"/>
  <c r="R731" i="6"/>
  <c r="S731" i="6" s="1"/>
  <c r="J830" i="6"/>
  <c r="P830" i="6"/>
  <c r="J170" i="6"/>
  <c r="P170" i="6"/>
  <c r="E380" i="6"/>
  <c r="E379" i="6"/>
  <c r="E743" i="6"/>
  <c r="E99" i="6"/>
  <c r="E98" i="6"/>
  <c r="E95" i="6"/>
  <c r="R830" i="6" l="1"/>
  <c r="S830" i="6" s="1"/>
  <c r="R170" i="6"/>
  <c r="S170" i="6" s="1"/>
  <c r="E135" i="6"/>
  <c r="J472" i="6"/>
  <c r="J411" i="6"/>
  <c r="P411" i="6"/>
  <c r="J928" i="6"/>
  <c r="J357" i="6"/>
  <c r="P357" i="6"/>
  <c r="E355" i="6"/>
  <c r="J141" i="6"/>
  <c r="R411" i="6" l="1"/>
  <c r="S411" i="6" s="1"/>
  <c r="R357" i="6"/>
  <c r="S357" i="6" s="1"/>
  <c r="E521" i="6"/>
  <c r="P521" i="6" s="1"/>
  <c r="J442" i="6"/>
  <c r="J521" i="6"/>
  <c r="J415" i="6"/>
  <c r="P415" i="6"/>
  <c r="J516" i="6"/>
  <c r="P516" i="6"/>
  <c r="J409" i="6"/>
  <c r="P409" i="6"/>
  <c r="J512" i="6"/>
  <c r="P512" i="6"/>
  <c r="J135" i="6"/>
  <c r="P135" i="6"/>
  <c r="E514" i="6"/>
  <c r="R521" i="6" l="1"/>
  <c r="S521" i="6" s="1"/>
  <c r="R415" i="6"/>
  <c r="S415" i="6" s="1"/>
  <c r="R516" i="6"/>
  <c r="S516" i="6" s="1"/>
  <c r="R409" i="6"/>
  <c r="S409" i="6" s="1"/>
  <c r="R512" i="6"/>
  <c r="S512" i="6" s="1"/>
  <c r="R135" i="6"/>
  <c r="S135" i="6" s="1"/>
  <c r="R941" i="6"/>
  <c r="P936" i="6"/>
  <c r="R936" i="6" s="1"/>
  <c r="S936" i="6" s="1"/>
  <c r="P933" i="6"/>
  <c r="R933" i="6" s="1"/>
  <c r="S933" i="6" s="1"/>
  <c r="P931" i="6"/>
  <c r="R931" i="6" s="1"/>
  <c r="S931" i="6" s="1"/>
  <c r="P929" i="6"/>
  <c r="J929" i="6"/>
  <c r="P928" i="6"/>
  <c r="P927" i="6"/>
  <c r="J927" i="6"/>
  <c r="P926" i="6"/>
  <c r="J926" i="6"/>
  <c r="P925" i="6"/>
  <c r="R925" i="6" s="1"/>
  <c r="S925" i="6" s="1"/>
  <c r="P924" i="6"/>
  <c r="J924" i="6"/>
  <c r="P923" i="6"/>
  <c r="J923" i="6"/>
  <c r="P922" i="6"/>
  <c r="J922" i="6"/>
  <c r="P921" i="6"/>
  <c r="J921" i="6"/>
  <c r="P919" i="6"/>
  <c r="R919" i="6" s="1"/>
  <c r="S919" i="6" s="1"/>
  <c r="P918" i="6"/>
  <c r="R918" i="6" s="1"/>
  <c r="S918" i="6" s="1"/>
  <c r="P916" i="6"/>
  <c r="R916" i="6" s="1"/>
  <c r="S916" i="6" s="1"/>
  <c r="P913" i="6"/>
  <c r="R913" i="6" s="1"/>
  <c r="S913" i="6" s="1"/>
  <c r="P910" i="6"/>
  <c r="R910" i="6" s="1"/>
  <c r="S910" i="6" s="1"/>
  <c r="P909" i="6"/>
  <c r="R909" i="6" s="1"/>
  <c r="S909" i="6" s="1"/>
  <c r="P908" i="6"/>
  <c r="R908" i="6" s="1"/>
  <c r="S908" i="6" s="1"/>
  <c r="P907" i="6"/>
  <c r="R907" i="6" s="1"/>
  <c r="S907" i="6" s="1"/>
  <c r="P914" i="6"/>
  <c r="R914" i="6" s="1"/>
  <c r="S914" i="6" s="1"/>
  <c r="P915" i="6"/>
  <c r="R915" i="6" s="1"/>
  <c r="S915" i="6" s="1"/>
  <c r="P904" i="6"/>
  <c r="J904" i="6"/>
  <c r="P903" i="6"/>
  <c r="J903" i="6"/>
  <c r="P902" i="6"/>
  <c r="J902" i="6"/>
  <c r="J901" i="6"/>
  <c r="P901" i="6"/>
  <c r="P900" i="6"/>
  <c r="J900" i="6"/>
  <c r="S899" i="6"/>
  <c r="P897" i="6"/>
  <c r="J897" i="6"/>
  <c r="P896" i="6"/>
  <c r="J896" i="6"/>
  <c r="P895" i="6"/>
  <c r="J895" i="6"/>
  <c r="P894" i="6"/>
  <c r="J894" i="6"/>
  <c r="P891" i="6"/>
  <c r="R891" i="6" s="1"/>
  <c r="S891" i="6" s="1"/>
  <c r="P890" i="6"/>
  <c r="R890" i="6" s="1"/>
  <c r="S890" i="6" s="1"/>
  <c r="P889" i="6"/>
  <c r="J889" i="6"/>
  <c r="P888" i="6"/>
  <c r="J888" i="6"/>
  <c r="P886" i="6"/>
  <c r="R886" i="6" s="1"/>
  <c r="S886" i="6" s="1"/>
  <c r="P885" i="6"/>
  <c r="R885" i="6" s="1"/>
  <c r="S885" i="6" s="1"/>
  <c r="P883" i="6"/>
  <c r="R883" i="6" s="1"/>
  <c r="S883" i="6" s="1"/>
  <c r="P882" i="6"/>
  <c r="R882" i="6" s="1"/>
  <c r="S882" i="6" s="1"/>
  <c r="P881" i="6"/>
  <c r="R881" i="6" s="1"/>
  <c r="S881" i="6" s="1"/>
  <c r="P877" i="6"/>
  <c r="J877" i="6"/>
  <c r="P876" i="6"/>
  <c r="J876" i="6"/>
  <c r="P875" i="6"/>
  <c r="R875" i="6" s="1"/>
  <c r="S875" i="6" s="1"/>
  <c r="P874" i="6"/>
  <c r="R874" i="6" s="1"/>
  <c r="S874" i="6" s="1"/>
  <c r="J873" i="6"/>
  <c r="P873" i="6"/>
  <c r="P872" i="6"/>
  <c r="J872" i="6"/>
  <c r="P870" i="6"/>
  <c r="R870" i="6" s="1"/>
  <c r="S870" i="6" s="1"/>
  <c r="P869" i="6"/>
  <c r="R869" i="6" s="1"/>
  <c r="S869" i="6" s="1"/>
  <c r="P867" i="6"/>
  <c r="R867" i="6" s="1"/>
  <c r="S867" i="6" s="1"/>
  <c r="P866" i="6"/>
  <c r="R866" i="6" s="1"/>
  <c r="S866" i="6" s="1"/>
  <c r="P865" i="6"/>
  <c r="R865" i="6" s="1"/>
  <c r="S865" i="6" s="1"/>
  <c r="P864" i="6"/>
  <c r="R864" i="6" s="1"/>
  <c r="S864" i="6" s="1"/>
  <c r="P863" i="6"/>
  <c r="R863" i="6" s="1"/>
  <c r="S863" i="6" s="1"/>
  <c r="P862" i="6"/>
  <c r="R862" i="6" s="1"/>
  <c r="S862" i="6" s="1"/>
  <c r="P861" i="6"/>
  <c r="R861" i="6" s="1"/>
  <c r="S861" i="6" s="1"/>
  <c r="P860" i="6"/>
  <c r="R860" i="6" s="1"/>
  <c r="S860" i="6" s="1"/>
  <c r="P858" i="6"/>
  <c r="R858" i="6" s="1"/>
  <c r="S858" i="6" s="1"/>
  <c r="P852" i="6"/>
  <c r="R852" i="6" s="1"/>
  <c r="S852" i="6" s="1"/>
  <c r="P849" i="6"/>
  <c r="J849" i="6"/>
  <c r="P848" i="6"/>
  <c r="J848" i="6"/>
  <c r="P847" i="6"/>
  <c r="J847" i="6"/>
  <c r="P845" i="6"/>
  <c r="R845" i="6" s="1"/>
  <c r="S845" i="6" s="1"/>
  <c r="P843" i="6"/>
  <c r="R843" i="6" s="1"/>
  <c r="S843" i="6" s="1"/>
  <c r="P842" i="6"/>
  <c r="R842" i="6" s="1"/>
  <c r="S842" i="6" s="1"/>
  <c r="P839" i="6"/>
  <c r="R839" i="6" s="1"/>
  <c r="S839" i="6" s="1"/>
  <c r="P837" i="6"/>
  <c r="R837" i="6" s="1"/>
  <c r="S837" i="6" s="1"/>
  <c r="P836" i="6"/>
  <c r="R836" i="6" s="1"/>
  <c r="S836" i="6" s="1"/>
  <c r="P835" i="6"/>
  <c r="R835" i="6" s="1"/>
  <c r="S835" i="6" s="1"/>
  <c r="P834" i="6"/>
  <c r="R834" i="6" s="1"/>
  <c r="S834" i="6" s="1"/>
  <c r="P833" i="6"/>
  <c r="R833" i="6" s="1"/>
  <c r="S833" i="6" s="1"/>
  <c r="P831" i="6"/>
  <c r="J831" i="6"/>
  <c r="P829" i="6"/>
  <c r="J829" i="6"/>
  <c r="P828" i="6"/>
  <c r="J828" i="6"/>
  <c r="P826" i="6"/>
  <c r="J826" i="6"/>
  <c r="P825" i="6"/>
  <c r="R825" i="6" s="1"/>
  <c r="S825" i="6" s="1"/>
  <c r="P824" i="6"/>
  <c r="J824" i="6"/>
  <c r="P823" i="6"/>
  <c r="J823" i="6"/>
  <c r="P822" i="6"/>
  <c r="J822" i="6"/>
  <c r="P821" i="6"/>
  <c r="J821" i="6"/>
  <c r="P820" i="6"/>
  <c r="J820" i="6"/>
  <c r="P819" i="6"/>
  <c r="R819" i="6" s="1"/>
  <c r="S819" i="6" s="1"/>
  <c r="P818" i="6"/>
  <c r="J818" i="6"/>
  <c r="P817" i="6"/>
  <c r="J817" i="6"/>
  <c r="P816" i="6"/>
  <c r="J816" i="6"/>
  <c r="P815" i="6"/>
  <c r="J815" i="6"/>
  <c r="P814" i="6"/>
  <c r="J814" i="6"/>
  <c r="P813" i="6"/>
  <c r="J813" i="6"/>
  <c r="P812" i="6"/>
  <c r="J812" i="6"/>
  <c r="J811" i="6"/>
  <c r="P811" i="6"/>
  <c r="P809" i="6"/>
  <c r="R809" i="6" s="1"/>
  <c r="S809" i="6" s="1"/>
  <c r="P808" i="6"/>
  <c r="R808" i="6" s="1"/>
  <c r="S808" i="6" s="1"/>
  <c r="P807" i="6"/>
  <c r="R807" i="6" s="1"/>
  <c r="S807" i="6" s="1"/>
  <c r="P806" i="6"/>
  <c r="R806" i="6" s="1"/>
  <c r="S806" i="6" s="1"/>
  <c r="P805" i="6"/>
  <c r="R805" i="6" s="1"/>
  <c r="S805" i="6" s="1"/>
  <c r="P804" i="6"/>
  <c r="R804" i="6" s="1"/>
  <c r="S804" i="6" s="1"/>
  <c r="P803" i="6"/>
  <c r="R803" i="6" s="1"/>
  <c r="S803" i="6" s="1"/>
  <c r="P802" i="6"/>
  <c r="R802" i="6" s="1"/>
  <c r="S802" i="6" s="1"/>
  <c r="J801" i="6"/>
  <c r="P801" i="6"/>
  <c r="P800" i="6"/>
  <c r="R800" i="6" s="1"/>
  <c r="S800" i="6" s="1"/>
  <c r="P799" i="6"/>
  <c r="R799" i="6" s="1"/>
  <c r="S799" i="6" s="1"/>
  <c r="P798" i="6"/>
  <c r="R798" i="6" s="1"/>
  <c r="S798" i="6" s="1"/>
  <c r="P795" i="6"/>
  <c r="J795" i="6"/>
  <c r="P793" i="6"/>
  <c r="R793" i="6" s="1"/>
  <c r="S793" i="6" s="1"/>
  <c r="P792" i="6"/>
  <c r="R792" i="6" s="1"/>
  <c r="S792" i="6" s="1"/>
  <c r="P788" i="6"/>
  <c r="J788" i="6"/>
  <c r="P787" i="6"/>
  <c r="J787" i="6"/>
  <c r="P785" i="6"/>
  <c r="R785" i="6" s="1"/>
  <c r="S785" i="6" s="1"/>
  <c r="P784" i="6"/>
  <c r="J784" i="6"/>
  <c r="P783" i="6"/>
  <c r="J783" i="6"/>
  <c r="P782" i="6"/>
  <c r="J782" i="6"/>
  <c r="P779" i="6"/>
  <c r="J779" i="6"/>
  <c r="P778" i="6"/>
  <c r="J778" i="6"/>
  <c r="P777" i="6"/>
  <c r="R777" i="6" s="1"/>
  <c r="S777" i="6" s="1"/>
  <c r="P776" i="6"/>
  <c r="R776" i="6" s="1"/>
  <c r="S776" i="6" s="1"/>
  <c r="P775" i="6"/>
  <c r="J775" i="6"/>
  <c r="P774" i="6"/>
  <c r="J774" i="6"/>
  <c r="P772" i="6"/>
  <c r="R772" i="6" s="1"/>
  <c r="S772" i="6" s="1"/>
  <c r="P771" i="6"/>
  <c r="R771" i="6" s="1"/>
  <c r="S771" i="6" s="1"/>
  <c r="P767" i="6"/>
  <c r="R767" i="6" s="1"/>
  <c r="S767" i="6" s="1"/>
  <c r="P765" i="6"/>
  <c r="R765" i="6" s="1"/>
  <c r="S765" i="6" s="1"/>
  <c r="P763" i="6"/>
  <c r="R763" i="6" s="1"/>
  <c r="S763" i="6" s="1"/>
  <c r="P761" i="6"/>
  <c r="R761" i="6" s="1"/>
  <c r="S761" i="6" s="1"/>
  <c r="P760" i="6"/>
  <c r="J760" i="6"/>
  <c r="P759" i="6"/>
  <c r="J759" i="6"/>
  <c r="P757" i="6"/>
  <c r="R757" i="6" s="1"/>
  <c r="S757" i="6" s="1"/>
  <c r="P756" i="6"/>
  <c r="R756" i="6" s="1"/>
  <c r="S756" i="6" s="1"/>
  <c r="P752" i="6"/>
  <c r="J752" i="6"/>
  <c r="P751" i="6"/>
  <c r="J751" i="6"/>
  <c r="P750" i="6"/>
  <c r="J750" i="6"/>
  <c r="P748" i="6"/>
  <c r="J748" i="6"/>
  <c r="P747" i="6"/>
  <c r="J747" i="6"/>
  <c r="P746" i="6"/>
  <c r="J746" i="6"/>
  <c r="P745" i="6"/>
  <c r="J745" i="6"/>
  <c r="P744" i="6"/>
  <c r="J744" i="6"/>
  <c r="P743" i="6"/>
  <c r="J743" i="6"/>
  <c r="P742" i="6"/>
  <c r="J742" i="6"/>
  <c r="P740" i="6"/>
  <c r="R740" i="6" s="1"/>
  <c r="S740" i="6" s="1"/>
  <c r="P739" i="6"/>
  <c r="R739" i="6" s="1"/>
  <c r="S739" i="6" s="1"/>
  <c r="P738" i="6"/>
  <c r="R738" i="6" s="1"/>
  <c r="S738" i="6" s="1"/>
  <c r="P737" i="6"/>
  <c r="R737" i="6" s="1"/>
  <c r="S737" i="6" s="1"/>
  <c r="P736" i="6"/>
  <c r="R736" i="6" s="1"/>
  <c r="S736" i="6" s="1"/>
  <c r="P735" i="6"/>
  <c r="R735" i="6" s="1"/>
  <c r="S735" i="6" s="1"/>
  <c r="P734" i="6"/>
  <c r="R734" i="6" s="1"/>
  <c r="S734" i="6" s="1"/>
  <c r="P730" i="6"/>
  <c r="J730" i="6"/>
  <c r="P729" i="6"/>
  <c r="R729" i="6" s="1"/>
  <c r="S729" i="6" s="1"/>
  <c r="P725" i="6"/>
  <c r="R725" i="6" s="1"/>
  <c r="S725" i="6" s="1"/>
  <c r="P724" i="6"/>
  <c r="R724" i="6" s="1"/>
  <c r="S724" i="6" s="1"/>
  <c r="P723" i="6"/>
  <c r="R723" i="6" s="1"/>
  <c r="S723" i="6" s="1"/>
  <c r="P722" i="6"/>
  <c r="R722" i="6" s="1"/>
  <c r="S722" i="6" s="1"/>
  <c r="P721" i="6"/>
  <c r="R721" i="6" s="1"/>
  <c r="S721" i="6" s="1"/>
  <c r="P719" i="6"/>
  <c r="R719" i="6" s="1"/>
  <c r="S719" i="6" s="1"/>
  <c r="P718" i="6"/>
  <c r="R718" i="6" s="1"/>
  <c r="S718" i="6" s="1"/>
  <c r="P717" i="6"/>
  <c r="R717" i="6" s="1"/>
  <c r="S717" i="6" s="1"/>
  <c r="P716" i="6"/>
  <c r="R716" i="6" s="1"/>
  <c r="S716" i="6" s="1"/>
  <c r="P715" i="6"/>
  <c r="R715" i="6" s="1"/>
  <c r="S715" i="6" s="1"/>
  <c r="P714" i="6"/>
  <c r="R714" i="6" s="1"/>
  <c r="S714" i="6" s="1"/>
  <c r="J711" i="6"/>
  <c r="P711" i="6"/>
  <c r="P708" i="6"/>
  <c r="R708" i="6" s="1"/>
  <c r="S708" i="6" s="1"/>
  <c r="P707" i="6"/>
  <c r="R707" i="6" s="1"/>
  <c r="S707" i="6" s="1"/>
  <c r="P704" i="6"/>
  <c r="R704" i="6" s="1"/>
  <c r="S704" i="6" s="1"/>
  <c r="P703" i="6"/>
  <c r="J703" i="6"/>
  <c r="P702" i="6"/>
  <c r="J702" i="6"/>
  <c r="P701" i="6"/>
  <c r="J701" i="6"/>
  <c r="P700" i="6"/>
  <c r="J700" i="6"/>
  <c r="P699" i="6"/>
  <c r="J699" i="6"/>
  <c r="P698" i="6"/>
  <c r="J698" i="6"/>
  <c r="P697" i="6"/>
  <c r="J697" i="6"/>
  <c r="P696" i="6"/>
  <c r="J696" i="6"/>
  <c r="P695" i="6"/>
  <c r="J695" i="6"/>
  <c r="P694" i="6"/>
  <c r="J694" i="6"/>
  <c r="P693" i="6"/>
  <c r="J693" i="6"/>
  <c r="P691" i="6"/>
  <c r="R691" i="6" s="1"/>
  <c r="S691" i="6" s="1"/>
  <c r="P690" i="6"/>
  <c r="R690" i="6" s="1"/>
  <c r="S690" i="6" s="1"/>
  <c r="P689" i="6"/>
  <c r="R689" i="6" s="1"/>
  <c r="S689" i="6" s="1"/>
  <c r="P688" i="6"/>
  <c r="R688" i="6" s="1"/>
  <c r="S688" i="6" s="1"/>
  <c r="P687" i="6"/>
  <c r="R687" i="6" s="1"/>
  <c r="S687" i="6" s="1"/>
  <c r="P685" i="6"/>
  <c r="R685" i="6" s="1"/>
  <c r="S685" i="6" s="1"/>
  <c r="P684" i="6"/>
  <c r="R684" i="6" s="1"/>
  <c r="S684" i="6" s="1"/>
  <c r="P683" i="6"/>
  <c r="R683" i="6" s="1"/>
  <c r="S683" i="6" s="1"/>
  <c r="P682" i="6"/>
  <c r="R682" i="6" s="1"/>
  <c r="S682" i="6" s="1"/>
  <c r="P681" i="6"/>
  <c r="R681" i="6" s="1"/>
  <c r="S681" i="6" s="1"/>
  <c r="P680" i="6"/>
  <c r="R680" i="6" s="1"/>
  <c r="S680" i="6" s="1"/>
  <c r="P679" i="6"/>
  <c r="R679" i="6" s="1"/>
  <c r="S679" i="6" s="1"/>
  <c r="P678" i="6"/>
  <c r="R678" i="6" s="1"/>
  <c r="S678" i="6" s="1"/>
  <c r="P675" i="6"/>
  <c r="R675" i="6" s="1"/>
  <c r="S675" i="6" s="1"/>
  <c r="P674" i="6"/>
  <c r="R674" i="6" s="1"/>
  <c r="S674" i="6" s="1"/>
  <c r="P673" i="6"/>
  <c r="J673" i="6"/>
  <c r="P670" i="6"/>
  <c r="R670" i="6" s="1"/>
  <c r="S670" i="6" s="1"/>
  <c r="P669" i="6"/>
  <c r="R669" i="6" s="1"/>
  <c r="S669" i="6" s="1"/>
  <c r="P668" i="6"/>
  <c r="R668" i="6" s="1"/>
  <c r="S668" i="6" s="1"/>
  <c r="P667" i="6"/>
  <c r="R667" i="6" s="1"/>
  <c r="S667" i="6" s="1"/>
  <c r="P666" i="6"/>
  <c r="R666" i="6" s="1"/>
  <c r="S666" i="6" s="1"/>
  <c r="P663" i="6"/>
  <c r="R663" i="6" s="1"/>
  <c r="S663" i="6" s="1"/>
  <c r="P662" i="6"/>
  <c r="R662" i="6" s="1"/>
  <c r="S662" i="6" s="1"/>
  <c r="P661" i="6"/>
  <c r="R661" i="6" s="1"/>
  <c r="S661" i="6" s="1"/>
  <c r="P659" i="6"/>
  <c r="J659" i="6"/>
  <c r="P658" i="6"/>
  <c r="J658" i="6"/>
  <c r="P657" i="6"/>
  <c r="R657" i="6" s="1"/>
  <c r="S657" i="6" s="1"/>
  <c r="P656" i="6"/>
  <c r="J656" i="6"/>
  <c r="P655" i="6"/>
  <c r="J655" i="6"/>
  <c r="P653" i="6"/>
  <c r="R653" i="6" s="1"/>
  <c r="S653" i="6" s="1"/>
  <c r="P651" i="6"/>
  <c r="R651" i="6" s="1"/>
  <c r="S651" i="6" s="1"/>
  <c r="P650" i="6"/>
  <c r="R650" i="6" s="1"/>
  <c r="S650" i="6" s="1"/>
  <c r="P648" i="6"/>
  <c r="R648" i="6" s="1"/>
  <c r="S648" i="6" s="1"/>
  <c r="P647" i="6"/>
  <c r="R647" i="6" s="1"/>
  <c r="S647" i="6" s="1"/>
  <c r="P644" i="6"/>
  <c r="R644" i="6" s="1"/>
  <c r="S644" i="6" s="1"/>
  <c r="P643" i="6"/>
  <c r="J643" i="6"/>
  <c r="P640" i="6"/>
  <c r="R640" i="6" s="1"/>
  <c r="S640" i="6" s="1"/>
  <c r="P639" i="6"/>
  <c r="R639" i="6" s="1"/>
  <c r="S639" i="6" s="1"/>
  <c r="P638" i="6"/>
  <c r="R638" i="6" s="1"/>
  <c r="S638" i="6" s="1"/>
  <c r="P637" i="6"/>
  <c r="R637" i="6" s="1"/>
  <c r="S637" i="6" s="1"/>
  <c r="P636" i="6"/>
  <c r="R636" i="6" s="1"/>
  <c r="S636" i="6" s="1"/>
  <c r="P633" i="6"/>
  <c r="R633" i="6" s="1"/>
  <c r="S633" i="6" s="1"/>
  <c r="P631" i="6"/>
  <c r="J631" i="6"/>
  <c r="P630" i="6"/>
  <c r="J630" i="6"/>
  <c r="J629" i="6"/>
  <c r="P629" i="6"/>
  <c r="P628" i="6"/>
  <c r="J628" i="6"/>
  <c r="P627" i="6"/>
  <c r="J627" i="6"/>
  <c r="P626" i="6"/>
  <c r="J626" i="6"/>
  <c r="J625" i="6"/>
  <c r="P625" i="6"/>
  <c r="P624" i="6"/>
  <c r="J624" i="6"/>
  <c r="P623" i="6"/>
  <c r="J623" i="6"/>
  <c r="P622" i="6"/>
  <c r="R622" i="6" s="1"/>
  <c r="S622" i="6" s="1"/>
  <c r="P621" i="6"/>
  <c r="J621" i="6"/>
  <c r="P620" i="6"/>
  <c r="J620" i="6"/>
  <c r="P619" i="6"/>
  <c r="J619" i="6"/>
  <c r="J618" i="6"/>
  <c r="P618" i="6"/>
  <c r="P617" i="6"/>
  <c r="J617" i="6"/>
  <c r="P616" i="6"/>
  <c r="J616" i="6"/>
  <c r="P614" i="6"/>
  <c r="R614" i="6" s="1"/>
  <c r="S614" i="6" s="1"/>
  <c r="P612" i="6"/>
  <c r="R612" i="6" s="1"/>
  <c r="S612" i="6" s="1"/>
  <c r="P611" i="6"/>
  <c r="R611" i="6" s="1"/>
  <c r="S611" i="6" s="1"/>
  <c r="P610" i="6"/>
  <c r="R610" i="6" s="1"/>
  <c r="S610" i="6" s="1"/>
  <c r="P609" i="6"/>
  <c r="R609" i="6" s="1"/>
  <c r="S609" i="6" s="1"/>
  <c r="P606" i="6"/>
  <c r="R606" i="6" s="1"/>
  <c r="S606" i="6" s="1"/>
  <c r="P605" i="6"/>
  <c r="R605" i="6" s="1"/>
  <c r="S605" i="6" s="1"/>
  <c r="P604" i="6"/>
  <c r="R604" i="6" s="1"/>
  <c r="S604" i="6" s="1"/>
  <c r="P603" i="6"/>
  <c r="R603" i="6" s="1"/>
  <c r="S603" i="6" s="1"/>
  <c r="P602" i="6"/>
  <c r="R602" i="6" s="1"/>
  <c r="S602" i="6" s="1"/>
  <c r="P597" i="6"/>
  <c r="J597" i="6"/>
  <c r="P594" i="6"/>
  <c r="J594" i="6"/>
  <c r="P593" i="6"/>
  <c r="J593" i="6"/>
  <c r="P590" i="6"/>
  <c r="R590" i="6" s="1"/>
  <c r="S590" i="6" s="1"/>
  <c r="P588" i="6"/>
  <c r="J588" i="6"/>
  <c r="P587" i="6"/>
  <c r="P585" i="6"/>
  <c r="R585" i="6" s="1"/>
  <c r="S585" i="6" s="1"/>
  <c r="P583" i="6"/>
  <c r="R583" i="6" s="1"/>
  <c r="S583" i="6" s="1"/>
  <c r="P582" i="6"/>
  <c r="J582" i="6"/>
  <c r="P576" i="6"/>
  <c r="R576" i="6" s="1"/>
  <c r="S576" i="6" s="1"/>
  <c r="P579" i="6"/>
  <c r="J579" i="6"/>
  <c r="P578" i="6"/>
  <c r="J578" i="6"/>
  <c r="P573" i="6"/>
  <c r="J573" i="6"/>
  <c r="P572" i="6"/>
  <c r="J572" i="6"/>
  <c r="P570" i="6"/>
  <c r="R570" i="6" s="1"/>
  <c r="S570" i="6" s="1"/>
  <c r="P569" i="6"/>
  <c r="R569" i="6" s="1"/>
  <c r="S569" i="6" s="1"/>
  <c r="P568" i="6"/>
  <c r="R568" i="6" s="1"/>
  <c r="S568" i="6" s="1"/>
  <c r="P567" i="6"/>
  <c r="R567" i="6" s="1"/>
  <c r="S567" i="6" s="1"/>
  <c r="P566" i="6"/>
  <c r="R566" i="6" s="1"/>
  <c r="S566" i="6" s="1"/>
  <c r="P565" i="6"/>
  <c r="R565" i="6" s="1"/>
  <c r="S565" i="6" s="1"/>
  <c r="P562" i="6"/>
  <c r="R562" i="6" s="1"/>
  <c r="S562" i="6" s="1"/>
  <c r="P559" i="6"/>
  <c r="R559" i="6" s="1"/>
  <c r="S559" i="6" s="1"/>
  <c r="P557" i="6"/>
  <c r="R557" i="6" s="1"/>
  <c r="S557" i="6" s="1"/>
  <c r="P556" i="6"/>
  <c r="R556" i="6" s="1"/>
  <c r="S556" i="6" s="1"/>
  <c r="P555" i="6"/>
  <c r="R555" i="6" s="1"/>
  <c r="S555" i="6" s="1"/>
  <c r="P554" i="6"/>
  <c r="R554" i="6" s="1"/>
  <c r="S554" i="6" s="1"/>
  <c r="P553" i="6"/>
  <c r="R553" i="6" s="1"/>
  <c r="S553" i="6" s="1"/>
  <c r="P552" i="6"/>
  <c r="R552" i="6" s="1"/>
  <c r="S552" i="6" s="1"/>
  <c r="P551" i="6"/>
  <c r="R551" i="6" s="1"/>
  <c r="S551" i="6" s="1"/>
  <c r="P550" i="6"/>
  <c r="R550" i="6" s="1"/>
  <c r="S550" i="6" s="1"/>
  <c r="P549" i="6"/>
  <c r="R549" i="6" s="1"/>
  <c r="S549" i="6" s="1"/>
  <c r="P548" i="6"/>
  <c r="R548" i="6" s="1"/>
  <c r="S548" i="6" s="1"/>
  <c r="P547" i="6"/>
  <c r="R547" i="6" s="1"/>
  <c r="S547" i="6" s="1"/>
  <c r="P546" i="6"/>
  <c r="R546" i="6" s="1"/>
  <c r="S546" i="6" s="1"/>
  <c r="P545" i="6"/>
  <c r="R545" i="6" s="1"/>
  <c r="S545" i="6" s="1"/>
  <c r="P544" i="6"/>
  <c r="R544" i="6" s="1"/>
  <c r="S544" i="6" s="1"/>
  <c r="P543" i="6"/>
  <c r="R543" i="6" s="1"/>
  <c r="S543" i="6" s="1"/>
  <c r="P542" i="6"/>
  <c r="R542" i="6" s="1"/>
  <c r="S542" i="6" s="1"/>
  <c r="P541" i="6"/>
  <c r="R541" i="6" s="1"/>
  <c r="S541" i="6" s="1"/>
  <c r="P540" i="6"/>
  <c r="R540" i="6" s="1"/>
  <c r="S540" i="6" s="1"/>
  <c r="P539" i="6"/>
  <c r="R539" i="6" s="1"/>
  <c r="S539" i="6" s="1"/>
  <c r="P538" i="6"/>
  <c r="R538" i="6" s="1"/>
  <c r="S538" i="6" s="1"/>
  <c r="P537" i="6"/>
  <c r="R537" i="6" s="1"/>
  <c r="S537" i="6" s="1"/>
  <c r="P536" i="6"/>
  <c r="R536" i="6" s="1"/>
  <c r="S536" i="6" s="1"/>
  <c r="P535" i="6"/>
  <c r="R535" i="6" s="1"/>
  <c r="S535" i="6" s="1"/>
  <c r="P534" i="6"/>
  <c r="R534" i="6" s="1"/>
  <c r="S534" i="6" s="1"/>
  <c r="P533" i="6"/>
  <c r="J533" i="6"/>
  <c r="P532" i="6"/>
  <c r="R532" i="6" s="1"/>
  <c r="S532" i="6" s="1"/>
  <c r="P531" i="6"/>
  <c r="R531" i="6" s="1"/>
  <c r="S531" i="6" s="1"/>
  <c r="P530" i="6"/>
  <c r="R530" i="6" s="1"/>
  <c r="S530" i="6" s="1"/>
  <c r="P485" i="6"/>
  <c r="R485" i="6" s="1"/>
  <c r="S485" i="6" s="1"/>
  <c r="P528" i="6"/>
  <c r="J528" i="6"/>
  <c r="P526" i="6"/>
  <c r="J526" i="6"/>
  <c r="P525" i="6"/>
  <c r="J525" i="6"/>
  <c r="P524" i="6"/>
  <c r="J524" i="6"/>
  <c r="P523" i="6"/>
  <c r="J523" i="6"/>
  <c r="P522" i="6"/>
  <c r="J522" i="6"/>
  <c r="J520" i="6"/>
  <c r="P520" i="6"/>
  <c r="P519" i="6"/>
  <c r="R519" i="6" s="1"/>
  <c r="S519" i="6" s="1"/>
  <c r="P518" i="6"/>
  <c r="J518" i="6"/>
  <c r="P517" i="6"/>
  <c r="J517" i="6"/>
  <c r="P515" i="6"/>
  <c r="J515" i="6"/>
  <c r="P514" i="6"/>
  <c r="J514" i="6"/>
  <c r="P513" i="6"/>
  <c r="J513" i="6"/>
  <c r="J511" i="6"/>
  <c r="P510" i="6"/>
  <c r="J510" i="6"/>
  <c r="P509" i="6"/>
  <c r="J509" i="6"/>
  <c r="P508" i="6"/>
  <c r="J508" i="6"/>
  <c r="P507" i="6"/>
  <c r="R507" i="6" s="1"/>
  <c r="S507" i="6" s="1"/>
  <c r="P506" i="6"/>
  <c r="J506" i="6"/>
  <c r="P505" i="6"/>
  <c r="J505" i="6"/>
  <c r="P504" i="6"/>
  <c r="R504" i="6" s="1"/>
  <c r="S504" i="6" s="1"/>
  <c r="P502" i="6"/>
  <c r="R502" i="6" s="1"/>
  <c r="S502" i="6" s="1"/>
  <c r="P501" i="6"/>
  <c r="R501" i="6" s="1"/>
  <c r="S501" i="6" s="1"/>
  <c r="P500" i="6"/>
  <c r="R500" i="6" s="1"/>
  <c r="S500" i="6" s="1"/>
  <c r="P499" i="6"/>
  <c r="R499" i="6" s="1"/>
  <c r="S499" i="6" s="1"/>
  <c r="P498" i="6"/>
  <c r="R498" i="6" s="1"/>
  <c r="S498" i="6" s="1"/>
  <c r="P497" i="6"/>
  <c r="R497" i="6" s="1"/>
  <c r="S497" i="6" s="1"/>
  <c r="P495" i="6"/>
  <c r="R495" i="6" s="1"/>
  <c r="S495" i="6" s="1"/>
  <c r="P494" i="6"/>
  <c r="R494" i="6" s="1"/>
  <c r="S494" i="6" s="1"/>
  <c r="P493" i="6"/>
  <c r="R493" i="6" s="1"/>
  <c r="S493" i="6" s="1"/>
  <c r="P492" i="6"/>
  <c r="R492" i="6" s="1"/>
  <c r="S492" i="6" s="1"/>
  <c r="P491" i="6"/>
  <c r="R491" i="6" s="1"/>
  <c r="S491" i="6" s="1"/>
  <c r="P490" i="6"/>
  <c r="R490" i="6" s="1"/>
  <c r="S490" i="6" s="1"/>
  <c r="P489" i="6"/>
  <c r="R489" i="6" s="1"/>
  <c r="S489" i="6" s="1"/>
  <c r="P488" i="6"/>
  <c r="R488" i="6" s="1"/>
  <c r="S488" i="6" s="1"/>
  <c r="P483" i="6"/>
  <c r="R483" i="6" s="1"/>
  <c r="S483" i="6" s="1"/>
  <c r="P482" i="6"/>
  <c r="R482" i="6" s="1"/>
  <c r="S482" i="6" s="1"/>
  <c r="P481" i="6"/>
  <c r="R481" i="6" s="1"/>
  <c r="S481" i="6" s="1"/>
  <c r="P480" i="6"/>
  <c r="R480" i="6" s="1"/>
  <c r="S480" i="6" s="1"/>
  <c r="P477" i="6"/>
  <c r="J477" i="6"/>
  <c r="P476" i="6"/>
  <c r="J476" i="6"/>
  <c r="P475" i="6"/>
  <c r="R475" i="6" s="1"/>
  <c r="S475" i="6" s="1"/>
  <c r="P474" i="6"/>
  <c r="R474" i="6" s="1"/>
  <c r="S474" i="6" s="1"/>
  <c r="P473" i="6"/>
  <c r="R473" i="6" s="1"/>
  <c r="S473" i="6" s="1"/>
  <c r="P472" i="6"/>
  <c r="R472" i="6" s="1"/>
  <c r="S472" i="6" s="1"/>
  <c r="P471" i="6"/>
  <c r="R471" i="6" s="1"/>
  <c r="S471" i="6" s="1"/>
  <c r="P469" i="6"/>
  <c r="R469" i="6" s="1"/>
  <c r="S469" i="6" s="1"/>
  <c r="P468" i="6"/>
  <c r="R468" i="6" s="1"/>
  <c r="S468" i="6" s="1"/>
  <c r="P467" i="6"/>
  <c r="R467" i="6" s="1"/>
  <c r="S467" i="6" s="1"/>
  <c r="P466" i="6"/>
  <c r="R466" i="6" s="1"/>
  <c r="S466" i="6" s="1"/>
  <c r="P465" i="6"/>
  <c r="R465" i="6" s="1"/>
  <c r="S465" i="6" s="1"/>
  <c r="P464" i="6"/>
  <c r="R464" i="6" s="1"/>
  <c r="S464" i="6" s="1"/>
  <c r="P463" i="6"/>
  <c r="R463" i="6" s="1"/>
  <c r="S463" i="6" s="1"/>
  <c r="P462" i="6"/>
  <c r="R462" i="6" s="1"/>
  <c r="S462" i="6" s="1"/>
  <c r="P461" i="6"/>
  <c r="R461" i="6" s="1"/>
  <c r="S461" i="6" s="1"/>
  <c r="P460" i="6"/>
  <c r="R460" i="6" s="1"/>
  <c r="S460" i="6" s="1"/>
  <c r="P459" i="6"/>
  <c r="R459" i="6" s="1"/>
  <c r="S459" i="6" s="1"/>
  <c r="P452" i="6"/>
  <c r="R452" i="6" s="1"/>
  <c r="S452" i="6" s="1"/>
  <c r="P451" i="6"/>
  <c r="R451" i="6" s="1"/>
  <c r="S451" i="6" s="1"/>
  <c r="P455" i="6"/>
  <c r="J455" i="6"/>
  <c r="P454" i="6"/>
  <c r="J454" i="6"/>
  <c r="P448" i="6"/>
  <c r="R448" i="6" s="1"/>
  <c r="S448" i="6" s="1"/>
  <c r="P447" i="6"/>
  <c r="R447" i="6" s="1"/>
  <c r="S447" i="6" s="1"/>
  <c r="P443" i="6"/>
  <c r="J443" i="6"/>
  <c r="P442" i="6"/>
  <c r="P441" i="6"/>
  <c r="J441" i="6"/>
  <c r="P438" i="6"/>
  <c r="R438" i="6" s="1"/>
  <c r="S438" i="6" s="1"/>
  <c r="P435" i="6"/>
  <c r="R435" i="6" s="1"/>
  <c r="S435" i="6" s="1"/>
  <c r="P433" i="6"/>
  <c r="J433" i="6"/>
  <c r="J432" i="6"/>
  <c r="R432" i="6" s="1"/>
  <c r="S432" i="6" s="1"/>
  <c r="P431" i="6"/>
  <c r="J431" i="6"/>
  <c r="P428" i="6"/>
  <c r="R428" i="6" s="1"/>
  <c r="S428" i="6" s="1"/>
  <c r="P425" i="6"/>
  <c r="R425" i="6" s="1"/>
  <c r="S425" i="6" s="1"/>
  <c r="P424" i="6"/>
  <c r="R424" i="6" s="1"/>
  <c r="S424" i="6" s="1"/>
  <c r="P423" i="6"/>
  <c r="R423" i="6" s="1"/>
  <c r="S423" i="6" s="1"/>
  <c r="P419" i="6"/>
  <c r="R419" i="6" s="1"/>
  <c r="S419" i="6" s="1"/>
  <c r="P414" i="6"/>
  <c r="J414" i="6"/>
  <c r="P413" i="6"/>
  <c r="J413" i="6"/>
  <c r="P412" i="6"/>
  <c r="J412" i="6"/>
  <c r="P410" i="6"/>
  <c r="J410" i="6"/>
  <c r="J408" i="6"/>
  <c r="P408" i="6"/>
  <c r="P406" i="6"/>
  <c r="R406" i="6" s="1"/>
  <c r="S406" i="6" s="1"/>
  <c r="P405" i="6"/>
  <c r="R405" i="6" s="1"/>
  <c r="S405" i="6" s="1"/>
  <c r="P404" i="6"/>
  <c r="R404" i="6" s="1"/>
  <c r="S404" i="6" s="1"/>
  <c r="P403" i="6"/>
  <c r="R403" i="6" s="1"/>
  <c r="S403" i="6" s="1"/>
  <c r="P400" i="6"/>
  <c r="R400" i="6" s="1"/>
  <c r="S400" i="6" s="1"/>
  <c r="P397" i="6"/>
  <c r="R397" i="6" s="1"/>
  <c r="S397" i="6" s="1"/>
  <c r="P394" i="6"/>
  <c r="J394" i="6"/>
  <c r="P393" i="6"/>
  <c r="J393" i="6"/>
  <c r="P392" i="6"/>
  <c r="J392" i="6"/>
  <c r="P390" i="6"/>
  <c r="J390" i="6"/>
  <c r="P389" i="6"/>
  <c r="J389" i="6"/>
  <c r="J388" i="6"/>
  <c r="P388" i="6"/>
  <c r="P387" i="6"/>
  <c r="J387" i="6"/>
  <c r="P386" i="6"/>
  <c r="J386" i="6"/>
  <c r="P385" i="6"/>
  <c r="P384" i="6"/>
  <c r="J384" i="6"/>
  <c r="S383" i="6"/>
  <c r="P381" i="6"/>
  <c r="J381" i="6"/>
  <c r="P380" i="6"/>
  <c r="J380" i="6"/>
  <c r="P379" i="6"/>
  <c r="J379" i="6"/>
  <c r="P377" i="6"/>
  <c r="J377" i="6"/>
  <c r="P376" i="6"/>
  <c r="J376" i="6"/>
  <c r="P375" i="6"/>
  <c r="J375" i="6"/>
  <c r="P374" i="6"/>
  <c r="J374" i="6"/>
  <c r="P373" i="6"/>
  <c r="J373" i="6"/>
  <c r="J369" i="6"/>
  <c r="P369" i="6"/>
  <c r="P367" i="6"/>
  <c r="R367" i="6" s="1"/>
  <c r="S367" i="6" s="1"/>
  <c r="P364" i="6"/>
  <c r="J364" i="6"/>
  <c r="P363" i="6"/>
  <c r="J363" i="6"/>
  <c r="J362" i="6"/>
  <c r="P362" i="6"/>
  <c r="P360" i="6"/>
  <c r="R360" i="6" s="1"/>
  <c r="S360" i="6" s="1"/>
  <c r="P356" i="6"/>
  <c r="J356" i="6"/>
  <c r="P355" i="6"/>
  <c r="J355" i="6"/>
  <c r="P353" i="6"/>
  <c r="R353" i="6" s="1"/>
  <c r="S353" i="6" s="1"/>
  <c r="P352" i="6"/>
  <c r="R352" i="6" s="1"/>
  <c r="S352" i="6" s="1"/>
  <c r="P351" i="6"/>
  <c r="R351" i="6" s="1"/>
  <c r="S351" i="6" s="1"/>
  <c r="P350" i="6"/>
  <c r="R350" i="6" s="1"/>
  <c r="S350" i="6" s="1"/>
  <c r="P349" i="6"/>
  <c r="R349" i="6" s="1"/>
  <c r="S349" i="6" s="1"/>
  <c r="P348" i="6"/>
  <c r="R348" i="6" s="1"/>
  <c r="S348" i="6" s="1"/>
  <c r="P347" i="6"/>
  <c r="R347" i="6" s="1"/>
  <c r="S347" i="6" s="1"/>
  <c r="P346" i="6"/>
  <c r="R346" i="6" s="1"/>
  <c r="S346" i="6" s="1"/>
  <c r="P345" i="6"/>
  <c r="R345" i="6" s="1"/>
  <c r="S345" i="6" s="1"/>
  <c r="P340" i="6"/>
  <c r="R340" i="6" s="1"/>
  <c r="S340" i="6" s="1"/>
  <c r="P339" i="6"/>
  <c r="R339" i="6" s="1"/>
  <c r="S339" i="6" s="1"/>
  <c r="P338" i="6"/>
  <c r="R338" i="6" s="1"/>
  <c r="S338" i="6" s="1"/>
  <c r="P337" i="6"/>
  <c r="R337" i="6" s="1"/>
  <c r="S337" i="6" s="1"/>
  <c r="P336" i="6"/>
  <c r="R336" i="6" s="1"/>
  <c r="S336" i="6" s="1"/>
  <c r="P335" i="6"/>
  <c r="R335" i="6" s="1"/>
  <c r="S335" i="6" s="1"/>
  <c r="P332" i="6"/>
  <c r="R332" i="6" s="1"/>
  <c r="S332" i="6" s="1"/>
  <c r="P331" i="6"/>
  <c r="R331" i="6" s="1"/>
  <c r="S331" i="6" s="1"/>
  <c r="P329" i="6"/>
  <c r="R329" i="6" s="1"/>
  <c r="S329" i="6" s="1"/>
  <c r="P328" i="6"/>
  <c r="R328" i="6" s="1"/>
  <c r="S328" i="6" s="1"/>
  <c r="P327" i="6"/>
  <c r="R327" i="6" s="1"/>
  <c r="S327" i="6" s="1"/>
  <c r="P324" i="6"/>
  <c r="R324" i="6" s="1"/>
  <c r="S324" i="6" s="1"/>
  <c r="P322" i="6"/>
  <c r="J322" i="6"/>
  <c r="P318" i="6"/>
  <c r="J318" i="6"/>
  <c r="P317" i="6"/>
  <c r="J317" i="6"/>
  <c r="P314" i="6"/>
  <c r="J314" i="6"/>
  <c r="P313" i="6"/>
  <c r="J313" i="6"/>
  <c r="P311" i="6"/>
  <c r="R311" i="6" s="1"/>
  <c r="S311" i="6" s="1"/>
  <c r="P310" i="6"/>
  <c r="R310" i="6" s="1"/>
  <c r="S310" i="6" s="1"/>
  <c r="P309" i="6"/>
  <c r="R309" i="6" s="1"/>
  <c r="S309" i="6" s="1"/>
  <c r="P308" i="6"/>
  <c r="R308" i="6" s="1"/>
  <c r="S308" i="6" s="1"/>
  <c r="P307" i="6"/>
  <c r="R307" i="6" s="1"/>
  <c r="S307" i="6" s="1"/>
  <c r="P306" i="6"/>
  <c r="R306" i="6" s="1"/>
  <c r="S306" i="6" s="1"/>
  <c r="P305" i="6"/>
  <c r="R305" i="6" s="1"/>
  <c r="S305" i="6" s="1"/>
  <c r="P304" i="6"/>
  <c r="R304" i="6" s="1"/>
  <c r="S304" i="6" s="1"/>
  <c r="P303" i="6"/>
  <c r="R303" i="6" s="1"/>
  <c r="S303" i="6" s="1"/>
  <c r="P302" i="6"/>
  <c r="R302" i="6" s="1"/>
  <c r="S302" i="6" s="1"/>
  <c r="P299" i="6"/>
  <c r="J299" i="6"/>
  <c r="P298" i="6"/>
  <c r="J298" i="6"/>
  <c r="P295" i="6"/>
  <c r="J295" i="6"/>
  <c r="P294" i="6"/>
  <c r="J294" i="6"/>
  <c r="J293" i="6"/>
  <c r="P292" i="6"/>
  <c r="J292" i="6"/>
  <c r="J291" i="6"/>
  <c r="P291" i="6"/>
  <c r="P289" i="6"/>
  <c r="R289" i="6" s="1"/>
  <c r="S289" i="6" s="1"/>
  <c r="P288" i="6"/>
  <c r="R288" i="6" s="1"/>
  <c r="S288" i="6" s="1"/>
  <c r="P287" i="6"/>
  <c r="R287" i="6" s="1"/>
  <c r="S287" i="6" s="1"/>
  <c r="P286" i="6"/>
  <c r="R286" i="6" s="1"/>
  <c r="S286" i="6" s="1"/>
  <c r="P285" i="6"/>
  <c r="R285" i="6" s="1"/>
  <c r="S285" i="6" s="1"/>
  <c r="P284" i="6"/>
  <c r="R284" i="6" s="1"/>
  <c r="S284" i="6" s="1"/>
  <c r="P283" i="6"/>
  <c r="R283" i="6" s="1"/>
  <c r="S283" i="6" s="1"/>
  <c r="P282" i="6"/>
  <c r="R282" i="6" s="1"/>
  <c r="S282" i="6" s="1"/>
  <c r="P281" i="6"/>
  <c r="R281" i="6" s="1"/>
  <c r="S281" i="6" s="1"/>
  <c r="P280" i="6"/>
  <c r="R280" i="6" s="1"/>
  <c r="S280" i="6" s="1"/>
  <c r="P279" i="6"/>
  <c r="R279" i="6" s="1"/>
  <c r="S279" i="6" s="1"/>
  <c r="P278" i="6"/>
  <c r="J278" i="6"/>
  <c r="P275" i="6"/>
  <c r="R275" i="6" s="1"/>
  <c r="S275" i="6" s="1"/>
  <c r="P272" i="6"/>
  <c r="J272" i="6"/>
  <c r="P271" i="6"/>
  <c r="J271" i="6"/>
  <c r="P270" i="6"/>
  <c r="J270" i="6"/>
  <c r="P269" i="6"/>
  <c r="R269" i="6" s="1"/>
  <c r="S269" i="6" s="1"/>
  <c r="P268" i="6"/>
  <c r="J268" i="6"/>
  <c r="P267" i="6"/>
  <c r="J267" i="6"/>
  <c r="P262" i="6"/>
  <c r="R262" i="6" s="1"/>
  <c r="S262" i="6" s="1"/>
  <c r="P259" i="6"/>
  <c r="R259" i="6" s="1"/>
  <c r="S259" i="6" s="1"/>
  <c r="P255" i="6"/>
  <c r="J255" i="6"/>
  <c r="P254" i="6"/>
  <c r="J254" i="6"/>
  <c r="P253" i="6"/>
  <c r="J253" i="6"/>
  <c r="P251" i="6"/>
  <c r="R251" i="6" s="1"/>
  <c r="S251" i="6" s="1"/>
  <c r="P250" i="6"/>
  <c r="R250" i="6" s="1"/>
  <c r="S250" i="6" s="1"/>
  <c r="P244" i="6"/>
  <c r="J244" i="6"/>
  <c r="P243" i="6"/>
  <c r="J243" i="6"/>
  <c r="P242" i="6"/>
  <c r="J242" i="6"/>
  <c r="P240" i="6"/>
  <c r="R240" i="6" s="1"/>
  <c r="S240" i="6" s="1"/>
  <c r="P239" i="6"/>
  <c r="R239" i="6" s="1"/>
  <c r="S239" i="6" s="1"/>
  <c r="P238" i="6"/>
  <c r="R238" i="6" s="1"/>
  <c r="S238" i="6" s="1"/>
  <c r="P235" i="6"/>
  <c r="J235" i="6"/>
  <c r="P234" i="6"/>
  <c r="J234" i="6"/>
  <c r="P232" i="6"/>
  <c r="R232" i="6" s="1"/>
  <c r="S232" i="6" s="1"/>
  <c r="P231" i="6"/>
  <c r="R231" i="6" s="1"/>
  <c r="S231" i="6" s="1"/>
  <c r="P230" i="6"/>
  <c r="R230" i="6" s="1"/>
  <c r="S230" i="6" s="1"/>
  <c r="P227" i="6"/>
  <c r="R227" i="6" s="1"/>
  <c r="S227" i="6" s="1"/>
  <c r="J225" i="6"/>
  <c r="P225" i="6"/>
  <c r="J224" i="6"/>
  <c r="P224" i="6"/>
  <c r="P223" i="6"/>
  <c r="J223" i="6"/>
  <c r="P221" i="6"/>
  <c r="R221" i="6" s="1"/>
  <c r="S221" i="6" s="1"/>
  <c r="J220" i="6"/>
  <c r="H220" i="6"/>
  <c r="P220" i="6" s="1"/>
  <c r="P219" i="6"/>
  <c r="R219" i="6" s="1"/>
  <c r="S219" i="6" s="1"/>
  <c r="P218" i="6"/>
  <c r="R218" i="6" s="1"/>
  <c r="S218" i="6" s="1"/>
  <c r="P217" i="6"/>
  <c r="R217" i="6" s="1"/>
  <c r="S217" i="6" s="1"/>
  <c r="P216" i="6"/>
  <c r="R216" i="6" s="1"/>
  <c r="S216" i="6" s="1"/>
  <c r="P212" i="6"/>
  <c r="R212" i="6" s="1"/>
  <c r="S212" i="6" s="1"/>
  <c r="P211" i="6"/>
  <c r="R211" i="6" s="1"/>
  <c r="S211" i="6" s="1"/>
  <c r="P209" i="6"/>
  <c r="R209" i="6" s="1"/>
  <c r="S209" i="6" s="1"/>
  <c r="P206" i="6"/>
  <c r="R206" i="6" s="1"/>
  <c r="S206" i="6" s="1"/>
  <c r="P205" i="6"/>
  <c r="J205" i="6"/>
  <c r="P204" i="6"/>
  <c r="R204" i="6" s="1"/>
  <c r="S204" i="6" s="1"/>
  <c r="P203" i="6"/>
  <c r="J203" i="6"/>
  <c r="P201" i="6"/>
  <c r="R201" i="6" s="1"/>
  <c r="S201" i="6" s="1"/>
  <c r="P199" i="6"/>
  <c r="R199" i="6" s="1"/>
  <c r="S199" i="6" s="1"/>
  <c r="P197" i="6"/>
  <c r="R197" i="6" s="1"/>
  <c r="S197" i="6" s="1"/>
  <c r="P194" i="6"/>
  <c r="J194" i="6"/>
  <c r="P193" i="6"/>
  <c r="J193" i="6"/>
  <c r="P192" i="6"/>
  <c r="J192" i="6"/>
  <c r="P191" i="6"/>
  <c r="J191" i="6"/>
  <c r="P190" i="6"/>
  <c r="J190" i="6"/>
  <c r="P189" i="6"/>
  <c r="J189" i="6"/>
  <c r="P188" i="6"/>
  <c r="R188" i="6" s="1"/>
  <c r="S188" i="6" s="1"/>
  <c r="P187" i="6"/>
  <c r="R187" i="6" s="1"/>
  <c r="S187" i="6" s="1"/>
  <c r="P185" i="6"/>
  <c r="J185" i="6"/>
  <c r="P184" i="6"/>
  <c r="J184" i="6"/>
  <c r="P182" i="6"/>
  <c r="R182" i="6" s="1"/>
  <c r="S182" i="6" s="1"/>
  <c r="P181" i="6"/>
  <c r="R181" i="6" s="1"/>
  <c r="S181" i="6" s="1"/>
  <c r="P180" i="6"/>
  <c r="R180" i="6" s="1"/>
  <c r="S180" i="6" s="1"/>
  <c r="P179" i="6"/>
  <c r="R179" i="6" s="1"/>
  <c r="S179" i="6" s="1"/>
  <c r="P178" i="6"/>
  <c r="R178" i="6" s="1"/>
  <c r="S178" i="6" s="1"/>
  <c r="P176" i="6"/>
  <c r="R176" i="6" s="1"/>
  <c r="S176" i="6" s="1"/>
  <c r="P175" i="6"/>
  <c r="R175" i="6" s="1"/>
  <c r="S175" i="6" s="1"/>
  <c r="P174" i="6"/>
  <c r="R174" i="6" s="1"/>
  <c r="S174" i="6" s="1"/>
  <c r="P173" i="6"/>
  <c r="R173" i="6" s="1"/>
  <c r="S173" i="6" s="1"/>
  <c r="P169" i="6"/>
  <c r="J169" i="6"/>
  <c r="P168" i="6"/>
  <c r="J168" i="6"/>
  <c r="P167" i="6"/>
  <c r="J167" i="6"/>
  <c r="P166" i="6"/>
  <c r="J166" i="6"/>
  <c r="P165" i="6"/>
  <c r="J165" i="6"/>
  <c r="P164" i="6"/>
  <c r="J164" i="6"/>
  <c r="P163" i="6"/>
  <c r="J163" i="6"/>
  <c r="P162" i="6"/>
  <c r="J162" i="6"/>
  <c r="P161" i="6"/>
  <c r="J161" i="6"/>
  <c r="P160" i="6"/>
  <c r="J160" i="6"/>
  <c r="P159" i="6"/>
  <c r="J159" i="6"/>
  <c r="P158" i="6"/>
  <c r="J158" i="6"/>
  <c r="P157" i="6"/>
  <c r="J157" i="6"/>
  <c r="P156" i="6"/>
  <c r="J156" i="6"/>
  <c r="P155" i="6"/>
  <c r="J155" i="6"/>
  <c r="P154" i="6"/>
  <c r="J154" i="6"/>
  <c r="P152" i="6"/>
  <c r="J152" i="6"/>
  <c r="P151" i="6"/>
  <c r="J151" i="6"/>
  <c r="P150" i="6"/>
  <c r="J150" i="6"/>
  <c r="P149" i="6"/>
  <c r="J149" i="6"/>
  <c r="P148" i="6"/>
  <c r="J148" i="6"/>
  <c r="P147" i="6"/>
  <c r="J147" i="6"/>
  <c r="P146" i="6"/>
  <c r="J146" i="6"/>
  <c r="P145" i="6"/>
  <c r="J145" i="6"/>
  <c r="P144" i="6"/>
  <c r="J144" i="6"/>
  <c r="P141" i="6"/>
  <c r="J140" i="6"/>
  <c r="P140" i="6"/>
  <c r="P139" i="6"/>
  <c r="J139" i="6"/>
  <c r="P138" i="6"/>
  <c r="J137" i="6"/>
  <c r="P137" i="6"/>
  <c r="P136" i="6"/>
  <c r="J136" i="6"/>
  <c r="P134" i="6"/>
  <c r="J134" i="6"/>
  <c r="P133" i="6"/>
  <c r="J133" i="6"/>
  <c r="P132" i="6"/>
  <c r="J132" i="6"/>
  <c r="P130" i="6"/>
  <c r="R130" i="6" s="1"/>
  <c r="S130" i="6" s="1"/>
  <c r="P129" i="6"/>
  <c r="R129" i="6" s="1"/>
  <c r="S129" i="6" s="1"/>
  <c r="P128" i="6"/>
  <c r="J128" i="6"/>
  <c r="P127" i="6"/>
  <c r="R127" i="6" s="1"/>
  <c r="S127" i="6" s="1"/>
  <c r="P126" i="6"/>
  <c r="J126" i="6"/>
  <c r="P125" i="6"/>
  <c r="J125" i="6"/>
  <c r="P124" i="6"/>
  <c r="R124" i="6" s="1"/>
  <c r="S124" i="6" s="1"/>
  <c r="P123" i="6"/>
  <c r="R123" i="6" s="1"/>
  <c r="S123" i="6" s="1"/>
  <c r="P122" i="6"/>
  <c r="R122" i="6" s="1"/>
  <c r="S122" i="6" s="1"/>
  <c r="P121" i="6"/>
  <c r="R121" i="6" s="1"/>
  <c r="S121" i="6" s="1"/>
  <c r="P120" i="6"/>
  <c r="R120" i="6" s="1"/>
  <c r="S120" i="6" s="1"/>
  <c r="P119" i="6"/>
  <c r="R119" i="6" s="1"/>
  <c r="S119" i="6" s="1"/>
  <c r="P118" i="6"/>
  <c r="R118" i="6" s="1"/>
  <c r="S118" i="6" s="1"/>
  <c r="P117" i="6"/>
  <c r="R117" i="6" s="1"/>
  <c r="S117" i="6" s="1"/>
  <c r="P116" i="6"/>
  <c r="R116" i="6" s="1"/>
  <c r="S116" i="6" s="1"/>
  <c r="J112" i="6"/>
  <c r="P112" i="6"/>
  <c r="P111" i="6"/>
  <c r="J111" i="6"/>
  <c r="J110" i="6"/>
  <c r="P110" i="6"/>
  <c r="P109" i="6"/>
  <c r="J109" i="6"/>
  <c r="P107" i="6"/>
  <c r="R107" i="6" s="1"/>
  <c r="S107" i="6" s="1"/>
  <c r="P106" i="6"/>
  <c r="R106" i="6" s="1"/>
  <c r="S106" i="6" s="1"/>
  <c r="P105" i="6"/>
  <c r="R105" i="6" s="1"/>
  <c r="S105" i="6" s="1"/>
  <c r="P104" i="6"/>
  <c r="R104" i="6" s="1"/>
  <c r="S104" i="6" s="1"/>
  <c r="P101" i="6"/>
  <c r="J101" i="6"/>
  <c r="P100" i="6"/>
  <c r="P99" i="6"/>
  <c r="J99" i="6"/>
  <c r="P98" i="6"/>
  <c r="J98" i="6"/>
  <c r="P97" i="6"/>
  <c r="J97" i="6"/>
  <c r="J96" i="6"/>
  <c r="P95" i="6"/>
  <c r="J95" i="6"/>
  <c r="P93" i="6"/>
  <c r="J93" i="6"/>
  <c r="P92" i="6"/>
  <c r="R92" i="6" s="1"/>
  <c r="S92" i="6" s="1"/>
  <c r="P91" i="6"/>
  <c r="R91" i="6" s="1"/>
  <c r="S91" i="6" s="1"/>
  <c r="P90" i="6"/>
  <c r="R90" i="6" s="1"/>
  <c r="S90" i="6" s="1"/>
  <c r="P89" i="6"/>
  <c r="R89" i="6" s="1"/>
  <c r="S89" i="6" s="1"/>
  <c r="P88" i="6"/>
  <c r="R88" i="6" s="1"/>
  <c r="S88" i="6" s="1"/>
  <c r="P87" i="6"/>
  <c r="R87" i="6" s="1"/>
  <c r="S87" i="6" s="1"/>
  <c r="P86" i="6"/>
  <c r="R86" i="6" s="1"/>
  <c r="S86" i="6" s="1"/>
  <c r="P85" i="6"/>
  <c r="R85" i="6" s="1"/>
  <c r="S85" i="6" s="1"/>
  <c r="P84" i="6"/>
  <c r="R84" i="6" s="1"/>
  <c r="S84" i="6" s="1"/>
  <c r="P83" i="6"/>
  <c r="R83" i="6" s="1"/>
  <c r="S83" i="6" s="1"/>
  <c r="P82" i="6"/>
  <c r="R82" i="6" s="1"/>
  <c r="S82" i="6" s="1"/>
  <c r="P81" i="6"/>
  <c r="R81" i="6" s="1"/>
  <c r="S81" i="6" s="1"/>
  <c r="P80" i="6"/>
  <c r="R80" i="6" s="1"/>
  <c r="S80" i="6" s="1"/>
  <c r="P76" i="6"/>
  <c r="R76" i="6" s="1"/>
  <c r="S76" i="6" s="1"/>
  <c r="P75" i="6"/>
  <c r="R75" i="6" s="1"/>
  <c r="S75" i="6" s="1"/>
  <c r="S74" i="6"/>
  <c r="P72" i="6"/>
  <c r="R72" i="6" s="1"/>
  <c r="S72" i="6" s="1"/>
  <c r="P71" i="6"/>
  <c r="R71" i="6" s="1"/>
  <c r="S71" i="6" s="1"/>
  <c r="P70" i="6"/>
  <c r="R70" i="6" s="1"/>
  <c r="S70" i="6" s="1"/>
  <c r="P69" i="6"/>
  <c r="R69" i="6" s="1"/>
  <c r="S69" i="6" s="1"/>
  <c r="P68" i="6"/>
  <c r="R68" i="6" s="1"/>
  <c r="S68" i="6" s="1"/>
  <c r="P67" i="6"/>
  <c r="R67" i="6" s="1"/>
  <c r="S67" i="6" s="1"/>
  <c r="P66" i="6"/>
  <c r="R66" i="6" s="1"/>
  <c r="S66" i="6" s="1"/>
  <c r="P64" i="6"/>
  <c r="R64" i="6" s="1"/>
  <c r="S64" i="6" s="1"/>
  <c r="P63" i="6"/>
  <c r="R63" i="6" s="1"/>
  <c r="S63" i="6" s="1"/>
  <c r="P62" i="6"/>
  <c r="R62" i="6" s="1"/>
  <c r="S62" i="6" s="1"/>
  <c r="P61" i="6"/>
  <c r="R61" i="6" s="1"/>
  <c r="S61" i="6" s="1"/>
  <c r="P60" i="6"/>
  <c r="R60" i="6" s="1"/>
  <c r="S60" i="6" s="1"/>
  <c r="P59" i="6"/>
  <c r="R59" i="6" s="1"/>
  <c r="S59" i="6" s="1"/>
  <c r="P58" i="6"/>
  <c r="R58" i="6" s="1"/>
  <c r="S58" i="6" s="1"/>
  <c r="P57" i="6"/>
  <c r="R57" i="6" s="1"/>
  <c r="S57" i="6" s="1"/>
  <c r="P56" i="6"/>
  <c r="R56" i="6" s="1"/>
  <c r="S56" i="6" s="1"/>
  <c r="P55" i="6"/>
  <c r="R55" i="6" s="1"/>
  <c r="S55" i="6" s="1"/>
  <c r="P54" i="6"/>
  <c r="R54" i="6" s="1"/>
  <c r="S54" i="6" s="1"/>
  <c r="P53" i="6"/>
  <c r="R53" i="6" s="1"/>
  <c r="S53" i="6" s="1"/>
  <c r="P52" i="6"/>
  <c r="R52" i="6" s="1"/>
  <c r="S52" i="6" s="1"/>
  <c r="P51" i="6"/>
  <c r="R51" i="6" s="1"/>
  <c r="S51" i="6" s="1"/>
  <c r="P50" i="6"/>
  <c r="R50" i="6" s="1"/>
  <c r="S50" i="6" s="1"/>
  <c r="P49" i="6"/>
  <c r="R49" i="6" s="1"/>
  <c r="S49" i="6" s="1"/>
  <c r="P48" i="6"/>
  <c r="R48" i="6" s="1"/>
  <c r="S48" i="6" s="1"/>
  <c r="P47" i="6"/>
  <c r="R47" i="6" s="1"/>
  <c r="S47" i="6" s="1"/>
  <c r="P46" i="6"/>
  <c r="R46" i="6" s="1"/>
  <c r="S46" i="6" s="1"/>
  <c r="P43" i="6"/>
  <c r="R43" i="6" s="1"/>
  <c r="S43" i="6" s="1"/>
  <c r="P42" i="6"/>
  <c r="R42" i="6" s="1"/>
  <c r="S42" i="6" s="1"/>
  <c r="P39" i="6"/>
  <c r="J39" i="6"/>
  <c r="P38" i="6"/>
  <c r="J38" i="6"/>
  <c r="P37" i="6"/>
  <c r="J37" i="6"/>
  <c r="P36" i="6"/>
  <c r="J36" i="6"/>
  <c r="P35" i="6"/>
  <c r="J35" i="6"/>
  <c r="J34" i="6"/>
  <c r="P32" i="6"/>
  <c r="R32" i="6" s="1"/>
  <c r="S32" i="6" s="1"/>
  <c r="P28" i="6"/>
  <c r="J28" i="6"/>
  <c r="P26" i="6"/>
  <c r="R26" i="6" s="1"/>
  <c r="S26" i="6" s="1"/>
  <c r="P25" i="6"/>
  <c r="R25" i="6" s="1"/>
  <c r="S25" i="6" s="1"/>
  <c r="P24" i="6"/>
  <c r="R24" i="6" s="1"/>
  <c r="S24" i="6" s="1"/>
  <c r="P23" i="6"/>
  <c r="R23" i="6" s="1"/>
  <c r="S23" i="6" s="1"/>
  <c r="P22" i="6"/>
  <c r="R22" i="6" s="1"/>
  <c r="S22" i="6" s="1"/>
  <c r="P21" i="6"/>
  <c r="R21" i="6" s="1"/>
  <c r="S21" i="6" s="1"/>
  <c r="P18" i="6"/>
  <c r="R18" i="6" s="1"/>
  <c r="S18" i="6" s="1"/>
  <c r="P17" i="6"/>
  <c r="R17" i="6" s="1"/>
  <c r="S17" i="6" s="1"/>
  <c r="P16" i="6"/>
  <c r="R16" i="6" s="1"/>
  <c r="S16" i="6" s="1"/>
  <c r="P15" i="6"/>
  <c r="J15" i="6"/>
  <c r="P14" i="6"/>
  <c r="R14" i="6" s="1"/>
  <c r="S14" i="6" s="1"/>
  <c r="P13" i="6"/>
  <c r="J13" i="6"/>
  <c r="P12" i="6"/>
  <c r="R12" i="6" s="1"/>
  <c r="S12" i="6" s="1"/>
  <c r="P10" i="6"/>
  <c r="R10" i="6" s="1"/>
  <c r="S10" i="6" s="1"/>
  <c r="P9" i="6"/>
  <c r="R9" i="6" s="1"/>
  <c r="S9" i="6" s="1"/>
  <c r="P7" i="6"/>
  <c r="R7" i="6" s="1"/>
  <c r="S7" i="6" s="1"/>
  <c r="P6" i="6"/>
  <c r="R6" i="6" s="1"/>
  <c r="C732" i="5"/>
  <c r="C583" i="5"/>
  <c r="C564" i="5"/>
  <c r="C455" i="5"/>
  <c r="C385" i="5"/>
  <c r="C301" i="5"/>
  <c r="C182" i="5"/>
  <c r="C108" i="5"/>
  <c r="C83" i="5"/>
  <c r="R369" i="6" l="1"/>
  <c r="S369" i="6" s="1"/>
  <c r="R820" i="6"/>
  <c r="S820" i="6" s="1"/>
  <c r="R822" i="6"/>
  <c r="S822" i="6" s="1"/>
  <c r="R824" i="6"/>
  <c r="S824" i="6" s="1"/>
  <c r="R847" i="6"/>
  <c r="S847" i="6" s="1"/>
  <c r="R849" i="6"/>
  <c r="S849" i="6" s="1"/>
  <c r="R877" i="6"/>
  <c r="S877" i="6" s="1"/>
  <c r="R900" i="6"/>
  <c r="S900" i="6" s="1"/>
  <c r="R904" i="6"/>
  <c r="S904" i="6" s="1"/>
  <c r="R921" i="6"/>
  <c r="S921" i="6" s="1"/>
  <c r="R35" i="6"/>
  <c r="S35" i="6" s="1"/>
  <c r="R873" i="6"/>
  <c r="S873" i="6" s="1"/>
  <c r="R128" i="6"/>
  <c r="S128" i="6" s="1"/>
  <c r="R141" i="6"/>
  <c r="S141" i="6" s="1"/>
  <c r="R145" i="6"/>
  <c r="S145" i="6" s="1"/>
  <c r="R147" i="6"/>
  <c r="S147" i="6" s="1"/>
  <c r="R270" i="6"/>
  <c r="S270" i="6" s="1"/>
  <c r="R373" i="6"/>
  <c r="S373" i="6" s="1"/>
  <c r="R375" i="6"/>
  <c r="S375" i="6" s="1"/>
  <c r="R520" i="6"/>
  <c r="S520" i="6" s="1"/>
  <c r="R815" i="6"/>
  <c r="S815" i="6" s="1"/>
  <c r="R658" i="6"/>
  <c r="S658" i="6" s="1"/>
  <c r="R788" i="6"/>
  <c r="S788" i="6" s="1"/>
  <c r="R795" i="6"/>
  <c r="S795" i="6" s="1"/>
  <c r="R812" i="6"/>
  <c r="S812" i="6" s="1"/>
  <c r="R189" i="6"/>
  <c r="S189" i="6" s="1"/>
  <c r="R191" i="6"/>
  <c r="S191" i="6" s="1"/>
  <c r="R193" i="6"/>
  <c r="S193" i="6" s="1"/>
  <c r="R389" i="6"/>
  <c r="S389" i="6" s="1"/>
  <c r="R392" i="6"/>
  <c r="S392" i="6" s="1"/>
  <c r="R412" i="6"/>
  <c r="S412" i="6" s="1"/>
  <c r="R414" i="6"/>
  <c r="S414" i="6" s="1"/>
  <c r="R656" i="6"/>
  <c r="S656" i="6" s="1"/>
  <c r="R694" i="6"/>
  <c r="S694" i="6" s="1"/>
  <c r="R696" i="6"/>
  <c r="S696" i="6" s="1"/>
  <c r="R698" i="6"/>
  <c r="S698" i="6" s="1"/>
  <c r="R700" i="6"/>
  <c r="S700" i="6" s="1"/>
  <c r="R702" i="6"/>
  <c r="S702" i="6" s="1"/>
  <c r="R746" i="6"/>
  <c r="S746" i="6" s="1"/>
  <c r="R748" i="6"/>
  <c r="S748" i="6" s="1"/>
  <c r="R760" i="6"/>
  <c r="S760" i="6" s="1"/>
  <c r="R811" i="6"/>
  <c r="S811" i="6" s="1"/>
  <c r="R377" i="6"/>
  <c r="S377" i="6" s="1"/>
  <c r="R388" i="6"/>
  <c r="S388" i="6" s="1"/>
  <c r="R433" i="6"/>
  <c r="S433" i="6" s="1"/>
  <c r="R624" i="6"/>
  <c r="S624" i="6" s="1"/>
  <c r="R627" i="6"/>
  <c r="S627" i="6" s="1"/>
  <c r="R814" i="6"/>
  <c r="S814" i="6" s="1"/>
  <c r="R98" i="6"/>
  <c r="S98" i="6" s="1"/>
  <c r="R100" i="6"/>
  <c r="S100" i="6" s="1"/>
  <c r="R111" i="6"/>
  <c r="S111" i="6" s="1"/>
  <c r="R223" i="6"/>
  <c r="S223" i="6" s="1"/>
  <c r="R235" i="6"/>
  <c r="S235" i="6" s="1"/>
  <c r="R362" i="6"/>
  <c r="S362" i="6" s="1"/>
  <c r="R379" i="6"/>
  <c r="S379" i="6" s="1"/>
  <c r="R476" i="6"/>
  <c r="S476" i="6" s="1"/>
  <c r="R513" i="6"/>
  <c r="S513" i="6" s="1"/>
  <c r="R630" i="6"/>
  <c r="S630" i="6" s="1"/>
  <c r="R126" i="6"/>
  <c r="S126" i="6" s="1"/>
  <c r="R110" i="6"/>
  <c r="S110" i="6" s="1"/>
  <c r="R112" i="6"/>
  <c r="S112" i="6" s="1"/>
  <c r="R224" i="6"/>
  <c r="S224" i="6" s="1"/>
  <c r="R291" i="6"/>
  <c r="S291" i="6" s="1"/>
  <c r="R587" i="6"/>
  <c r="S587" i="6" s="1"/>
  <c r="R618" i="6"/>
  <c r="S618" i="6" s="1"/>
  <c r="R157" i="6"/>
  <c r="S157" i="6" s="1"/>
  <c r="R101" i="6"/>
  <c r="S101" i="6" s="1"/>
  <c r="R125" i="6"/>
  <c r="S125" i="6" s="1"/>
  <c r="R138" i="6"/>
  <c r="S138" i="6" s="1"/>
  <c r="R148" i="6"/>
  <c r="S148" i="6" s="1"/>
  <c r="R163" i="6"/>
  <c r="S163" i="6" s="1"/>
  <c r="R169" i="6"/>
  <c r="S169" i="6" s="1"/>
  <c r="R184" i="6"/>
  <c r="S184" i="6" s="1"/>
  <c r="R271" i="6"/>
  <c r="S271" i="6" s="1"/>
  <c r="R314" i="6"/>
  <c r="S314" i="6" s="1"/>
  <c r="R508" i="6"/>
  <c r="S508" i="6" s="1"/>
  <c r="R522" i="6"/>
  <c r="S522" i="6" s="1"/>
  <c r="R617" i="6"/>
  <c r="S617" i="6" s="1"/>
  <c r="R673" i="6"/>
  <c r="S673" i="6" s="1"/>
  <c r="R897" i="6"/>
  <c r="S897" i="6" s="1"/>
  <c r="R926" i="6"/>
  <c r="S926" i="6" s="1"/>
  <c r="R97" i="6"/>
  <c r="S97" i="6" s="1"/>
  <c r="R136" i="6"/>
  <c r="S136" i="6" s="1"/>
  <c r="R146" i="6"/>
  <c r="S146" i="6" s="1"/>
  <c r="R165" i="6"/>
  <c r="S165" i="6" s="1"/>
  <c r="R253" i="6"/>
  <c r="S253" i="6" s="1"/>
  <c r="R292" i="6"/>
  <c r="S292" i="6" s="1"/>
  <c r="R380" i="6"/>
  <c r="S380" i="6" s="1"/>
  <c r="R443" i="6"/>
  <c r="S443" i="6" s="1"/>
  <c r="R506" i="6"/>
  <c r="S506" i="6" s="1"/>
  <c r="R594" i="6"/>
  <c r="S594" i="6" s="1"/>
  <c r="R643" i="6"/>
  <c r="S643" i="6" s="1"/>
  <c r="R895" i="6"/>
  <c r="S895" i="6" s="1"/>
  <c r="R928" i="6"/>
  <c r="S928" i="6" s="1"/>
  <c r="R13" i="6"/>
  <c r="S13" i="6" s="1"/>
  <c r="R36" i="6"/>
  <c r="S36" i="6" s="1"/>
  <c r="R95" i="6"/>
  <c r="S95" i="6" s="1"/>
  <c r="R137" i="6"/>
  <c r="S137" i="6" s="1"/>
  <c r="R190" i="6"/>
  <c r="S190" i="6" s="1"/>
  <c r="R192" i="6"/>
  <c r="S192" i="6" s="1"/>
  <c r="R194" i="6"/>
  <c r="S194" i="6" s="1"/>
  <c r="R205" i="6"/>
  <c r="S205" i="6" s="1"/>
  <c r="R278" i="6"/>
  <c r="S278" i="6" s="1"/>
  <c r="R299" i="6"/>
  <c r="S299" i="6" s="1"/>
  <c r="R374" i="6"/>
  <c r="S374" i="6" s="1"/>
  <c r="R376" i="6"/>
  <c r="S376" i="6" s="1"/>
  <c r="R384" i="6"/>
  <c r="S384" i="6" s="1"/>
  <c r="R390" i="6"/>
  <c r="S390" i="6" s="1"/>
  <c r="R393" i="6"/>
  <c r="S393" i="6" s="1"/>
  <c r="R410" i="6"/>
  <c r="S410" i="6" s="1"/>
  <c r="R413" i="6"/>
  <c r="S413" i="6" s="1"/>
  <c r="R514" i="6"/>
  <c r="S514" i="6" s="1"/>
  <c r="R626" i="6"/>
  <c r="S626" i="6" s="1"/>
  <c r="R628" i="6"/>
  <c r="S628" i="6" s="1"/>
  <c r="R655" i="6"/>
  <c r="S655" i="6" s="1"/>
  <c r="R659" i="6"/>
  <c r="S659" i="6" s="1"/>
  <c r="R693" i="6"/>
  <c r="S693" i="6" s="1"/>
  <c r="R695" i="6"/>
  <c r="S695" i="6" s="1"/>
  <c r="R697" i="6"/>
  <c r="S697" i="6" s="1"/>
  <c r="R701" i="6"/>
  <c r="S701" i="6" s="1"/>
  <c r="R703" i="6"/>
  <c r="S703" i="6" s="1"/>
  <c r="R730" i="6"/>
  <c r="S730" i="6" s="1"/>
  <c r="R747" i="6"/>
  <c r="S747" i="6" s="1"/>
  <c r="R750" i="6"/>
  <c r="S750" i="6" s="1"/>
  <c r="R759" i="6"/>
  <c r="S759" i="6" s="1"/>
  <c r="R787" i="6"/>
  <c r="S787" i="6" s="1"/>
  <c r="R813" i="6"/>
  <c r="S813" i="6" s="1"/>
  <c r="R821" i="6"/>
  <c r="S821" i="6" s="1"/>
  <c r="R823" i="6"/>
  <c r="S823" i="6" s="1"/>
  <c r="R848" i="6"/>
  <c r="S848" i="6" s="1"/>
  <c r="R872" i="6"/>
  <c r="S872" i="6" s="1"/>
  <c r="R903" i="6"/>
  <c r="S903" i="6" s="1"/>
  <c r="R922" i="6"/>
  <c r="S922" i="6" s="1"/>
  <c r="R924" i="6"/>
  <c r="S924" i="6" s="1"/>
  <c r="R133" i="6"/>
  <c r="S133" i="6" s="1"/>
  <c r="R144" i="6"/>
  <c r="S144" i="6" s="1"/>
  <c r="R161" i="6"/>
  <c r="S161" i="6" s="1"/>
  <c r="R167" i="6"/>
  <c r="S167" i="6" s="1"/>
  <c r="R255" i="6"/>
  <c r="S255" i="6" s="1"/>
  <c r="R355" i="6"/>
  <c r="S355" i="6" s="1"/>
  <c r="R363" i="6"/>
  <c r="S363" i="6" s="1"/>
  <c r="R441" i="6"/>
  <c r="S441" i="6" s="1"/>
  <c r="R454" i="6"/>
  <c r="S454" i="6" s="1"/>
  <c r="R510" i="6"/>
  <c r="S510" i="6" s="1"/>
  <c r="R524" i="6"/>
  <c r="S524" i="6" s="1"/>
  <c r="R783" i="6"/>
  <c r="S783" i="6" s="1"/>
  <c r="R817" i="6"/>
  <c r="S817" i="6" s="1"/>
  <c r="R828" i="6"/>
  <c r="S828" i="6" s="1"/>
  <c r="R894" i="6"/>
  <c r="S894" i="6" s="1"/>
  <c r="R149" i="6"/>
  <c r="S149" i="6" s="1"/>
  <c r="R160" i="6"/>
  <c r="S160" i="6" s="1"/>
  <c r="R162" i="6"/>
  <c r="S162" i="6" s="1"/>
  <c r="R164" i="6"/>
  <c r="S164" i="6" s="1"/>
  <c r="R166" i="6"/>
  <c r="S166" i="6" s="1"/>
  <c r="R168" i="6"/>
  <c r="S168" i="6" s="1"/>
  <c r="R185" i="6"/>
  <c r="S185" i="6" s="1"/>
  <c r="R203" i="6"/>
  <c r="S203" i="6" s="1"/>
  <c r="R220" i="6"/>
  <c r="S220" i="6" s="1"/>
  <c r="R225" i="6"/>
  <c r="S225" i="6" s="1"/>
  <c r="R243" i="6"/>
  <c r="S243" i="6" s="1"/>
  <c r="R254" i="6"/>
  <c r="S254" i="6" s="1"/>
  <c r="R272" i="6"/>
  <c r="S272" i="6" s="1"/>
  <c r="R317" i="6"/>
  <c r="S317" i="6" s="1"/>
  <c r="R356" i="6"/>
  <c r="S356" i="6" s="1"/>
  <c r="R364" i="6"/>
  <c r="S364" i="6" s="1"/>
  <c r="R381" i="6"/>
  <c r="S381" i="6" s="1"/>
  <c r="R442" i="6"/>
  <c r="S442" i="6" s="1"/>
  <c r="R455" i="6"/>
  <c r="S455" i="6" s="1"/>
  <c r="R477" i="6"/>
  <c r="S477" i="6" s="1"/>
  <c r="R505" i="6"/>
  <c r="S505" i="6" s="1"/>
  <c r="R509" i="6"/>
  <c r="S509" i="6" s="1"/>
  <c r="R523" i="6"/>
  <c r="S523" i="6" s="1"/>
  <c r="R588" i="6"/>
  <c r="S588" i="6" s="1"/>
  <c r="R593" i="6"/>
  <c r="S593" i="6" s="1"/>
  <c r="R616" i="6"/>
  <c r="S616" i="6" s="1"/>
  <c r="R625" i="6"/>
  <c r="S625" i="6" s="1"/>
  <c r="R629" i="6"/>
  <c r="S629" i="6" s="1"/>
  <c r="R711" i="6"/>
  <c r="S711" i="6" s="1"/>
  <c r="R778" i="6"/>
  <c r="S778" i="6" s="1"/>
  <c r="R782" i="6"/>
  <c r="S782" i="6" s="1"/>
  <c r="R784" i="6"/>
  <c r="S784" i="6" s="1"/>
  <c r="R801" i="6"/>
  <c r="S801" i="6" s="1"/>
  <c r="R818" i="6"/>
  <c r="S818" i="6" s="1"/>
  <c r="R826" i="6"/>
  <c r="S826" i="6" s="1"/>
  <c r="R829" i="6"/>
  <c r="S829" i="6" s="1"/>
  <c r="R888" i="6"/>
  <c r="S888" i="6" s="1"/>
  <c r="R896" i="6"/>
  <c r="S896" i="6" s="1"/>
  <c r="R927" i="6"/>
  <c r="S927" i="6" s="1"/>
  <c r="R156" i="6"/>
  <c r="S156" i="6" s="1"/>
  <c r="R158" i="6"/>
  <c r="S158" i="6" s="1"/>
  <c r="R620" i="6"/>
  <c r="S620" i="6" s="1"/>
  <c r="R15" i="6"/>
  <c r="S15" i="6" s="1"/>
  <c r="R140" i="6"/>
  <c r="S140" i="6" s="1"/>
  <c r="R295" i="6"/>
  <c r="S295" i="6" s="1"/>
  <c r="R573" i="6"/>
  <c r="S573" i="6" s="1"/>
  <c r="R318" i="6"/>
  <c r="S318" i="6" s="1"/>
  <c r="R582" i="6"/>
  <c r="S582" i="6" s="1"/>
  <c r="R619" i="6"/>
  <c r="S619" i="6" s="1"/>
  <c r="R621" i="6"/>
  <c r="S621" i="6" s="1"/>
  <c r="R631" i="6"/>
  <c r="S631" i="6" s="1"/>
  <c r="R742" i="6"/>
  <c r="S742" i="6" s="1"/>
  <c r="R39" i="6"/>
  <c r="S39" i="6" s="1"/>
  <c r="R298" i="6"/>
  <c r="S298" i="6" s="1"/>
  <c r="R517" i="6"/>
  <c r="S517" i="6" s="1"/>
  <c r="R578" i="6"/>
  <c r="S578" i="6" s="1"/>
  <c r="R159" i="6"/>
  <c r="S159" i="6" s="1"/>
  <c r="R294" i="6"/>
  <c r="S294" i="6" s="1"/>
  <c r="R408" i="6"/>
  <c r="S408" i="6" s="1"/>
  <c r="R623" i="6"/>
  <c r="S623" i="6" s="1"/>
  <c r="R699" i="6"/>
  <c r="S699" i="6" s="1"/>
  <c r="R744" i="6"/>
  <c r="S744" i="6" s="1"/>
  <c r="R774" i="6"/>
  <c r="S774" i="6" s="1"/>
  <c r="R876" i="6"/>
  <c r="S876" i="6" s="1"/>
  <c r="R579" i="6"/>
  <c r="S579" i="6" s="1"/>
  <c r="R518" i="6"/>
  <c r="S518" i="6" s="1"/>
  <c r="R572" i="6"/>
  <c r="S572" i="6" s="1"/>
  <c r="R743" i="6"/>
  <c r="S743" i="6" s="1"/>
  <c r="R745" i="6"/>
  <c r="S745" i="6" s="1"/>
  <c r="R752" i="6"/>
  <c r="S752" i="6" s="1"/>
  <c r="R775" i="6"/>
  <c r="S775" i="6" s="1"/>
  <c r="R267" i="6"/>
  <c r="S267" i="6" s="1"/>
  <c r="P34" i="6"/>
  <c r="R34" i="6" s="1"/>
  <c r="S34" i="6" s="1"/>
  <c r="P96" i="6"/>
  <c r="R96" i="6" s="1"/>
  <c r="S96" i="6" s="1"/>
  <c r="R132" i="6"/>
  <c r="S132" i="6" s="1"/>
  <c r="P200" i="6"/>
  <c r="R200" i="6" s="1"/>
  <c r="S200" i="6" s="1"/>
  <c r="R242" i="6"/>
  <c r="S242" i="6" s="1"/>
  <c r="R244" i="6"/>
  <c r="S244" i="6" s="1"/>
  <c r="R431" i="6"/>
  <c r="S431" i="6" s="1"/>
  <c r="R38" i="6"/>
  <c r="S38" i="6" s="1"/>
  <c r="R151" i="6"/>
  <c r="S151" i="6" s="1"/>
  <c r="R154" i="6"/>
  <c r="S154" i="6" s="1"/>
  <c r="R322" i="6"/>
  <c r="S322" i="6" s="1"/>
  <c r="R387" i="6"/>
  <c r="S387" i="6" s="1"/>
  <c r="R134" i="6"/>
  <c r="S134" i="6" s="1"/>
  <c r="R139" i="6"/>
  <c r="S139" i="6" s="1"/>
  <c r="S6" i="6"/>
  <c r="R28" i="6"/>
  <c r="S28" i="6" s="1"/>
  <c r="R37" i="6"/>
  <c r="S37" i="6" s="1"/>
  <c r="R93" i="6"/>
  <c r="S93" i="6" s="1"/>
  <c r="R99" i="6"/>
  <c r="S99" i="6" s="1"/>
  <c r="R109" i="6"/>
  <c r="S109" i="6" s="1"/>
  <c r="R150" i="6"/>
  <c r="S150" i="6" s="1"/>
  <c r="R152" i="6"/>
  <c r="S152" i="6" s="1"/>
  <c r="R155" i="6"/>
  <c r="S155" i="6" s="1"/>
  <c r="P177" i="6"/>
  <c r="R177" i="6" s="1"/>
  <c r="S177" i="6" s="1"/>
  <c r="R234" i="6"/>
  <c r="S234" i="6" s="1"/>
  <c r="R268" i="6"/>
  <c r="S268" i="6" s="1"/>
  <c r="R313" i="6"/>
  <c r="S313" i="6" s="1"/>
  <c r="R528" i="6"/>
  <c r="S528" i="6" s="1"/>
  <c r="R533" i="6"/>
  <c r="S533" i="6" s="1"/>
  <c r="R597" i="6"/>
  <c r="S597" i="6" s="1"/>
  <c r="R386" i="6"/>
  <c r="S386" i="6" s="1"/>
  <c r="P427" i="6"/>
  <c r="R427" i="6" s="1"/>
  <c r="S427" i="6" s="1"/>
  <c r="P511" i="6"/>
  <c r="R511" i="6" s="1"/>
  <c r="S511" i="6" s="1"/>
  <c r="R526" i="6"/>
  <c r="S526" i="6" s="1"/>
  <c r="P293" i="6"/>
  <c r="R293" i="6" s="1"/>
  <c r="S293" i="6" s="1"/>
  <c r="R385" i="6"/>
  <c r="S385" i="6" s="1"/>
  <c r="R394" i="6"/>
  <c r="S394" i="6" s="1"/>
  <c r="R515" i="6"/>
  <c r="S515" i="6" s="1"/>
  <c r="R525" i="6"/>
  <c r="S525" i="6" s="1"/>
  <c r="P686" i="6"/>
  <c r="R686" i="6" s="1"/>
  <c r="S686" i="6" s="1"/>
  <c r="P709" i="6"/>
  <c r="R709" i="6" s="1"/>
  <c r="S709" i="6" s="1"/>
  <c r="R751" i="6"/>
  <c r="S751" i="6" s="1"/>
  <c r="P851" i="6"/>
  <c r="R851" i="6" s="1"/>
  <c r="S851" i="6" s="1"/>
  <c r="P868" i="6"/>
  <c r="R868" i="6" s="1"/>
  <c r="S868" i="6" s="1"/>
  <c r="R779" i="6"/>
  <c r="S779" i="6" s="1"/>
  <c r="R831" i="6"/>
  <c r="S831" i="6" s="1"/>
  <c r="R901" i="6"/>
  <c r="S901" i="6" s="1"/>
  <c r="R902" i="6"/>
  <c r="S902" i="6" s="1"/>
  <c r="R923" i="6"/>
  <c r="S923" i="6" s="1"/>
  <c r="R816" i="6"/>
  <c r="S816" i="6" s="1"/>
  <c r="R889" i="6"/>
  <c r="S889" i="6" s="1"/>
  <c r="R929" i="6"/>
  <c r="S929" i="6" s="1"/>
  <c r="N431" i="5"/>
  <c r="R939" i="6" l="1"/>
  <c r="R942" i="6" s="1"/>
  <c r="S939" i="6"/>
  <c r="S942" i="6" s="1"/>
  <c r="N257" i="5"/>
  <c r="N793" i="5"/>
  <c r="N318" i="5"/>
  <c r="N101" i="5"/>
  <c r="N127" i="5"/>
  <c r="N448" i="5"/>
  <c r="N386" i="5"/>
  <c r="N203" i="5"/>
  <c r="N102" i="5"/>
  <c r="N545" i="5"/>
  <c r="N656" i="5"/>
  <c r="N641" i="5"/>
  <c r="N600" i="5"/>
  <c r="N92" i="5"/>
  <c r="N441" i="5"/>
  <c r="N268" i="5"/>
  <c r="N385" i="5"/>
  <c r="N317" i="5"/>
  <c r="N249" i="5"/>
  <c r="N108" i="5"/>
  <c r="N88" i="5"/>
  <c r="N453" i="5"/>
  <c r="N557" i="5"/>
  <c r="N162" i="5"/>
  <c r="N125" i="5"/>
  <c r="N711" i="5"/>
  <c r="N597" i="5"/>
  <c r="N349" i="5"/>
  <c r="N348" i="5"/>
  <c r="N727" i="5"/>
  <c r="N430" i="5"/>
  <c r="N137" i="5"/>
  <c r="N455" i="5"/>
  <c r="N29" i="5"/>
  <c r="N31" i="5"/>
  <c r="N421" i="5"/>
  <c r="N419" i="5"/>
  <c r="N91" i="5"/>
  <c r="N357" i="5" l="1"/>
  <c r="N356" i="5"/>
  <c r="N344" i="5"/>
  <c r="N347" i="5"/>
  <c r="N337" i="5"/>
  <c r="N650" i="5"/>
  <c r="N536" i="5"/>
  <c r="N271" i="5"/>
  <c r="N579" i="5"/>
  <c r="N258" i="5"/>
  <c r="N703" i="5"/>
  <c r="N256" i="5"/>
  <c r="N452" i="5"/>
  <c r="N595" i="5"/>
  <c r="N129" i="5"/>
  <c r="N444" i="5"/>
  <c r="N210" i="5"/>
  <c r="N165" i="5"/>
  <c r="N164" i="5"/>
  <c r="N163" i="5"/>
  <c r="N126" i="5"/>
  <c r="N542" i="5"/>
  <c r="N538" i="5"/>
  <c r="N535" i="5"/>
  <c r="N447" i="5"/>
  <c r="N209" i="5"/>
  <c r="N750" i="5"/>
  <c r="N698" i="5"/>
  <c r="N719" i="5"/>
  <c r="N470" i="5"/>
  <c r="N480" i="5"/>
  <c r="N477" i="5"/>
  <c r="N474" i="5"/>
  <c r="N588" i="5"/>
  <c r="N510" i="5"/>
  <c r="N618" i="5"/>
  <c r="N622" i="5"/>
  <c r="N619" i="5"/>
  <c r="N487" i="5"/>
  <c r="N298" i="5"/>
  <c r="N442" i="5"/>
  <c r="N553" i="5"/>
  <c r="N181" i="5"/>
  <c r="N90" i="5"/>
  <c r="N408" i="5"/>
  <c r="N753" i="5"/>
  <c r="N652" i="5"/>
  <c r="N533" i="5"/>
  <c r="N664" i="5"/>
  <c r="N373" i="5"/>
  <c r="N596" i="5"/>
  <c r="N620" i="5"/>
  <c r="N621" i="5"/>
  <c r="N86" i="5"/>
  <c r="N687" i="5"/>
  <c r="N202" i="5"/>
  <c r="N745" i="5"/>
  <c r="N786" i="5"/>
  <c r="N341" i="5"/>
  <c r="N247" i="5"/>
  <c r="N741" i="5"/>
  <c r="N640" i="5"/>
  <c r="N645" i="5"/>
  <c r="N130" i="5"/>
  <c r="N705" i="5"/>
  <c r="N321" i="5"/>
  <c r="N627" i="5"/>
  <c r="N522" i="5"/>
  <c r="N610" i="5"/>
  <c r="N93" i="5"/>
  <c r="N85" i="5"/>
  <c r="N83" i="5"/>
  <c r="N182" i="5"/>
  <c r="N37" i="5"/>
  <c r="N327" i="5"/>
  <c r="N100" i="5"/>
  <c r="N700" i="5"/>
  <c r="N204" i="5"/>
  <c r="N800" i="5"/>
  <c r="N720" i="5"/>
  <c r="N657" i="5"/>
  <c r="N612" i="5"/>
  <c r="N420" i="5"/>
  <c r="N160" i="5"/>
  <c r="N45" i="5"/>
  <c r="N561" i="5"/>
  <c r="N142" i="5"/>
  <c r="N248" i="5"/>
  <c r="N113" i="5"/>
  <c r="N207" i="5"/>
  <c r="N632" i="5"/>
  <c r="N744" i="5"/>
  <c r="N517" i="5"/>
  <c r="N401" i="5"/>
  <c r="N106" i="5"/>
  <c r="N124" i="5"/>
  <c r="N376" i="5"/>
  <c r="N644" i="5"/>
  <c r="N451" i="5"/>
  <c r="N585" i="5" l="1"/>
  <c r="N529" i="5"/>
  <c r="N801" i="5"/>
  <c r="N198" i="5"/>
  <c r="N785" i="5"/>
  <c r="N208" i="5"/>
  <c r="N200" i="5"/>
  <c r="N87" i="5"/>
  <c r="N361" i="5" l="1"/>
  <c r="N33" i="5"/>
  <c r="N684" i="5"/>
  <c r="N407" i="5"/>
  <c r="N690" i="5"/>
  <c r="N749" i="5"/>
  <c r="N159" i="5"/>
  <c r="N167" i="5" l="1"/>
  <c r="N584" i="5" l="1"/>
  <c r="N548" i="5"/>
  <c r="N547" i="5"/>
  <c r="N307" i="5"/>
  <c r="N316" i="5"/>
  <c r="N674" i="5"/>
  <c r="N709" i="5"/>
  <c r="N704" i="5"/>
  <c r="N586" i="5"/>
  <c r="N537" i="5"/>
  <c r="N30" i="5" l="1"/>
  <c r="N117" i="5"/>
  <c r="N263" i="5" l="1"/>
  <c r="N732" i="5" l="1"/>
  <c r="N81" i="5"/>
  <c r="N601" i="5"/>
  <c r="N583" i="5"/>
  <c r="N523" i="5" l="1"/>
  <c r="N150" i="5"/>
  <c r="N636" i="5"/>
  <c r="N174" i="5"/>
  <c r="N173" i="5"/>
  <c r="N689" i="5"/>
  <c r="N446" i="5"/>
  <c r="N414" i="5" l="1"/>
  <c r="N89" i="5"/>
  <c r="N608" i="5"/>
  <c r="N683" i="5"/>
  <c r="N500" i="5"/>
  <c r="P739" i="5"/>
  <c r="R739" i="5" s="1"/>
  <c r="S739" i="5" s="1"/>
  <c r="E744" i="5"/>
  <c r="E742" i="5"/>
  <c r="E746" i="5"/>
  <c r="E745" i="5"/>
  <c r="N726" i="5" l="1"/>
  <c r="N688" i="5"/>
  <c r="N375" i="5"/>
  <c r="N708" i="5"/>
  <c r="N147" i="5"/>
  <c r="N264" i="5"/>
  <c r="N581" i="5"/>
  <c r="E64" i="5" l="1"/>
  <c r="P57" i="5"/>
  <c r="R57" i="5" s="1"/>
  <c r="S57" i="5" s="1"/>
  <c r="E786" i="5"/>
  <c r="E741" i="5"/>
  <c r="E687" i="5"/>
  <c r="E633" i="5"/>
  <c r="C410" i="5"/>
  <c r="E410" i="5"/>
  <c r="C409" i="5"/>
  <c r="E248" i="5"/>
  <c r="E247" i="5"/>
  <c r="E167" i="5"/>
  <c r="E166" i="5"/>
  <c r="E165" i="5"/>
  <c r="E164" i="5"/>
  <c r="E163" i="5"/>
  <c r="E162" i="5"/>
  <c r="E113" i="5"/>
  <c r="E610" i="5" l="1"/>
  <c r="E579" i="5"/>
  <c r="E344" i="5"/>
  <c r="J332" i="5"/>
  <c r="P332" i="5"/>
  <c r="E341" i="5"/>
  <c r="E340" i="5"/>
  <c r="E310" i="5"/>
  <c r="E207" i="5"/>
  <c r="R332" i="5" l="1"/>
  <c r="S332" i="5" s="1"/>
  <c r="E517" i="5" l="1"/>
  <c r="E593" i="5"/>
  <c r="E592" i="5"/>
  <c r="E522" i="5"/>
  <c r="P403" i="5"/>
  <c r="R403" i="5" s="1"/>
  <c r="S403" i="5" s="1"/>
  <c r="J136" i="5"/>
  <c r="P136" i="5" l="1"/>
  <c r="R136" i="5" l="1"/>
  <c r="S136" i="5" s="1"/>
  <c r="E376" i="5"/>
  <c r="E373" i="5"/>
  <c r="E182" i="5"/>
  <c r="E181" i="5"/>
  <c r="C208" i="5"/>
  <c r="E200" i="5"/>
  <c r="E198" i="5"/>
  <c r="E298" i="5"/>
  <c r="J346" i="5"/>
  <c r="P346" i="5"/>
  <c r="R346" i="5" l="1"/>
  <c r="S346" i="5" s="1"/>
  <c r="E650" i="5"/>
  <c r="E785" i="5"/>
  <c r="E432" i="5"/>
  <c r="P431" i="5"/>
  <c r="R431" i="5" s="1"/>
  <c r="S431" i="5" s="1"/>
  <c r="E160" i="5"/>
  <c r="E588" i="5"/>
  <c r="E510" i="5"/>
  <c r="E452" i="5"/>
  <c r="E327" i="5"/>
  <c r="J34" i="5"/>
  <c r="P34" i="5"/>
  <c r="J32" i="5"/>
  <c r="P32" i="5"/>
  <c r="J33" i="5"/>
  <c r="P33" i="5"/>
  <c r="E102" i="5"/>
  <c r="E542" i="5"/>
  <c r="E337" i="5"/>
  <c r="E203" i="5"/>
  <c r="E210" i="5"/>
  <c r="J121" i="5"/>
  <c r="E125" i="5"/>
  <c r="P125" i="5" s="1"/>
  <c r="J125" i="5"/>
  <c r="E258" i="5"/>
  <c r="E257" i="5"/>
  <c r="C256" i="5"/>
  <c r="R33" i="5" l="1"/>
  <c r="S33" i="5" s="1"/>
  <c r="R34" i="5"/>
  <c r="S34" i="5" s="1"/>
  <c r="R32" i="5"/>
  <c r="S32" i="5" s="1"/>
  <c r="R125" i="5"/>
  <c r="S125" i="5" s="1"/>
  <c r="N194" i="3"/>
  <c r="P613" i="5" l="1"/>
  <c r="R613" i="5" s="1"/>
  <c r="S613" i="5" s="1"/>
  <c r="E45" i="5"/>
  <c r="E585" i="5"/>
  <c r="E307" i="5"/>
  <c r="E684" i="5"/>
  <c r="P684" i="5" s="1"/>
  <c r="R684" i="5" s="1"/>
  <c r="S684" i="5" s="1"/>
  <c r="P633" i="5"/>
  <c r="R633" i="5" s="1"/>
  <c r="S633" i="5" s="1"/>
  <c r="E586" i="5"/>
  <c r="P586" i="5" s="1"/>
  <c r="R586" i="5" s="1"/>
  <c r="S586" i="5" s="1"/>
  <c r="E85" i="5"/>
  <c r="P690" i="5"/>
  <c r="R690" i="5" s="1"/>
  <c r="S690" i="5" s="1"/>
  <c r="P427" i="5"/>
  <c r="R427" i="5" s="1"/>
  <c r="S427" i="5" s="1"/>
  <c r="P585" i="5"/>
  <c r="R585" i="5" s="1"/>
  <c r="S585" i="5" s="1"/>
  <c r="J199" i="5"/>
  <c r="H199" i="5"/>
  <c r="P199" i="5" s="1"/>
  <c r="J796" i="5"/>
  <c r="P796" i="5"/>
  <c r="E698" i="5"/>
  <c r="E709" i="5"/>
  <c r="J542" i="5"/>
  <c r="P542" i="5"/>
  <c r="E538" i="5"/>
  <c r="E536" i="5"/>
  <c r="E88" i="5"/>
  <c r="E87" i="5"/>
  <c r="E317" i="5"/>
  <c r="E126" i="5"/>
  <c r="E124" i="5"/>
  <c r="E453" i="5"/>
  <c r="E348" i="5"/>
  <c r="E349" i="5"/>
  <c r="E347" i="5"/>
  <c r="J797" i="5"/>
  <c r="E793" i="5"/>
  <c r="R199" i="5" l="1"/>
  <c r="S199" i="5" s="1"/>
  <c r="R796" i="5"/>
  <c r="S796" i="5" s="1"/>
  <c r="R542" i="5"/>
  <c r="S542" i="5" s="1"/>
  <c r="E89" i="5"/>
  <c r="E100" i="5"/>
  <c r="E101" i="5"/>
  <c r="E129" i="5"/>
  <c r="E202" i="5"/>
  <c r="J380" i="5"/>
  <c r="P380" i="5"/>
  <c r="E775" i="5"/>
  <c r="E529" i="5"/>
  <c r="E750" i="5"/>
  <c r="E652" i="5"/>
  <c r="E360" i="5"/>
  <c r="J224" i="5"/>
  <c r="P224" i="5"/>
  <c r="E92" i="5"/>
  <c r="E444" i="5"/>
  <c r="E441" i="5"/>
  <c r="E30" i="5"/>
  <c r="E29" i="5"/>
  <c r="R224" i="5" l="1"/>
  <c r="S224" i="5" s="1"/>
  <c r="R380" i="5"/>
  <c r="S380" i="5" s="1"/>
  <c r="J454" i="5"/>
  <c r="P454" i="5"/>
  <c r="E447" i="5"/>
  <c r="J794" i="5"/>
  <c r="P794" i="5"/>
  <c r="J317" i="5"/>
  <c r="P317" i="5"/>
  <c r="J170" i="5"/>
  <c r="E127" i="5"/>
  <c r="E451" i="5"/>
  <c r="J750" i="5"/>
  <c r="P750" i="5"/>
  <c r="J507" i="5"/>
  <c r="E321" i="5"/>
  <c r="J93" i="5"/>
  <c r="J123" i="5"/>
  <c r="P123" i="5"/>
  <c r="J13" i="5"/>
  <c r="P13" i="5"/>
  <c r="J709" i="5"/>
  <c r="P709" i="5"/>
  <c r="E611" i="5"/>
  <c r="R709" i="5" l="1"/>
  <c r="S709" i="5" s="1"/>
  <c r="R794" i="5"/>
  <c r="S794" i="5" s="1"/>
  <c r="R454" i="5"/>
  <c r="S454" i="5" s="1"/>
  <c r="R123" i="5"/>
  <c r="S123" i="5" s="1"/>
  <c r="R317" i="5"/>
  <c r="S317" i="5" s="1"/>
  <c r="R750" i="5"/>
  <c r="S750" i="5" s="1"/>
  <c r="R13" i="5"/>
  <c r="S13" i="5" s="1"/>
  <c r="R809" i="5" l="1"/>
  <c r="P804" i="5"/>
  <c r="R804" i="5" s="1"/>
  <c r="S804" i="5" s="1"/>
  <c r="P801" i="5"/>
  <c r="R801" i="5" s="1"/>
  <c r="S801" i="5" s="1"/>
  <c r="P800" i="5"/>
  <c r="R800" i="5" s="1"/>
  <c r="S800" i="5" s="1"/>
  <c r="P799" i="5"/>
  <c r="J799" i="5"/>
  <c r="P798" i="5"/>
  <c r="J798" i="5"/>
  <c r="P797" i="5"/>
  <c r="P795" i="5"/>
  <c r="R795" i="5" s="1"/>
  <c r="S795" i="5" s="1"/>
  <c r="J793" i="5"/>
  <c r="P793" i="5"/>
  <c r="J792" i="5"/>
  <c r="P792" i="5"/>
  <c r="P791" i="5"/>
  <c r="J791" i="5"/>
  <c r="P790" i="5"/>
  <c r="R790" i="5" s="1"/>
  <c r="S790" i="5" s="1"/>
  <c r="P789" i="5"/>
  <c r="R789" i="5" s="1"/>
  <c r="S789" i="5" s="1"/>
  <c r="P788" i="5"/>
  <c r="R788" i="5" s="1"/>
  <c r="S788" i="5" s="1"/>
  <c r="P787" i="5"/>
  <c r="R787" i="5" s="1"/>
  <c r="S787" i="5" s="1"/>
  <c r="P786" i="5"/>
  <c r="R786" i="5" s="1"/>
  <c r="S786" i="5" s="1"/>
  <c r="P785" i="5"/>
  <c r="R785" i="5" s="1"/>
  <c r="S785" i="5" s="1"/>
  <c r="P784" i="5"/>
  <c r="R784" i="5" s="1"/>
  <c r="S784" i="5" s="1"/>
  <c r="P783" i="5"/>
  <c r="R783" i="5" s="1"/>
  <c r="S783" i="5" s="1"/>
  <c r="P782" i="5"/>
  <c r="R782" i="5" s="1"/>
  <c r="S782" i="5" s="1"/>
  <c r="P781" i="5"/>
  <c r="R781" i="5" s="1"/>
  <c r="S781" i="5" s="1"/>
  <c r="P778" i="5"/>
  <c r="J778" i="5"/>
  <c r="P777" i="5"/>
  <c r="J777" i="5"/>
  <c r="J776" i="5"/>
  <c r="P775" i="5"/>
  <c r="J775" i="5"/>
  <c r="P774" i="5"/>
  <c r="J774" i="5"/>
  <c r="S773" i="5"/>
  <c r="P772" i="5"/>
  <c r="J772" i="5"/>
  <c r="P771" i="5"/>
  <c r="J771" i="5"/>
  <c r="P770" i="5"/>
  <c r="J770" i="5"/>
  <c r="P769" i="5"/>
  <c r="J769" i="5"/>
  <c r="P768" i="5"/>
  <c r="J768" i="5"/>
  <c r="P766" i="5"/>
  <c r="R766" i="5" s="1"/>
  <c r="S766" i="5" s="1"/>
  <c r="P765" i="5"/>
  <c r="R765" i="5" s="1"/>
  <c r="S765" i="5" s="1"/>
  <c r="P764" i="5"/>
  <c r="J764" i="5"/>
  <c r="P763" i="5"/>
  <c r="J763" i="5"/>
  <c r="P762" i="5"/>
  <c r="R762" i="5" s="1"/>
  <c r="S762" i="5" s="1"/>
  <c r="P761" i="5"/>
  <c r="R761" i="5" s="1"/>
  <c r="S761" i="5" s="1"/>
  <c r="P760" i="5"/>
  <c r="R760" i="5" s="1"/>
  <c r="S760" i="5" s="1"/>
  <c r="P759" i="5"/>
  <c r="R759" i="5" s="1"/>
  <c r="S759" i="5" s="1"/>
  <c r="P758" i="5"/>
  <c r="R758" i="5" s="1"/>
  <c r="S758" i="5" s="1"/>
  <c r="P754" i="5"/>
  <c r="J754" i="5"/>
  <c r="P753" i="5"/>
  <c r="J753" i="5"/>
  <c r="P752" i="5"/>
  <c r="R752" i="5" s="1"/>
  <c r="S752" i="5" s="1"/>
  <c r="P751" i="5"/>
  <c r="R751" i="5" s="1"/>
  <c r="S751" i="5" s="1"/>
  <c r="P749" i="5"/>
  <c r="J749" i="5"/>
  <c r="J748" i="5"/>
  <c r="P748" i="5"/>
  <c r="P747" i="5"/>
  <c r="R747" i="5" s="1"/>
  <c r="S747" i="5" s="1"/>
  <c r="P746" i="5"/>
  <c r="R746" i="5" s="1"/>
  <c r="S746" i="5" s="1"/>
  <c r="P745" i="5"/>
  <c r="R745" i="5" s="1"/>
  <c r="S745" i="5" s="1"/>
  <c r="P744" i="5"/>
  <c r="R744" i="5" s="1"/>
  <c r="S744" i="5" s="1"/>
  <c r="P743" i="5"/>
  <c r="R743" i="5" s="1"/>
  <c r="S743" i="5" s="1"/>
  <c r="P742" i="5"/>
  <c r="R742" i="5" s="1"/>
  <c r="S742" i="5" s="1"/>
  <c r="P741" i="5"/>
  <c r="R741" i="5" s="1"/>
  <c r="S741" i="5" s="1"/>
  <c r="P740" i="5"/>
  <c r="R740" i="5" s="1"/>
  <c r="S740" i="5" s="1"/>
  <c r="P738" i="5"/>
  <c r="R738" i="5" s="1"/>
  <c r="S738" i="5" s="1"/>
  <c r="P737" i="5"/>
  <c r="R737" i="5" s="1"/>
  <c r="S737" i="5" s="1"/>
  <c r="P736" i="5"/>
  <c r="R736" i="5" s="1"/>
  <c r="S736" i="5" s="1"/>
  <c r="P733" i="5"/>
  <c r="R733" i="5" s="1"/>
  <c r="S733" i="5" s="1"/>
  <c r="P732" i="5"/>
  <c r="R732" i="5" s="1"/>
  <c r="S732" i="5" s="1"/>
  <c r="P731" i="5"/>
  <c r="J731" i="5"/>
  <c r="P730" i="5"/>
  <c r="J730" i="5"/>
  <c r="P729" i="5"/>
  <c r="J729" i="5"/>
  <c r="P728" i="5"/>
  <c r="R728" i="5" s="1"/>
  <c r="S728" i="5" s="1"/>
  <c r="P727" i="5"/>
  <c r="R727" i="5" s="1"/>
  <c r="S727" i="5" s="1"/>
  <c r="P726" i="5"/>
  <c r="R726" i="5" s="1"/>
  <c r="S726" i="5" s="1"/>
  <c r="P724" i="5"/>
  <c r="R724" i="5" s="1"/>
  <c r="S724" i="5" s="1"/>
  <c r="P723" i="5"/>
  <c r="R723" i="5" s="1"/>
  <c r="S723" i="5" s="1"/>
  <c r="P722" i="5"/>
  <c r="R722" i="5" s="1"/>
  <c r="S722" i="5" s="1"/>
  <c r="P721" i="5"/>
  <c r="R721" i="5" s="1"/>
  <c r="S721" i="5" s="1"/>
  <c r="P720" i="5"/>
  <c r="R720" i="5" s="1"/>
  <c r="S720" i="5" s="1"/>
  <c r="P719" i="5"/>
  <c r="R719" i="5" s="1"/>
  <c r="S719" i="5" s="1"/>
  <c r="P718" i="5"/>
  <c r="J718" i="5"/>
  <c r="P717" i="5"/>
  <c r="J717" i="5"/>
  <c r="P716" i="5"/>
  <c r="J716" i="5"/>
  <c r="P715" i="5"/>
  <c r="J715" i="5"/>
  <c r="P714" i="5"/>
  <c r="R714" i="5" s="1"/>
  <c r="S714" i="5" s="1"/>
  <c r="P713" i="5"/>
  <c r="J713" i="5"/>
  <c r="P712" i="5"/>
  <c r="J712" i="5"/>
  <c r="P711" i="5"/>
  <c r="J711" i="5"/>
  <c r="P710" i="5"/>
  <c r="J710" i="5"/>
  <c r="P708" i="5"/>
  <c r="J708" i="5"/>
  <c r="P707" i="5"/>
  <c r="R707" i="5" s="1"/>
  <c r="S707" i="5" s="1"/>
  <c r="P706" i="5"/>
  <c r="J706" i="5"/>
  <c r="P705" i="5"/>
  <c r="J705" i="5"/>
  <c r="P704" i="5"/>
  <c r="J704" i="5"/>
  <c r="P703" i="5"/>
  <c r="J703" i="5"/>
  <c r="P702" i="5"/>
  <c r="J702" i="5"/>
  <c r="P701" i="5"/>
  <c r="J701" i="5"/>
  <c r="P700" i="5"/>
  <c r="J700" i="5"/>
  <c r="P699" i="5"/>
  <c r="J699" i="5"/>
  <c r="P698" i="5"/>
  <c r="J698" i="5"/>
  <c r="P697" i="5"/>
  <c r="R697" i="5" s="1"/>
  <c r="S697" i="5" s="1"/>
  <c r="P696" i="5"/>
  <c r="R696" i="5" s="1"/>
  <c r="S696" i="5" s="1"/>
  <c r="P694" i="5"/>
  <c r="R694" i="5" s="1"/>
  <c r="S694" i="5" s="1"/>
  <c r="P693" i="5"/>
  <c r="R693" i="5" s="1"/>
  <c r="S693" i="5" s="1"/>
  <c r="P692" i="5"/>
  <c r="R692" i="5" s="1"/>
  <c r="S692" i="5" s="1"/>
  <c r="P691" i="5"/>
  <c r="R691" i="5" s="1"/>
  <c r="S691" i="5" s="1"/>
  <c r="P689" i="5"/>
  <c r="R689" i="5" s="1"/>
  <c r="S689" i="5" s="1"/>
  <c r="P688" i="5"/>
  <c r="R688" i="5" s="1"/>
  <c r="S688" i="5" s="1"/>
  <c r="P687" i="5"/>
  <c r="J687" i="5"/>
  <c r="P686" i="5"/>
  <c r="R686" i="5" s="1"/>
  <c r="S686" i="5" s="1"/>
  <c r="P685" i="5"/>
  <c r="R685" i="5" s="1"/>
  <c r="S685" i="5" s="1"/>
  <c r="P683" i="5"/>
  <c r="R683" i="5" s="1"/>
  <c r="S683" i="5" s="1"/>
  <c r="P681" i="5"/>
  <c r="J681" i="5"/>
  <c r="P680" i="5"/>
  <c r="R680" i="5" s="1"/>
  <c r="S680" i="5" s="1"/>
  <c r="P679" i="5"/>
  <c r="R679" i="5" s="1"/>
  <c r="S679" i="5" s="1"/>
  <c r="P675" i="5"/>
  <c r="J675" i="5"/>
  <c r="P674" i="5"/>
  <c r="J674" i="5"/>
  <c r="P673" i="5"/>
  <c r="R673" i="5" s="1"/>
  <c r="S673" i="5" s="1"/>
  <c r="P672" i="5"/>
  <c r="J672" i="5"/>
  <c r="P671" i="5"/>
  <c r="J671" i="5"/>
  <c r="J670" i="5"/>
  <c r="P670" i="5"/>
  <c r="P668" i="5"/>
  <c r="J668" i="5"/>
  <c r="P667" i="5"/>
  <c r="J667" i="5"/>
  <c r="P666" i="5"/>
  <c r="R666" i="5" s="1"/>
  <c r="S666" i="5" s="1"/>
  <c r="P665" i="5"/>
  <c r="R665" i="5" s="1"/>
  <c r="S665" i="5" s="1"/>
  <c r="P664" i="5"/>
  <c r="J664" i="5"/>
  <c r="P663" i="5"/>
  <c r="J663" i="5"/>
  <c r="P662" i="5"/>
  <c r="R662" i="5" s="1"/>
  <c r="S662" i="5" s="1"/>
  <c r="P661" i="5"/>
  <c r="R661" i="5" s="1"/>
  <c r="S661" i="5" s="1"/>
  <c r="P657" i="5"/>
  <c r="R657" i="5" s="1"/>
  <c r="S657" i="5" s="1"/>
  <c r="P656" i="5"/>
  <c r="R656" i="5" s="1"/>
  <c r="S656" i="5" s="1"/>
  <c r="P655" i="5"/>
  <c r="R655" i="5" s="1"/>
  <c r="S655" i="5" s="1"/>
  <c r="P654" i="5"/>
  <c r="R654" i="5" s="1"/>
  <c r="S654" i="5" s="1"/>
  <c r="P653" i="5"/>
  <c r="J653" i="5"/>
  <c r="P652" i="5"/>
  <c r="J652" i="5"/>
  <c r="P651" i="5"/>
  <c r="R651" i="5" s="1"/>
  <c r="S651" i="5" s="1"/>
  <c r="P650" i="5"/>
  <c r="R650" i="5" s="1"/>
  <c r="S650" i="5" s="1"/>
  <c r="P519" i="5"/>
  <c r="R519" i="5" s="1"/>
  <c r="S519" i="5" s="1"/>
  <c r="P518" i="5"/>
  <c r="R518" i="5" s="1"/>
  <c r="S518" i="5" s="1"/>
  <c r="P517" i="5"/>
  <c r="R517" i="5" s="1"/>
  <c r="S517" i="5" s="1"/>
  <c r="P516" i="5"/>
  <c r="R516" i="5" s="1"/>
  <c r="S516" i="5" s="1"/>
  <c r="P515" i="5"/>
  <c r="R515" i="5" s="1"/>
  <c r="S515" i="5" s="1"/>
  <c r="P513" i="5"/>
  <c r="J513" i="5"/>
  <c r="P511" i="5"/>
  <c r="J511" i="5"/>
  <c r="P510" i="5"/>
  <c r="J510" i="5"/>
  <c r="P646" i="5"/>
  <c r="J646" i="5"/>
  <c r="P645" i="5"/>
  <c r="J645" i="5"/>
  <c r="P644" i="5"/>
  <c r="J644" i="5"/>
  <c r="P643" i="5"/>
  <c r="J643" i="5"/>
  <c r="P642" i="5"/>
  <c r="J642" i="5"/>
  <c r="P641" i="5"/>
  <c r="J641" i="5"/>
  <c r="P640" i="5"/>
  <c r="J640" i="5"/>
  <c r="P639" i="5"/>
  <c r="J639" i="5"/>
  <c r="P638" i="5"/>
  <c r="J638" i="5"/>
  <c r="P637" i="5"/>
  <c r="J637" i="5"/>
  <c r="P636" i="5"/>
  <c r="R636" i="5" s="1"/>
  <c r="S636" i="5" s="1"/>
  <c r="P635" i="5"/>
  <c r="R635" i="5" s="1"/>
  <c r="S635" i="5" s="1"/>
  <c r="P634" i="5"/>
  <c r="R634" i="5" s="1"/>
  <c r="S634" i="5" s="1"/>
  <c r="P632" i="5"/>
  <c r="R632" i="5" s="1"/>
  <c r="S632" i="5" s="1"/>
  <c r="P631" i="5"/>
  <c r="R631" i="5" s="1"/>
  <c r="S631" i="5" s="1"/>
  <c r="P630" i="5"/>
  <c r="R630" i="5" s="1"/>
  <c r="S630" i="5" s="1"/>
  <c r="P627" i="5"/>
  <c r="J627" i="5"/>
  <c r="P626" i="5"/>
  <c r="R626" i="5" s="1"/>
  <c r="S626" i="5" s="1"/>
  <c r="P622" i="5"/>
  <c r="R622" i="5" s="1"/>
  <c r="S622" i="5" s="1"/>
  <c r="P621" i="5"/>
  <c r="R621" i="5" s="1"/>
  <c r="S621" i="5" s="1"/>
  <c r="P620" i="5"/>
  <c r="R620" i="5" s="1"/>
  <c r="S620" i="5" s="1"/>
  <c r="P619" i="5"/>
  <c r="R619" i="5" s="1"/>
  <c r="S619" i="5" s="1"/>
  <c r="P618" i="5"/>
  <c r="R618" i="5" s="1"/>
  <c r="S618" i="5" s="1"/>
  <c r="P617" i="5"/>
  <c r="R617" i="5" s="1"/>
  <c r="S617" i="5" s="1"/>
  <c r="P616" i="5"/>
  <c r="R616" i="5" s="1"/>
  <c r="S616" i="5" s="1"/>
  <c r="P615" i="5"/>
  <c r="R615" i="5" s="1"/>
  <c r="S615" i="5" s="1"/>
  <c r="P614" i="5"/>
  <c r="R614" i="5" s="1"/>
  <c r="S614" i="5" s="1"/>
  <c r="P612" i="5"/>
  <c r="R612" i="5" s="1"/>
  <c r="S612" i="5" s="1"/>
  <c r="P611" i="5"/>
  <c r="J611" i="5"/>
  <c r="P610" i="5"/>
  <c r="R610" i="5" s="1"/>
  <c r="S610" i="5" s="1"/>
  <c r="P609" i="5"/>
  <c r="R609" i="5" s="1"/>
  <c r="S609" i="5" s="1"/>
  <c r="P608" i="5"/>
  <c r="R608" i="5" s="1"/>
  <c r="S608" i="5" s="1"/>
  <c r="P605" i="5"/>
  <c r="R605" i="5" s="1"/>
  <c r="S605" i="5" s="1"/>
  <c r="P604" i="5"/>
  <c r="J604" i="5"/>
  <c r="P603" i="5"/>
  <c r="J603" i="5"/>
  <c r="P602" i="5"/>
  <c r="J602" i="5"/>
  <c r="P601" i="5"/>
  <c r="J601" i="5"/>
  <c r="P600" i="5"/>
  <c r="J600" i="5"/>
  <c r="P599" i="5"/>
  <c r="J599" i="5"/>
  <c r="J598" i="5"/>
  <c r="P598" i="5"/>
  <c r="P597" i="5"/>
  <c r="J597" i="5"/>
  <c r="P596" i="5"/>
  <c r="J596" i="5"/>
  <c r="J595" i="5"/>
  <c r="P595" i="5"/>
  <c r="P594" i="5"/>
  <c r="J594" i="5"/>
  <c r="P593" i="5"/>
  <c r="R593" i="5" s="1"/>
  <c r="S593" i="5" s="1"/>
  <c r="P592" i="5"/>
  <c r="R592" i="5" s="1"/>
  <c r="S592" i="5" s="1"/>
  <c r="P591" i="5"/>
  <c r="R591" i="5" s="1"/>
  <c r="S591" i="5" s="1"/>
  <c r="P590" i="5"/>
  <c r="R590" i="5" s="1"/>
  <c r="S590" i="5" s="1"/>
  <c r="P589" i="5"/>
  <c r="R589" i="5" s="1"/>
  <c r="S589" i="5" s="1"/>
  <c r="P588" i="5"/>
  <c r="R588" i="5" s="1"/>
  <c r="S588" i="5" s="1"/>
  <c r="P587" i="5"/>
  <c r="R587" i="5" s="1"/>
  <c r="S587" i="5" s="1"/>
  <c r="P584" i="5"/>
  <c r="R584" i="5" s="1"/>
  <c r="S584" i="5" s="1"/>
  <c r="P583" i="5"/>
  <c r="R583" i="5" s="1"/>
  <c r="S583" i="5" s="1"/>
  <c r="P582" i="5"/>
  <c r="R582" i="5" s="1"/>
  <c r="S582" i="5" s="1"/>
  <c r="P581" i="5"/>
  <c r="R581" i="5" s="1"/>
  <c r="S581" i="5" s="1"/>
  <c r="P580" i="5"/>
  <c r="R580" i="5" s="1"/>
  <c r="S580" i="5" s="1"/>
  <c r="P579" i="5"/>
  <c r="R579" i="5" s="1"/>
  <c r="S579" i="5" s="1"/>
  <c r="P577" i="5"/>
  <c r="R577" i="5" s="1"/>
  <c r="S577" i="5" s="1"/>
  <c r="P576" i="5"/>
  <c r="R576" i="5" s="1"/>
  <c r="S576" i="5" s="1"/>
  <c r="J575" i="5"/>
  <c r="P575" i="5"/>
  <c r="P574" i="5"/>
  <c r="R574" i="5" s="1"/>
  <c r="S574" i="5" s="1"/>
  <c r="P573" i="5"/>
  <c r="R573" i="5" s="1"/>
  <c r="S573" i="5" s="1"/>
  <c r="P572" i="5"/>
  <c r="R572" i="5" s="1"/>
  <c r="S572" i="5" s="1"/>
  <c r="P571" i="5"/>
  <c r="R571" i="5" s="1"/>
  <c r="S571" i="5" s="1"/>
  <c r="P570" i="5"/>
  <c r="R570" i="5" s="1"/>
  <c r="S570" i="5" s="1"/>
  <c r="P568" i="5"/>
  <c r="R568" i="5" s="1"/>
  <c r="S568" i="5" s="1"/>
  <c r="P567" i="5"/>
  <c r="R567" i="5" s="1"/>
  <c r="S567" i="5" s="1"/>
  <c r="P566" i="5"/>
  <c r="R566" i="5" s="1"/>
  <c r="S566" i="5" s="1"/>
  <c r="P565" i="5"/>
  <c r="J565" i="5"/>
  <c r="P564" i="5"/>
  <c r="J564" i="5"/>
  <c r="P563" i="5"/>
  <c r="R563" i="5" s="1"/>
  <c r="S563" i="5" s="1"/>
  <c r="P562" i="5"/>
  <c r="J562" i="5"/>
  <c r="P561" i="5"/>
  <c r="J561" i="5"/>
  <c r="P560" i="5"/>
  <c r="R560" i="5" s="1"/>
  <c r="S560" i="5" s="1"/>
  <c r="P559" i="5"/>
  <c r="R559" i="5" s="1"/>
  <c r="S559" i="5" s="1"/>
  <c r="P558" i="5"/>
  <c r="R558" i="5" s="1"/>
  <c r="S558" i="5" s="1"/>
  <c r="P557" i="5"/>
  <c r="R557" i="5" s="1"/>
  <c r="S557" i="5" s="1"/>
  <c r="P556" i="5"/>
  <c r="R556" i="5" s="1"/>
  <c r="S556" i="5" s="1"/>
  <c r="P554" i="5"/>
  <c r="R554" i="5" s="1"/>
  <c r="S554" i="5" s="1"/>
  <c r="P553" i="5"/>
  <c r="J553" i="5"/>
  <c r="P551" i="5"/>
  <c r="R551" i="5" s="1"/>
  <c r="S551" i="5" s="1"/>
  <c r="P550" i="5"/>
  <c r="R550" i="5" s="1"/>
  <c r="S550" i="5" s="1"/>
  <c r="P549" i="5"/>
  <c r="R549" i="5" s="1"/>
  <c r="S549" i="5" s="1"/>
  <c r="P548" i="5"/>
  <c r="R548" i="5" s="1"/>
  <c r="S548" i="5" s="1"/>
  <c r="P547" i="5"/>
  <c r="R547" i="5" s="1"/>
  <c r="S547" i="5" s="1"/>
  <c r="P545" i="5"/>
  <c r="R545" i="5" s="1"/>
  <c r="S545" i="5" s="1"/>
  <c r="P544" i="5"/>
  <c r="J544" i="5"/>
  <c r="P543" i="5"/>
  <c r="J543" i="5"/>
  <c r="P541" i="5"/>
  <c r="J541" i="5"/>
  <c r="P540" i="5"/>
  <c r="J540" i="5"/>
  <c r="P539" i="5"/>
  <c r="J539" i="5"/>
  <c r="P538" i="5"/>
  <c r="J538" i="5"/>
  <c r="P537" i="5"/>
  <c r="J537" i="5"/>
  <c r="J536" i="5"/>
  <c r="P536" i="5"/>
  <c r="P535" i="5"/>
  <c r="J535" i="5"/>
  <c r="P534" i="5"/>
  <c r="J534" i="5"/>
  <c r="P533" i="5"/>
  <c r="R533" i="5" s="1"/>
  <c r="S533" i="5" s="1"/>
  <c r="P532" i="5"/>
  <c r="J532" i="5"/>
  <c r="P531" i="5"/>
  <c r="J531" i="5"/>
  <c r="P530" i="5"/>
  <c r="J530" i="5"/>
  <c r="P529" i="5"/>
  <c r="J529" i="5"/>
  <c r="P528" i="5"/>
  <c r="J528" i="5"/>
  <c r="P527" i="5"/>
  <c r="J527" i="5"/>
  <c r="P526" i="5"/>
  <c r="R526" i="5" s="1"/>
  <c r="S526" i="5" s="1"/>
  <c r="P525" i="5"/>
  <c r="R525" i="5" s="1"/>
  <c r="S525" i="5" s="1"/>
  <c r="P524" i="5"/>
  <c r="R524" i="5" s="1"/>
  <c r="S524" i="5" s="1"/>
  <c r="P523" i="5"/>
  <c r="R523" i="5" s="1"/>
  <c r="S523" i="5" s="1"/>
  <c r="P522" i="5"/>
  <c r="R522" i="5" s="1"/>
  <c r="S522" i="5" s="1"/>
  <c r="P508" i="5"/>
  <c r="R508" i="5" s="1"/>
  <c r="S508" i="5" s="1"/>
  <c r="P507" i="5"/>
  <c r="P506" i="5"/>
  <c r="J506" i="5"/>
  <c r="P505" i="5"/>
  <c r="R505" i="5" s="1"/>
  <c r="S505" i="5" s="1"/>
  <c r="P504" i="5"/>
  <c r="R504" i="5" s="1"/>
  <c r="S504" i="5" s="1"/>
  <c r="P503" i="5"/>
  <c r="J503" i="5"/>
  <c r="P501" i="5"/>
  <c r="R501" i="5" s="1"/>
  <c r="S501" i="5" s="1"/>
  <c r="P500" i="5"/>
  <c r="J500" i="5"/>
  <c r="P499" i="5"/>
  <c r="J499" i="5"/>
  <c r="P497" i="5"/>
  <c r="J497" i="5"/>
  <c r="P496" i="5"/>
  <c r="J496" i="5"/>
  <c r="P495" i="5"/>
  <c r="R495" i="5" s="1"/>
  <c r="S495" i="5" s="1"/>
  <c r="P494" i="5"/>
  <c r="R494" i="5" s="1"/>
  <c r="S494" i="5" s="1"/>
  <c r="P493" i="5"/>
  <c r="R493" i="5" s="1"/>
  <c r="S493" i="5" s="1"/>
  <c r="P492" i="5"/>
  <c r="R492" i="5" s="1"/>
  <c r="S492" i="5" s="1"/>
  <c r="P491" i="5"/>
  <c r="R491" i="5" s="1"/>
  <c r="S491" i="5" s="1"/>
  <c r="P490" i="5"/>
  <c r="R490" i="5" s="1"/>
  <c r="S490" i="5" s="1"/>
  <c r="P488" i="5"/>
  <c r="R488" i="5" s="1"/>
  <c r="S488" i="5" s="1"/>
  <c r="P487" i="5"/>
  <c r="R487" i="5" s="1"/>
  <c r="S487" i="5" s="1"/>
  <c r="P486" i="5"/>
  <c r="R486" i="5" s="1"/>
  <c r="S486" i="5" s="1"/>
  <c r="P485" i="5"/>
  <c r="R485" i="5" s="1"/>
  <c r="S485" i="5" s="1"/>
  <c r="P484" i="5"/>
  <c r="R484" i="5" s="1"/>
  <c r="S484" i="5" s="1"/>
  <c r="P483" i="5"/>
  <c r="R483" i="5" s="1"/>
  <c r="S483" i="5" s="1"/>
  <c r="P482" i="5"/>
  <c r="R482" i="5" s="1"/>
  <c r="S482" i="5" s="1"/>
  <c r="P481" i="5"/>
  <c r="R481" i="5" s="1"/>
  <c r="S481" i="5" s="1"/>
  <c r="P480" i="5"/>
  <c r="R480" i="5" s="1"/>
  <c r="S480" i="5" s="1"/>
  <c r="P479" i="5"/>
  <c r="R479" i="5" s="1"/>
  <c r="S479" i="5" s="1"/>
  <c r="P478" i="5"/>
  <c r="R478" i="5" s="1"/>
  <c r="S478" i="5" s="1"/>
  <c r="P477" i="5"/>
  <c r="R477" i="5" s="1"/>
  <c r="S477" i="5" s="1"/>
  <c r="P476" i="5"/>
  <c r="R476" i="5" s="1"/>
  <c r="S476" i="5" s="1"/>
  <c r="P475" i="5"/>
  <c r="R475" i="5" s="1"/>
  <c r="S475" i="5" s="1"/>
  <c r="P474" i="5"/>
  <c r="R474" i="5" s="1"/>
  <c r="S474" i="5" s="1"/>
  <c r="P473" i="5"/>
  <c r="R473" i="5" s="1"/>
  <c r="S473" i="5" s="1"/>
  <c r="P472" i="5"/>
  <c r="R472" i="5" s="1"/>
  <c r="S472" i="5" s="1"/>
  <c r="P471" i="5"/>
  <c r="R471" i="5" s="1"/>
  <c r="S471" i="5" s="1"/>
  <c r="P470" i="5"/>
  <c r="R470" i="5" s="1"/>
  <c r="S470" i="5" s="1"/>
  <c r="P469" i="5"/>
  <c r="R469" i="5" s="1"/>
  <c r="S469" i="5" s="1"/>
  <c r="P468" i="5"/>
  <c r="R468" i="5" s="1"/>
  <c r="S468" i="5" s="1"/>
  <c r="P467" i="5"/>
  <c r="R467" i="5" s="1"/>
  <c r="S467" i="5" s="1"/>
  <c r="P466" i="5"/>
  <c r="R466" i="5" s="1"/>
  <c r="S466" i="5" s="1"/>
  <c r="P465" i="5"/>
  <c r="R465" i="5" s="1"/>
  <c r="S465" i="5" s="1"/>
  <c r="P464" i="5"/>
  <c r="R464" i="5" s="1"/>
  <c r="S464" i="5" s="1"/>
  <c r="P463" i="5"/>
  <c r="R463" i="5" s="1"/>
  <c r="S463" i="5" s="1"/>
  <c r="P462" i="5"/>
  <c r="J462" i="5"/>
  <c r="P461" i="5"/>
  <c r="R461" i="5" s="1"/>
  <c r="S461" i="5" s="1"/>
  <c r="P460" i="5"/>
  <c r="R460" i="5" s="1"/>
  <c r="S460" i="5" s="1"/>
  <c r="P459" i="5"/>
  <c r="R459" i="5" s="1"/>
  <c r="S459" i="5" s="1"/>
  <c r="P458" i="5"/>
  <c r="R458" i="5" s="1"/>
  <c r="S458" i="5" s="1"/>
  <c r="P457" i="5"/>
  <c r="J457" i="5"/>
  <c r="P456" i="5"/>
  <c r="J456" i="5"/>
  <c r="P455" i="5"/>
  <c r="J455" i="5"/>
  <c r="J453" i="5"/>
  <c r="P453" i="5"/>
  <c r="J452" i="5"/>
  <c r="P452" i="5"/>
  <c r="P451" i="5"/>
  <c r="J451" i="5"/>
  <c r="P450" i="5"/>
  <c r="R450" i="5" s="1"/>
  <c r="S450" i="5" s="1"/>
  <c r="P449" i="5"/>
  <c r="J449" i="5"/>
  <c r="J448" i="5"/>
  <c r="P448" i="5"/>
  <c r="J447" i="5"/>
  <c r="P447" i="5"/>
  <c r="P446" i="5"/>
  <c r="J446" i="5"/>
  <c r="P445" i="5"/>
  <c r="J445" i="5"/>
  <c r="J444" i="5"/>
  <c r="P443" i="5"/>
  <c r="J443" i="5"/>
  <c r="P442" i="5"/>
  <c r="J442" i="5"/>
  <c r="P441" i="5"/>
  <c r="J441" i="5"/>
  <c r="P440" i="5"/>
  <c r="R440" i="5" s="1"/>
  <c r="S440" i="5" s="1"/>
  <c r="P439" i="5"/>
  <c r="J439" i="5"/>
  <c r="P438" i="5"/>
  <c r="J438" i="5"/>
  <c r="P437" i="5"/>
  <c r="R437" i="5" s="1"/>
  <c r="S437" i="5" s="1"/>
  <c r="P436" i="5"/>
  <c r="R436" i="5" s="1"/>
  <c r="S436" i="5" s="1"/>
  <c r="P435" i="5"/>
  <c r="R435" i="5" s="1"/>
  <c r="S435" i="5" s="1"/>
  <c r="P434" i="5"/>
  <c r="R434" i="5" s="1"/>
  <c r="S434" i="5" s="1"/>
  <c r="P433" i="5"/>
  <c r="R433" i="5" s="1"/>
  <c r="S433" i="5" s="1"/>
  <c r="P432" i="5"/>
  <c r="R432" i="5" s="1"/>
  <c r="S432" i="5" s="1"/>
  <c r="P430" i="5"/>
  <c r="R430" i="5" s="1"/>
  <c r="S430" i="5" s="1"/>
  <c r="P429" i="5"/>
  <c r="R429" i="5" s="1"/>
  <c r="S429" i="5" s="1"/>
  <c r="P428" i="5"/>
  <c r="R428" i="5" s="1"/>
  <c r="S428" i="5" s="1"/>
  <c r="P426" i="5"/>
  <c r="R426" i="5" s="1"/>
  <c r="S426" i="5" s="1"/>
  <c r="P425" i="5"/>
  <c r="R425" i="5" s="1"/>
  <c r="S425" i="5" s="1"/>
  <c r="P424" i="5"/>
  <c r="R424" i="5" s="1"/>
  <c r="S424" i="5" s="1"/>
  <c r="P423" i="5"/>
  <c r="R423" i="5" s="1"/>
  <c r="S423" i="5" s="1"/>
  <c r="P422" i="5"/>
  <c r="R422" i="5" s="1"/>
  <c r="S422" i="5" s="1"/>
  <c r="P421" i="5"/>
  <c r="R421" i="5" s="1"/>
  <c r="S421" i="5" s="1"/>
  <c r="P420" i="5"/>
  <c r="R420" i="5" s="1"/>
  <c r="S420" i="5" s="1"/>
  <c r="P419" i="5"/>
  <c r="R419" i="5" s="1"/>
  <c r="S419" i="5" s="1"/>
  <c r="P417" i="5"/>
  <c r="J417" i="5"/>
  <c r="P416" i="5"/>
  <c r="J416" i="5"/>
  <c r="P415" i="5"/>
  <c r="R415" i="5" s="1"/>
  <c r="S415" i="5" s="1"/>
  <c r="P414" i="5"/>
  <c r="R414" i="5" s="1"/>
  <c r="S414" i="5" s="1"/>
  <c r="P413" i="5"/>
  <c r="R413" i="5" s="1"/>
  <c r="S413" i="5" s="1"/>
  <c r="P412" i="5"/>
  <c r="R412" i="5" s="1"/>
  <c r="S412" i="5" s="1"/>
  <c r="P411" i="5"/>
  <c r="R411" i="5" s="1"/>
  <c r="S411" i="5" s="1"/>
  <c r="P410" i="5"/>
  <c r="R410" i="5" s="1"/>
  <c r="S410" i="5" s="1"/>
  <c r="P409" i="5"/>
  <c r="R409" i="5" s="1"/>
  <c r="S409" i="5" s="1"/>
  <c r="P408" i="5"/>
  <c r="R408" i="5" s="1"/>
  <c r="S408" i="5" s="1"/>
  <c r="P407" i="5"/>
  <c r="R407" i="5" s="1"/>
  <c r="S407" i="5" s="1"/>
  <c r="P406" i="5"/>
  <c r="R406" i="5" s="1"/>
  <c r="S406" i="5" s="1"/>
  <c r="P405" i="5"/>
  <c r="R405" i="5" s="1"/>
  <c r="S405" i="5" s="1"/>
  <c r="P404" i="5"/>
  <c r="R404" i="5" s="1"/>
  <c r="S404" i="5" s="1"/>
  <c r="P402" i="5"/>
  <c r="R402" i="5" s="1"/>
  <c r="S402" i="5" s="1"/>
  <c r="P401" i="5"/>
  <c r="R401" i="5" s="1"/>
  <c r="S401" i="5" s="1"/>
  <c r="P400" i="5"/>
  <c r="R400" i="5" s="1"/>
  <c r="S400" i="5" s="1"/>
  <c r="P399" i="5"/>
  <c r="R399" i="5" s="1"/>
  <c r="S399" i="5" s="1"/>
  <c r="P395" i="5"/>
  <c r="R395" i="5" s="1"/>
  <c r="S395" i="5" s="1"/>
  <c r="P394" i="5"/>
  <c r="R394" i="5" s="1"/>
  <c r="S394" i="5" s="1"/>
  <c r="P393" i="5"/>
  <c r="J393" i="5"/>
  <c r="P392" i="5"/>
  <c r="J392" i="5"/>
  <c r="P389" i="5"/>
  <c r="R389" i="5" s="1"/>
  <c r="S389" i="5" s="1"/>
  <c r="P388" i="5"/>
  <c r="R388" i="5" s="1"/>
  <c r="S388" i="5" s="1"/>
  <c r="P386" i="5"/>
  <c r="J386" i="5"/>
  <c r="P385" i="5"/>
  <c r="J385" i="5"/>
  <c r="P384" i="5"/>
  <c r="J384" i="5"/>
  <c r="P383" i="5"/>
  <c r="R383" i="5" s="1"/>
  <c r="S383" i="5" s="1"/>
  <c r="P381" i="5"/>
  <c r="R381" i="5" s="1"/>
  <c r="S381" i="5" s="1"/>
  <c r="J379" i="5"/>
  <c r="P378" i="5"/>
  <c r="J378" i="5"/>
  <c r="P377" i="5"/>
  <c r="R377" i="5" s="1"/>
  <c r="S377" i="5" s="1"/>
  <c r="P376" i="5"/>
  <c r="R376" i="5" s="1"/>
  <c r="S376" i="5" s="1"/>
  <c r="P375" i="5"/>
  <c r="R375" i="5" s="1"/>
  <c r="S375" i="5" s="1"/>
  <c r="P374" i="5"/>
  <c r="R374" i="5" s="1"/>
  <c r="S374" i="5" s="1"/>
  <c r="P373" i="5"/>
  <c r="R373" i="5" s="1"/>
  <c r="S373" i="5" s="1"/>
  <c r="P372" i="5"/>
  <c r="R372" i="5" s="1"/>
  <c r="S372" i="5" s="1"/>
  <c r="P368" i="5"/>
  <c r="R368" i="5" s="1"/>
  <c r="S368" i="5" s="1"/>
  <c r="P364" i="5"/>
  <c r="J364" i="5"/>
  <c r="P363" i="5"/>
  <c r="J363" i="5"/>
  <c r="P362" i="5"/>
  <c r="J362" i="5"/>
  <c r="P361" i="5"/>
  <c r="J361" i="5"/>
  <c r="P360" i="5"/>
  <c r="J360" i="5"/>
  <c r="P359" i="5"/>
  <c r="R359" i="5" s="1"/>
  <c r="S359" i="5" s="1"/>
  <c r="P358" i="5"/>
  <c r="R358" i="5" s="1"/>
  <c r="S358" i="5" s="1"/>
  <c r="P357" i="5"/>
  <c r="R357" i="5" s="1"/>
  <c r="S357" i="5" s="1"/>
  <c r="P356" i="5"/>
  <c r="R356" i="5" s="1"/>
  <c r="S356" i="5" s="1"/>
  <c r="P353" i="5"/>
  <c r="R353" i="5" s="1"/>
  <c r="S353" i="5" s="1"/>
  <c r="P351" i="5"/>
  <c r="R351" i="5" s="1"/>
  <c r="S351" i="5" s="1"/>
  <c r="P349" i="5"/>
  <c r="J349" i="5"/>
  <c r="P348" i="5"/>
  <c r="J348" i="5"/>
  <c r="P347" i="5"/>
  <c r="J347" i="5"/>
  <c r="P345" i="5"/>
  <c r="J345" i="5"/>
  <c r="P342" i="5"/>
  <c r="J342" i="5"/>
  <c r="P343" i="5"/>
  <c r="J343" i="5"/>
  <c r="P341" i="5"/>
  <c r="J341" i="5"/>
  <c r="P344" i="5"/>
  <c r="J344" i="5"/>
  <c r="P340" i="5"/>
  <c r="J340" i="5"/>
  <c r="S339" i="5"/>
  <c r="P338" i="5"/>
  <c r="J338" i="5"/>
  <c r="P337" i="5"/>
  <c r="J337" i="5"/>
  <c r="P336" i="5"/>
  <c r="J336" i="5"/>
  <c r="P335" i="5"/>
  <c r="J335" i="5"/>
  <c r="P334" i="5"/>
  <c r="J334" i="5"/>
  <c r="P333" i="5"/>
  <c r="J333" i="5"/>
  <c r="P331" i="5"/>
  <c r="J331" i="5"/>
  <c r="P327" i="5"/>
  <c r="J327" i="5"/>
  <c r="P326" i="5"/>
  <c r="R326" i="5" s="1"/>
  <c r="S326" i="5" s="1"/>
  <c r="P323" i="5"/>
  <c r="J323" i="5"/>
  <c r="P322" i="5"/>
  <c r="J322" i="5"/>
  <c r="P321" i="5"/>
  <c r="J321" i="5"/>
  <c r="P320" i="5"/>
  <c r="R320" i="5" s="1"/>
  <c r="S320" i="5" s="1"/>
  <c r="P318" i="5"/>
  <c r="J318" i="5"/>
  <c r="P316" i="5"/>
  <c r="J316" i="5"/>
  <c r="P315" i="5"/>
  <c r="R315" i="5" s="1"/>
  <c r="S315" i="5" s="1"/>
  <c r="P314" i="5"/>
  <c r="R314" i="5" s="1"/>
  <c r="S314" i="5" s="1"/>
  <c r="P313" i="5"/>
  <c r="R313" i="5" s="1"/>
  <c r="S313" i="5" s="1"/>
  <c r="P312" i="5"/>
  <c r="R312" i="5" s="1"/>
  <c r="S312" i="5" s="1"/>
  <c r="P311" i="5"/>
  <c r="R311" i="5" s="1"/>
  <c r="S311" i="5" s="1"/>
  <c r="P310" i="5"/>
  <c r="R310" i="5" s="1"/>
  <c r="S310" i="5" s="1"/>
  <c r="P309" i="5"/>
  <c r="R309" i="5" s="1"/>
  <c r="S309" i="5" s="1"/>
  <c r="P308" i="5"/>
  <c r="R308" i="5" s="1"/>
  <c r="S308" i="5" s="1"/>
  <c r="P307" i="5"/>
  <c r="R307" i="5" s="1"/>
  <c r="S307" i="5" s="1"/>
  <c r="P303" i="5"/>
  <c r="R303" i="5" s="1"/>
  <c r="S303" i="5" s="1"/>
  <c r="P302" i="5"/>
  <c r="R302" i="5" s="1"/>
  <c r="S302" i="5" s="1"/>
  <c r="P301" i="5"/>
  <c r="R301" i="5" s="1"/>
  <c r="S301" i="5" s="1"/>
  <c r="P300" i="5"/>
  <c r="R300" i="5" s="1"/>
  <c r="S300" i="5" s="1"/>
  <c r="P299" i="5"/>
  <c r="R299" i="5" s="1"/>
  <c r="S299" i="5" s="1"/>
  <c r="P298" i="5"/>
  <c r="R298" i="5" s="1"/>
  <c r="S298" i="5" s="1"/>
  <c r="P295" i="5"/>
  <c r="R295" i="5" s="1"/>
  <c r="S295" i="5" s="1"/>
  <c r="P294" i="5"/>
  <c r="R294" i="5" s="1"/>
  <c r="S294" i="5" s="1"/>
  <c r="P293" i="5"/>
  <c r="R293" i="5" s="1"/>
  <c r="S293" i="5" s="1"/>
  <c r="P292" i="5"/>
  <c r="R292" i="5" s="1"/>
  <c r="S292" i="5" s="1"/>
  <c r="P291" i="5"/>
  <c r="R291" i="5" s="1"/>
  <c r="S291" i="5" s="1"/>
  <c r="P288" i="5"/>
  <c r="R288" i="5" s="1"/>
  <c r="S288" i="5" s="1"/>
  <c r="P286" i="5"/>
  <c r="J286" i="5"/>
  <c r="P282" i="5"/>
  <c r="J282" i="5"/>
  <c r="P281" i="5"/>
  <c r="J281" i="5"/>
  <c r="P278" i="5"/>
  <c r="J278" i="5"/>
  <c r="P277" i="5"/>
  <c r="J277" i="5"/>
  <c r="P276" i="5"/>
  <c r="R276" i="5" s="1"/>
  <c r="S276" i="5" s="1"/>
  <c r="P275" i="5"/>
  <c r="R275" i="5" s="1"/>
  <c r="S275" i="5" s="1"/>
  <c r="P274" i="5"/>
  <c r="R274" i="5" s="1"/>
  <c r="S274" i="5" s="1"/>
  <c r="P273" i="5"/>
  <c r="R273" i="5" s="1"/>
  <c r="S273" i="5" s="1"/>
  <c r="P272" i="5"/>
  <c r="R272" i="5" s="1"/>
  <c r="S272" i="5" s="1"/>
  <c r="P271" i="5"/>
  <c r="R271" i="5" s="1"/>
  <c r="S271" i="5" s="1"/>
  <c r="P270" i="5"/>
  <c r="R270" i="5" s="1"/>
  <c r="S270" i="5" s="1"/>
  <c r="P269" i="5"/>
  <c r="R269" i="5" s="1"/>
  <c r="S269" i="5" s="1"/>
  <c r="P268" i="5"/>
  <c r="R268" i="5" s="1"/>
  <c r="S268" i="5" s="1"/>
  <c r="P267" i="5"/>
  <c r="R267" i="5" s="1"/>
  <c r="S267" i="5" s="1"/>
  <c r="P264" i="5"/>
  <c r="J264" i="5"/>
  <c r="P263" i="5"/>
  <c r="J263" i="5"/>
  <c r="J260" i="5"/>
  <c r="P260" i="5"/>
  <c r="J259" i="5"/>
  <c r="P259" i="5"/>
  <c r="J258" i="5"/>
  <c r="P258" i="5"/>
  <c r="P257" i="5"/>
  <c r="J257" i="5"/>
  <c r="P256" i="5"/>
  <c r="J256" i="5"/>
  <c r="P255" i="5"/>
  <c r="R255" i="5" s="1"/>
  <c r="S255" i="5" s="1"/>
  <c r="P254" i="5"/>
  <c r="R254" i="5" s="1"/>
  <c r="S254" i="5" s="1"/>
  <c r="P253" i="5"/>
  <c r="R253" i="5" s="1"/>
  <c r="S253" i="5" s="1"/>
  <c r="P252" i="5"/>
  <c r="R252" i="5" s="1"/>
  <c r="S252" i="5" s="1"/>
  <c r="P251" i="5"/>
  <c r="R251" i="5" s="1"/>
  <c r="S251" i="5" s="1"/>
  <c r="P250" i="5"/>
  <c r="R250" i="5" s="1"/>
  <c r="S250" i="5" s="1"/>
  <c r="P249" i="5"/>
  <c r="R249" i="5" s="1"/>
  <c r="S249" i="5" s="1"/>
  <c r="P248" i="5"/>
  <c r="R248" i="5" s="1"/>
  <c r="S248" i="5" s="1"/>
  <c r="P247" i="5"/>
  <c r="R247" i="5" s="1"/>
  <c r="S247" i="5" s="1"/>
  <c r="P246" i="5"/>
  <c r="R246" i="5" s="1"/>
  <c r="S246" i="5" s="1"/>
  <c r="P245" i="5"/>
  <c r="R245" i="5" s="1"/>
  <c r="S245" i="5" s="1"/>
  <c r="P244" i="5"/>
  <c r="J244" i="5"/>
  <c r="P241" i="5"/>
  <c r="R241" i="5" s="1"/>
  <c r="S241" i="5" s="1"/>
  <c r="P239" i="5"/>
  <c r="J239" i="5"/>
  <c r="P238" i="5"/>
  <c r="J238" i="5"/>
  <c r="P237" i="5"/>
  <c r="J237" i="5"/>
  <c r="P236" i="5"/>
  <c r="R236" i="5" s="1"/>
  <c r="S236" i="5" s="1"/>
  <c r="P235" i="5"/>
  <c r="J235" i="5"/>
  <c r="P234" i="5"/>
  <c r="J234" i="5"/>
  <c r="P230" i="5"/>
  <c r="R230" i="5" s="1"/>
  <c r="S230" i="5" s="1"/>
  <c r="P228" i="5"/>
  <c r="R228" i="5" s="1"/>
  <c r="S228" i="5" s="1"/>
  <c r="P223" i="5"/>
  <c r="J223" i="5"/>
  <c r="P222" i="5"/>
  <c r="J222" i="5"/>
  <c r="P221" i="5"/>
  <c r="R221" i="5" s="1"/>
  <c r="S221" i="5" s="1"/>
  <c r="P220" i="5"/>
  <c r="R220" i="5" s="1"/>
  <c r="S220" i="5" s="1"/>
  <c r="P217" i="5"/>
  <c r="J217" i="5"/>
  <c r="P216" i="5"/>
  <c r="J216" i="5"/>
  <c r="P215" i="5"/>
  <c r="J215" i="5"/>
  <c r="P214" i="5"/>
  <c r="R214" i="5" s="1"/>
  <c r="S214" i="5" s="1"/>
  <c r="P213" i="5"/>
  <c r="R213" i="5" s="1"/>
  <c r="S213" i="5" s="1"/>
  <c r="P212" i="5"/>
  <c r="R212" i="5" s="1"/>
  <c r="S212" i="5" s="1"/>
  <c r="J210" i="5"/>
  <c r="P210" i="5"/>
  <c r="P209" i="5"/>
  <c r="J209" i="5"/>
  <c r="P208" i="5"/>
  <c r="R208" i="5" s="1"/>
  <c r="S208" i="5" s="1"/>
  <c r="P207" i="5"/>
  <c r="R207" i="5" s="1"/>
  <c r="S207" i="5" s="1"/>
  <c r="P206" i="5"/>
  <c r="R206" i="5" s="1"/>
  <c r="S206" i="5" s="1"/>
  <c r="P204" i="5"/>
  <c r="R204" i="5" s="1"/>
  <c r="S204" i="5" s="1"/>
  <c r="P203" i="5"/>
  <c r="J203" i="5"/>
  <c r="P202" i="5"/>
  <c r="J202" i="5"/>
  <c r="P201" i="5"/>
  <c r="J201" i="5"/>
  <c r="P200" i="5"/>
  <c r="R200" i="5" s="1"/>
  <c r="S200" i="5" s="1"/>
  <c r="P198" i="5"/>
  <c r="R198" i="5" s="1"/>
  <c r="S198" i="5" s="1"/>
  <c r="P197" i="5"/>
  <c r="R197" i="5" s="1"/>
  <c r="S197" i="5" s="1"/>
  <c r="P196" i="5"/>
  <c r="R196" i="5" s="1"/>
  <c r="S196" i="5" s="1"/>
  <c r="P195" i="5"/>
  <c r="R195" i="5" s="1"/>
  <c r="S195" i="5" s="1"/>
  <c r="P191" i="5"/>
  <c r="R191" i="5" s="1"/>
  <c r="S191" i="5" s="1"/>
  <c r="P190" i="5"/>
  <c r="R190" i="5" s="1"/>
  <c r="S190" i="5" s="1"/>
  <c r="P189" i="5"/>
  <c r="R189" i="5" s="1"/>
  <c r="S189" i="5" s="1"/>
  <c r="P187" i="5"/>
  <c r="R187" i="5" s="1"/>
  <c r="S187" i="5" s="1"/>
  <c r="P186" i="5"/>
  <c r="J186" i="5"/>
  <c r="P185" i="5"/>
  <c r="R185" i="5" s="1"/>
  <c r="S185" i="5" s="1"/>
  <c r="P184" i="5"/>
  <c r="J184" i="5"/>
  <c r="P183" i="5"/>
  <c r="R183" i="5" s="1"/>
  <c r="S183" i="5" s="1"/>
  <c r="P182" i="5"/>
  <c r="R182" i="5" s="1"/>
  <c r="S182" i="5" s="1"/>
  <c r="P181" i="5"/>
  <c r="R181" i="5" s="1"/>
  <c r="S181" i="5" s="1"/>
  <c r="P180" i="5"/>
  <c r="R180" i="5" s="1"/>
  <c r="S180" i="5" s="1"/>
  <c r="P178" i="5"/>
  <c r="J178" i="5"/>
  <c r="P177" i="5"/>
  <c r="J177" i="5"/>
  <c r="P176" i="5"/>
  <c r="J176" i="5"/>
  <c r="P175" i="5"/>
  <c r="J175" i="5"/>
  <c r="P174" i="5"/>
  <c r="J174" i="5"/>
  <c r="P173" i="5"/>
  <c r="J173" i="5"/>
  <c r="P172" i="5"/>
  <c r="R172" i="5" s="1"/>
  <c r="S172" i="5" s="1"/>
  <c r="P171" i="5"/>
  <c r="R171" i="5" s="1"/>
  <c r="S171" i="5" s="1"/>
  <c r="P170" i="5"/>
  <c r="P169" i="5"/>
  <c r="J169" i="5"/>
  <c r="P168" i="5"/>
  <c r="R168" i="5" s="1"/>
  <c r="S168" i="5" s="1"/>
  <c r="P167" i="5"/>
  <c r="R167" i="5" s="1"/>
  <c r="S167" i="5" s="1"/>
  <c r="P166" i="5"/>
  <c r="R166" i="5" s="1"/>
  <c r="S166" i="5" s="1"/>
  <c r="P165" i="5"/>
  <c r="R165" i="5" s="1"/>
  <c r="S165" i="5" s="1"/>
  <c r="P164" i="5"/>
  <c r="R164" i="5" s="1"/>
  <c r="S164" i="5" s="1"/>
  <c r="P163" i="5"/>
  <c r="R163" i="5" s="1"/>
  <c r="S163" i="5" s="1"/>
  <c r="P162" i="5"/>
  <c r="R162" i="5" s="1"/>
  <c r="S162" i="5" s="1"/>
  <c r="P161" i="5"/>
  <c r="R161" i="5" s="1"/>
  <c r="S161" i="5" s="1"/>
  <c r="P160" i="5"/>
  <c r="R160" i="5" s="1"/>
  <c r="S160" i="5" s="1"/>
  <c r="P159" i="5"/>
  <c r="R159" i="5" s="1"/>
  <c r="S159" i="5" s="1"/>
  <c r="P156" i="5"/>
  <c r="J156" i="5"/>
  <c r="P155" i="5"/>
  <c r="J155" i="5"/>
  <c r="P154" i="5"/>
  <c r="J154" i="5"/>
  <c r="P153" i="5"/>
  <c r="J153" i="5"/>
  <c r="P152" i="5"/>
  <c r="J152" i="5"/>
  <c r="P151" i="5"/>
  <c r="J151" i="5"/>
  <c r="P150" i="5"/>
  <c r="J150" i="5"/>
  <c r="P149" i="5"/>
  <c r="J149" i="5"/>
  <c r="P148" i="5"/>
  <c r="J148" i="5"/>
  <c r="P147" i="5"/>
  <c r="J147" i="5"/>
  <c r="P146" i="5"/>
  <c r="J146" i="5"/>
  <c r="P145" i="5"/>
  <c r="J145" i="5"/>
  <c r="P144" i="5"/>
  <c r="J144" i="5"/>
  <c r="P143" i="5"/>
  <c r="J143" i="5"/>
  <c r="P142" i="5"/>
  <c r="J142" i="5"/>
  <c r="P141" i="5"/>
  <c r="J141" i="5"/>
  <c r="P140" i="5"/>
  <c r="J140" i="5"/>
  <c r="P139" i="5"/>
  <c r="J139" i="5"/>
  <c r="P138" i="5"/>
  <c r="J138" i="5"/>
  <c r="J137" i="5"/>
  <c r="P137" i="5"/>
  <c r="P135" i="5"/>
  <c r="J135" i="5"/>
  <c r="P134" i="5"/>
  <c r="J134" i="5"/>
  <c r="P133" i="5"/>
  <c r="J133" i="5"/>
  <c r="P132" i="5"/>
  <c r="J132" i="5"/>
  <c r="P130" i="5"/>
  <c r="J130" i="5"/>
  <c r="J129" i="5"/>
  <c r="P129" i="5"/>
  <c r="P128" i="5"/>
  <c r="J128" i="5"/>
  <c r="J127" i="5"/>
  <c r="P127" i="5"/>
  <c r="P126" i="5"/>
  <c r="J126" i="5"/>
  <c r="P124" i="5"/>
  <c r="J124" i="5"/>
  <c r="P122" i="5"/>
  <c r="J122" i="5"/>
  <c r="P121" i="5"/>
  <c r="P120" i="5"/>
  <c r="R120" i="5" s="1"/>
  <c r="S120" i="5" s="1"/>
  <c r="P119" i="5"/>
  <c r="R119" i="5" s="1"/>
  <c r="S119" i="5" s="1"/>
  <c r="P118" i="5"/>
  <c r="J118" i="5"/>
  <c r="P117" i="5"/>
  <c r="R117" i="5" s="1"/>
  <c r="S117" i="5" s="1"/>
  <c r="P116" i="5"/>
  <c r="J116" i="5"/>
  <c r="P115" i="5"/>
  <c r="J115" i="5"/>
  <c r="P114" i="5"/>
  <c r="R114" i="5" s="1"/>
  <c r="S114" i="5" s="1"/>
  <c r="P113" i="5"/>
  <c r="R113" i="5" s="1"/>
  <c r="S113" i="5" s="1"/>
  <c r="P112" i="5"/>
  <c r="R112" i="5" s="1"/>
  <c r="S112" i="5" s="1"/>
  <c r="P111" i="5"/>
  <c r="R111" i="5" s="1"/>
  <c r="S111" i="5" s="1"/>
  <c r="P110" i="5"/>
  <c r="R110" i="5" s="1"/>
  <c r="S110" i="5" s="1"/>
  <c r="P109" i="5"/>
  <c r="R109" i="5" s="1"/>
  <c r="S109" i="5" s="1"/>
  <c r="P108" i="5"/>
  <c r="R108" i="5" s="1"/>
  <c r="S108" i="5" s="1"/>
  <c r="P107" i="5"/>
  <c r="R107" i="5" s="1"/>
  <c r="S107" i="5" s="1"/>
  <c r="P106" i="5"/>
  <c r="R106" i="5" s="1"/>
  <c r="S106" i="5" s="1"/>
  <c r="P102" i="5"/>
  <c r="J102" i="5"/>
  <c r="P101" i="5"/>
  <c r="J101" i="5"/>
  <c r="J100" i="5"/>
  <c r="P100" i="5"/>
  <c r="P99" i="5"/>
  <c r="J99" i="5"/>
  <c r="P98" i="5"/>
  <c r="R98" i="5" s="1"/>
  <c r="S98" i="5" s="1"/>
  <c r="P97" i="5"/>
  <c r="R97" i="5" s="1"/>
  <c r="S97" i="5" s="1"/>
  <c r="P96" i="5"/>
  <c r="R96" i="5" s="1"/>
  <c r="S96" i="5" s="1"/>
  <c r="P95" i="5"/>
  <c r="R95" i="5" s="1"/>
  <c r="S95" i="5" s="1"/>
  <c r="P93" i="5"/>
  <c r="P92" i="5"/>
  <c r="J92" i="5"/>
  <c r="P91" i="5"/>
  <c r="J91" i="5"/>
  <c r="P90" i="5"/>
  <c r="J90" i="5"/>
  <c r="P89" i="5"/>
  <c r="J89" i="5"/>
  <c r="P88" i="5"/>
  <c r="J88" i="5"/>
  <c r="P87" i="5"/>
  <c r="J87" i="5"/>
  <c r="J86" i="5"/>
  <c r="P86" i="5"/>
  <c r="P85" i="5"/>
  <c r="R85" i="5" s="1"/>
  <c r="S85" i="5" s="1"/>
  <c r="P84" i="5"/>
  <c r="R84" i="5" s="1"/>
  <c r="S84" i="5" s="1"/>
  <c r="P83" i="5"/>
  <c r="R83" i="5" s="1"/>
  <c r="S83" i="5" s="1"/>
  <c r="P82" i="5"/>
  <c r="R82" i="5" s="1"/>
  <c r="S82" i="5" s="1"/>
  <c r="P81" i="5"/>
  <c r="R81" i="5" s="1"/>
  <c r="S81" i="5" s="1"/>
  <c r="P80" i="5"/>
  <c r="R80" i="5" s="1"/>
  <c r="S80" i="5" s="1"/>
  <c r="P79" i="5"/>
  <c r="R79" i="5" s="1"/>
  <c r="S79" i="5" s="1"/>
  <c r="P78" i="5"/>
  <c r="R78" i="5" s="1"/>
  <c r="S78" i="5" s="1"/>
  <c r="P77" i="5"/>
  <c r="R77" i="5" s="1"/>
  <c r="S77" i="5" s="1"/>
  <c r="P76" i="5"/>
  <c r="R76" i="5" s="1"/>
  <c r="S76" i="5" s="1"/>
  <c r="P75" i="5"/>
  <c r="R75" i="5" s="1"/>
  <c r="S75" i="5" s="1"/>
  <c r="P74" i="5"/>
  <c r="R74" i="5" s="1"/>
  <c r="S74" i="5" s="1"/>
  <c r="P73" i="5"/>
  <c r="R73" i="5" s="1"/>
  <c r="S73" i="5" s="1"/>
  <c r="P69" i="5"/>
  <c r="R69" i="5" s="1"/>
  <c r="S69" i="5" s="1"/>
  <c r="P68" i="5"/>
  <c r="R68" i="5" s="1"/>
  <c r="S68" i="5" s="1"/>
  <c r="S67" i="5"/>
  <c r="P65" i="5"/>
  <c r="R65" i="5" s="1"/>
  <c r="S65" i="5" s="1"/>
  <c r="P64" i="5"/>
  <c r="R64" i="5" s="1"/>
  <c r="S64" i="5" s="1"/>
  <c r="P63" i="5"/>
  <c r="R63" i="5" s="1"/>
  <c r="S63" i="5" s="1"/>
  <c r="P62" i="5"/>
  <c r="R62" i="5" s="1"/>
  <c r="S62" i="5" s="1"/>
  <c r="P61" i="5"/>
  <c r="R61" i="5" s="1"/>
  <c r="S61" i="5" s="1"/>
  <c r="P60" i="5"/>
  <c r="R60" i="5" s="1"/>
  <c r="S60" i="5" s="1"/>
  <c r="P59" i="5"/>
  <c r="R59" i="5" s="1"/>
  <c r="S59" i="5" s="1"/>
  <c r="P58" i="5"/>
  <c r="R58" i="5" s="1"/>
  <c r="S58" i="5" s="1"/>
  <c r="P56" i="5"/>
  <c r="R56" i="5" s="1"/>
  <c r="S56" i="5" s="1"/>
  <c r="P55" i="5"/>
  <c r="R55" i="5" s="1"/>
  <c r="S55" i="5" s="1"/>
  <c r="P54" i="5"/>
  <c r="R54" i="5" s="1"/>
  <c r="S54" i="5" s="1"/>
  <c r="P53" i="5"/>
  <c r="R53" i="5" s="1"/>
  <c r="S53" i="5" s="1"/>
  <c r="P52" i="5"/>
  <c r="R52" i="5" s="1"/>
  <c r="S52" i="5" s="1"/>
  <c r="P51" i="5"/>
  <c r="R51" i="5" s="1"/>
  <c r="S51" i="5" s="1"/>
  <c r="P50" i="5"/>
  <c r="R50" i="5" s="1"/>
  <c r="S50" i="5" s="1"/>
  <c r="P49" i="5"/>
  <c r="R49" i="5" s="1"/>
  <c r="S49" i="5" s="1"/>
  <c r="P48" i="5"/>
  <c r="R48" i="5" s="1"/>
  <c r="S48" i="5" s="1"/>
  <c r="P47" i="5"/>
  <c r="R47" i="5" s="1"/>
  <c r="S47" i="5" s="1"/>
  <c r="P46" i="5"/>
  <c r="R46" i="5" s="1"/>
  <c r="S46" i="5" s="1"/>
  <c r="P45" i="5"/>
  <c r="R45" i="5" s="1"/>
  <c r="S45" i="5" s="1"/>
  <c r="P44" i="5"/>
  <c r="R44" i="5" s="1"/>
  <c r="S44" i="5" s="1"/>
  <c r="P43" i="5"/>
  <c r="R43" i="5" s="1"/>
  <c r="S43" i="5" s="1"/>
  <c r="P42" i="5"/>
  <c r="R42" i="5" s="1"/>
  <c r="S42" i="5" s="1"/>
  <c r="P41" i="5"/>
  <c r="R41" i="5" s="1"/>
  <c r="S41" i="5" s="1"/>
  <c r="P40" i="5"/>
  <c r="R40" i="5" s="1"/>
  <c r="S40" i="5" s="1"/>
  <c r="P37" i="5"/>
  <c r="R37" i="5" s="1"/>
  <c r="S37" i="5" s="1"/>
  <c r="P36" i="5"/>
  <c r="R36" i="5" s="1"/>
  <c r="S36" i="5" s="1"/>
  <c r="P31" i="5"/>
  <c r="J31" i="5"/>
  <c r="P30" i="5"/>
  <c r="J30" i="5"/>
  <c r="P29" i="5"/>
  <c r="J29" i="5"/>
  <c r="P28" i="5"/>
  <c r="R28" i="5" s="1"/>
  <c r="S28" i="5" s="1"/>
  <c r="P24" i="5"/>
  <c r="J24" i="5"/>
  <c r="P23" i="5"/>
  <c r="R23" i="5" s="1"/>
  <c r="S23" i="5" s="1"/>
  <c r="P22" i="5"/>
  <c r="R22" i="5" s="1"/>
  <c r="S22" i="5" s="1"/>
  <c r="P21" i="5"/>
  <c r="R21" i="5" s="1"/>
  <c r="S21" i="5" s="1"/>
  <c r="P20" i="5"/>
  <c r="R20" i="5" s="1"/>
  <c r="S20" i="5" s="1"/>
  <c r="P19" i="5"/>
  <c r="R19" i="5" s="1"/>
  <c r="S19" i="5" s="1"/>
  <c r="P18" i="5"/>
  <c r="R18" i="5" s="1"/>
  <c r="S18" i="5" s="1"/>
  <c r="P16" i="5"/>
  <c r="R16" i="5" s="1"/>
  <c r="S16" i="5" s="1"/>
  <c r="P15" i="5"/>
  <c r="R15" i="5" s="1"/>
  <c r="S15" i="5" s="1"/>
  <c r="P14" i="5"/>
  <c r="R14" i="5" s="1"/>
  <c r="S14" i="5" s="1"/>
  <c r="P12" i="5"/>
  <c r="R12" i="5" s="1"/>
  <c r="S12" i="5" s="1"/>
  <c r="P11" i="5"/>
  <c r="J11" i="5"/>
  <c r="P10" i="5"/>
  <c r="R10" i="5" s="1"/>
  <c r="S10" i="5" s="1"/>
  <c r="P9" i="5"/>
  <c r="R9" i="5" s="1"/>
  <c r="S9" i="5" s="1"/>
  <c r="P8" i="5"/>
  <c r="R8" i="5" s="1"/>
  <c r="S8" i="5" s="1"/>
  <c r="P7" i="5"/>
  <c r="R7" i="5" s="1"/>
  <c r="S7" i="5" s="1"/>
  <c r="P6" i="5"/>
  <c r="R6" i="5" s="1"/>
  <c r="R639" i="5" l="1"/>
  <c r="S639" i="5" s="1"/>
  <c r="R416" i="5"/>
  <c r="S416" i="5" s="1"/>
  <c r="R442" i="5"/>
  <c r="S442" i="5" s="1"/>
  <c r="R456" i="5"/>
  <c r="S456" i="5" s="1"/>
  <c r="R715" i="5"/>
  <c r="S715" i="5" s="1"/>
  <c r="R717" i="5"/>
  <c r="S717" i="5" s="1"/>
  <c r="R753" i="5"/>
  <c r="S753" i="5" s="1"/>
  <c r="R775" i="5"/>
  <c r="S775" i="5" s="1"/>
  <c r="R791" i="5"/>
  <c r="S791" i="5" s="1"/>
  <c r="R597" i="5"/>
  <c r="S597" i="5" s="1"/>
  <c r="R599" i="5"/>
  <c r="S599" i="5" s="1"/>
  <c r="R601" i="5"/>
  <c r="S601" i="5" s="1"/>
  <c r="R672" i="5"/>
  <c r="S672" i="5" s="1"/>
  <c r="R708" i="5"/>
  <c r="S708" i="5" s="1"/>
  <c r="R711" i="5"/>
  <c r="S711" i="5" s="1"/>
  <c r="R713" i="5"/>
  <c r="S713" i="5" s="1"/>
  <c r="R135" i="5"/>
  <c r="S135" i="5" s="1"/>
  <c r="R142" i="5"/>
  <c r="S142" i="5" s="1"/>
  <c r="R144" i="5"/>
  <c r="S144" i="5" s="1"/>
  <c r="R146" i="5"/>
  <c r="S146" i="5" s="1"/>
  <c r="R148" i="5"/>
  <c r="S148" i="5" s="1"/>
  <c r="R150" i="5"/>
  <c r="S150" i="5" s="1"/>
  <c r="R152" i="5"/>
  <c r="S152" i="5" s="1"/>
  <c r="R154" i="5"/>
  <c r="S154" i="5" s="1"/>
  <c r="R156" i="5"/>
  <c r="S156" i="5" s="1"/>
  <c r="R169" i="5"/>
  <c r="S169" i="5" s="1"/>
  <c r="R731" i="5"/>
  <c r="S731" i="5" s="1"/>
  <c r="R764" i="5"/>
  <c r="S764" i="5" s="1"/>
  <c r="R768" i="5"/>
  <c r="S768" i="5" s="1"/>
  <c r="R770" i="5"/>
  <c r="S770" i="5" s="1"/>
  <c r="R772" i="5"/>
  <c r="S772" i="5" s="1"/>
  <c r="R797" i="5"/>
  <c r="S797" i="5" s="1"/>
  <c r="R87" i="5"/>
  <c r="S87" i="5" s="1"/>
  <c r="R89" i="5"/>
  <c r="S89" i="5" s="1"/>
  <c r="R92" i="5"/>
  <c r="S92" i="5" s="1"/>
  <c r="R215" i="5"/>
  <c r="S215" i="5" s="1"/>
  <c r="R217" i="5"/>
  <c r="S217" i="5" s="1"/>
  <c r="R282" i="5"/>
  <c r="S282" i="5" s="1"/>
  <c r="R334" i="5"/>
  <c r="S334" i="5" s="1"/>
  <c r="R535" i="5"/>
  <c r="S535" i="5" s="1"/>
  <c r="R553" i="5"/>
  <c r="S553" i="5" s="1"/>
  <c r="R748" i="5"/>
  <c r="S748" i="5" s="1"/>
  <c r="R792" i="5"/>
  <c r="S792" i="5" s="1"/>
  <c r="R799" i="5"/>
  <c r="S799" i="5" s="1"/>
  <c r="R122" i="5"/>
  <c r="S122" i="5" s="1"/>
  <c r="R128" i="5"/>
  <c r="S128" i="5" s="1"/>
  <c r="R132" i="5"/>
  <c r="S132" i="5" s="1"/>
  <c r="R378" i="5"/>
  <c r="S378" i="5" s="1"/>
  <c r="R385" i="5"/>
  <c r="S385" i="5" s="1"/>
  <c r="R393" i="5"/>
  <c r="S393" i="5" s="1"/>
  <c r="R506" i="5"/>
  <c r="S506" i="5" s="1"/>
  <c r="R29" i="5"/>
  <c r="S29" i="5" s="1"/>
  <c r="R88" i="5"/>
  <c r="S88" i="5" s="1"/>
  <c r="R90" i="5"/>
  <c r="S90" i="5" s="1"/>
  <c r="R91" i="5"/>
  <c r="S91" i="5" s="1"/>
  <c r="R93" i="5"/>
  <c r="S93" i="5" s="1"/>
  <c r="R115" i="5"/>
  <c r="S115" i="5" s="1"/>
  <c r="R186" i="5"/>
  <c r="S186" i="5" s="1"/>
  <c r="R281" i="5"/>
  <c r="S281" i="5" s="1"/>
  <c r="R286" i="5"/>
  <c r="S286" i="5" s="1"/>
  <c r="R417" i="5"/>
  <c r="S417" i="5" s="1"/>
  <c r="R528" i="5"/>
  <c r="S528" i="5" s="1"/>
  <c r="R637" i="5"/>
  <c r="S637" i="5" s="1"/>
  <c r="R640" i="5"/>
  <c r="S640" i="5" s="1"/>
  <c r="R642" i="5"/>
  <c r="S642" i="5" s="1"/>
  <c r="R644" i="5"/>
  <c r="S644" i="5" s="1"/>
  <c r="R646" i="5"/>
  <c r="S646" i="5" s="1"/>
  <c r="R511" i="5"/>
  <c r="S511" i="5" s="1"/>
  <c r="R603" i="5"/>
  <c r="S603" i="5" s="1"/>
  <c r="R137" i="5"/>
  <c r="S137" i="5" s="1"/>
  <c r="R177" i="5"/>
  <c r="S177" i="5" s="1"/>
  <c r="R178" i="5"/>
  <c r="S178" i="5" s="1"/>
  <c r="R536" i="5"/>
  <c r="S536" i="5" s="1"/>
  <c r="R538" i="5"/>
  <c r="S538" i="5" s="1"/>
  <c r="R540" i="5"/>
  <c r="S540" i="5" s="1"/>
  <c r="R543" i="5"/>
  <c r="S543" i="5" s="1"/>
  <c r="R598" i="5"/>
  <c r="S598" i="5" s="1"/>
  <c r="R11" i="5"/>
  <c r="S11" i="5" s="1"/>
  <c r="R24" i="5"/>
  <c r="S24" i="5" s="1"/>
  <c r="R202" i="5"/>
  <c r="S202" i="5" s="1"/>
  <c r="R209" i="5"/>
  <c r="S209" i="5" s="1"/>
  <c r="R238" i="5"/>
  <c r="S238" i="5" s="1"/>
  <c r="R256" i="5"/>
  <c r="S256" i="5" s="1"/>
  <c r="R318" i="5"/>
  <c r="S318" i="5" s="1"/>
  <c r="R331" i="5"/>
  <c r="S331" i="5" s="1"/>
  <c r="R340" i="5"/>
  <c r="S340" i="5" s="1"/>
  <c r="R341" i="5"/>
  <c r="S341" i="5" s="1"/>
  <c r="R342" i="5"/>
  <c r="S342" i="5" s="1"/>
  <c r="R347" i="5"/>
  <c r="S347" i="5" s="1"/>
  <c r="R349" i="5"/>
  <c r="S349" i="5" s="1"/>
  <c r="R439" i="5"/>
  <c r="S439" i="5" s="1"/>
  <c r="R449" i="5"/>
  <c r="S449" i="5" s="1"/>
  <c r="R663" i="5"/>
  <c r="S663" i="5" s="1"/>
  <c r="R698" i="5"/>
  <c r="S698" i="5" s="1"/>
  <c r="R700" i="5"/>
  <c r="S700" i="5" s="1"/>
  <c r="R704" i="5"/>
  <c r="S704" i="5" s="1"/>
  <c r="R706" i="5"/>
  <c r="S706" i="5" s="1"/>
  <c r="R134" i="5"/>
  <c r="S134" i="5" s="1"/>
  <c r="R174" i="5"/>
  <c r="S174" i="5" s="1"/>
  <c r="R222" i="5"/>
  <c r="S222" i="5" s="1"/>
  <c r="R235" i="5"/>
  <c r="S235" i="5" s="1"/>
  <c r="R259" i="5"/>
  <c r="S259" i="5" s="1"/>
  <c r="R322" i="5"/>
  <c r="S322" i="5" s="1"/>
  <c r="R336" i="5"/>
  <c r="S336" i="5" s="1"/>
  <c r="R338" i="5"/>
  <c r="S338" i="5" s="1"/>
  <c r="R448" i="5"/>
  <c r="S448" i="5" s="1"/>
  <c r="R530" i="5"/>
  <c r="S530" i="5" s="1"/>
  <c r="R532" i="5"/>
  <c r="S532" i="5" s="1"/>
  <c r="R565" i="5"/>
  <c r="S565" i="5" s="1"/>
  <c r="R674" i="5"/>
  <c r="S674" i="5" s="1"/>
  <c r="R99" i="5"/>
  <c r="S99" i="5" s="1"/>
  <c r="R101" i="5"/>
  <c r="S101" i="5" s="1"/>
  <c r="R102" i="5"/>
  <c r="S102" i="5" s="1"/>
  <c r="R127" i="5"/>
  <c r="S127" i="5" s="1"/>
  <c r="R453" i="5"/>
  <c r="S453" i="5" s="1"/>
  <c r="R457" i="5"/>
  <c r="S457" i="5" s="1"/>
  <c r="R611" i="5"/>
  <c r="S611" i="5" s="1"/>
  <c r="R667" i="5"/>
  <c r="S667" i="5" s="1"/>
  <c r="R386" i="5"/>
  <c r="S386" i="5" s="1"/>
  <c r="R602" i="5"/>
  <c r="S602" i="5" s="1"/>
  <c r="R118" i="5"/>
  <c r="S118" i="5" s="1"/>
  <c r="R143" i="5"/>
  <c r="S143" i="5" s="1"/>
  <c r="R145" i="5"/>
  <c r="S145" i="5" s="1"/>
  <c r="R147" i="5"/>
  <c r="S147" i="5" s="1"/>
  <c r="R149" i="5"/>
  <c r="S149" i="5" s="1"/>
  <c r="R151" i="5"/>
  <c r="S151" i="5" s="1"/>
  <c r="R153" i="5"/>
  <c r="S153" i="5" s="1"/>
  <c r="R155" i="5"/>
  <c r="S155" i="5" s="1"/>
  <c r="R173" i="5"/>
  <c r="S173" i="5" s="1"/>
  <c r="R175" i="5"/>
  <c r="S175" i="5" s="1"/>
  <c r="R184" i="5"/>
  <c r="S184" i="5" s="1"/>
  <c r="R201" i="5"/>
  <c r="S201" i="5" s="1"/>
  <c r="R203" i="5"/>
  <c r="S203" i="5" s="1"/>
  <c r="R244" i="5"/>
  <c r="S244" i="5" s="1"/>
  <c r="R316" i="5"/>
  <c r="S316" i="5" s="1"/>
  <c r="R327" i="5"/>
  <c r="S327" i="5" s="1"/>
  <c r="R333" i="5"/>
  <c r="S333" i="5" s="1"/>
  <c r="R344" i="5"/>
  <c r="S344" i="5" s="1"/>
  <c r="R379" i="5"/>
  <c r="S379" i="5" s="1"/>
  <c r="R392" i="5"/>
  <c r="S392" i="5" s="1"/>
  <c r="R260" i="5"/>
  <c r="S260" i="5" s="1"/>
  <c r="R438" i="5"/>
  <c r="S438" i="5" s="1"/>
  <c r="R445" i="5"/>
  <c r="S445" i="5" s="1"/>
  <c r="R462" i="5"/>
  <c r="S462" i="5" s="1"/>
  <c r="R527" i="5"/>
  <c r="S527" i="5" s="1"/>
  <c r="R529" i="5"/>
  <c r="S529" i="5" s="1"/>
  <c r="R531" i="5"/>
  <c r="S531" i="5" s="1"/>
  <c r="R594" i="5"/>
  <c r="S594" i="5" s="1"/>
  <c r="R668" i="5"/>
  <c r="S668" i="5" s="1"/>
  <c r="R681" i="5"/>
  <c r="S681" i="5" s="1"/>
  <c r="R710" i="5"/>
  <c r="S710" i="5" s="1"/>
  <c r="R716" i="5"/>
  <c r="S716" i="5" s="1"/>
  <c r="R730" i="5"/>
  <c r="S730" i="5" s="1"/>
  <c r="R763" i="5"/>
  <c r="S763" i="5" s="1"/>
  <c r="R769" i="5"/>
  <c r="S769" i="5" s="1"/>
  <c r="R30" i="5"/>
  <c r="S30" i="5" s="1"/>
  <c r="R86" i="5"/>
  <c r="S86" i="5" s="1"/>
  <c r="R116" i="5"/>
  <c r="S116" i="5" s="1"/>
  <c r="R121" i="5"/>
  <c r="S121" i="5" s="1"/>
  <c r="R124" i="5"/>
  <c r="S124" i="5" s="1"/>
  <c r="R126" i="5"/>
  <c r="S126" i="5" s="1"/>
  <c r="R130" i="5"/>
  <c r="S130" i="5" s="1"/>
  <c r="R133" i="5"/>
  <c r="S133" i="5" s="1"/>
  <c r="R170" i="5"/>
  <c r="S170" i="5" s="1"/>
  <c r="R210" i="5"/>
  <c r="S210" i="5" s="1"/>
  <c r="R216" i="5"/>
  <c r="S216" i="5" s="1"/>
  <c r="R223" i="5"/>
  <c r="S223" i="5" s="1"/>
  <c r="R234" i="5"/>
  <c r="S234" i="5" s="1"/>
  <c r="R239" i="5"/>
  <c r="S239" i="5" s="1"/>
  <c r="R257" i="5"/>
  <c r="S257" i="5" s="1"/>
  <c r="R264" i="5"/>
  <c r="S264" i="5" s="1"/>
  <c r="R277" i="5"/>
  <c r="S277" i="5" s="1"/>
  <c r="R321" i="5"/>
  <c r="S321" i="5" s="1"/>
  <c r="R323" i="5"/>
  <c r="S323" i="5" s="1"/>
  <c r="R335" i="5"/>
  <c r="S335" i="5" s="1"/>
  <c r="R337" i="5"/>
  <c r="S337" i="5" s="1"/>
  <c r="R343" i="5"/>
  <c r="S343" i="5" s="1"/>
  <c r="R345" i="5"/>
  <c r="S345" i="5" s="1"/>
  <c r="R348" i="5"/>
  <c r="S348" i="5" s="1"/>
  <c r="R441" i="5"/>
  <c r="S441" i="5" s="1"/>
  <c r="R443" i="5"/>
  <c r="S443" i="5" s="1"/>
  <c r="R451" i="5"/>
  <c r="S451" i="5" s="1"/>
  <c r="R455" i="5"/>
  <c r="S455" i="5" s="1"/>
  <c r="R507" i="5"/>
  <c r="S507" i="5" s="1"/>
  <c r="R534" i="5"/>
  <c r="S534" i="5" s="1"/>
  <c r="R564" i="5"/>
  <c r="S564" i="5" s="1"/>
  <c r="R595" i="5"/>
  <c r="S595" i="5" s="1"/>
  <c r="R604" i="5"/>
  <c r="S604" i="5" s="1"/>
  <c r="R627" i="5"/>
  <c r="S627" i="5" s="1"/>
  <c r="R641" i="5"/>
  <c r="S641" i="5" s="1"/>
  <c r="R643" i="5"/>
  <c r="S643" i="5" s="1"/>
  <c r="R645" i="5"/>
  <c r="S645" i="5" s="1"/>
  <c r="R510" i="5"/>
  <c r="S510" i="5" s="1"/>
  <c r="R513" i="5"/>
  <c r="S513" i="5" s="1"/>
  <c r="R670" i="5"/>
  <c r="S670" i="5" s="1"/>
  <c r="R687" i="5"/>
  <c r="S687" i="5" s="1"/>
  <c r="R699" i="5"/>
  <c r="S699" i="5" s="1"/>
  <c r="R703" i="5"/>
  <c r="S703" i="5" s="1"/>
  <c r="R705" i="5"/>
  <c r="S705" i="5" s="1"/>
  <c r="R712" i="5"/>
  <c r="S712" i="5" s="1"/>
  <c r="R774" i="5"/>
  <c r="S774" i="5" s="1"/>
  <c r="R777" i="5"/>
  <c r="S777" i="5" s="1"/>
  <c r="R561" i="5"/>
  <c r="S561" i="5" s="1"/>
  <c r="R596" i="5"/>
  <c r="S596" i="5" s="1"/>
  <c r="R600" i="5"/>
  <c r="S600" i="5" s="1"/>
  <c r="R664" i="5"/>
  <c r="S664" i="5" s="1"/>
  <c r="R671" i="5"/>
  <c r="S671" i="5" s="1"/>
  <c r="R729" i="5"/>
  <c r="S729" i="5" s="1"/>
  <c r="R771" i="5"/>
  <c r="S771" i="5" s="1"/>
  <c r="R798" i="5"/>
  <c r="S798" i="5" s="1"/>
  <c r="R100" i="5"/>
  <c r="S100" i="5" s="1"/>
  <c r="R129" i="5"/>
  <c r="S129" i="5" s="1"/>
  <c r="R258" i="5"/>
  <c r="S258" i="5" s="1"/>
  <c r="R263" i="5"/>
  <c r="S263" i="5" s="1"/>
  <c r="R537" i="5"/>
  <c r="S537" i="5" s="1"/>
  <c r="R539" i="5"/>
  <c r="S539" i="5" s="1"/>
  <c r="R541" i="5"/>
  <c r="S541" i="5" s="1"/>
  <c r="R544" i="5"/>
  <c r="S544" i="5" s="1"/>
  <c r="R793" i="5"/>
  <c r="S793" i="5" s="1"/>
  <c r="R497" i="5"/>
  <c r="S497" i="5" s="1"/>
  <c r="R500" i="5"/>
  <c r="S500" i="5" s="1"/>
  <c r="R503" i="5"/>
  <c r="S503" i="5" s="1"/>
  <c r="R701" i="5"/>
  <c r="S701" i="5" s="1"/>
  <c r="R718" i="5"/>
  <c r="S718" i="5" s="1"/>
  <c r="R139" i="5"/>
  <c r="S139" i="5" s="1"/>
  <c r="R141" i="5"/>
  <c r="S141" i="5" s="1"/>
  <c r="R360" i="5"/>
  <c r="S360" i="5" s="1"/>
  <c r="R362" i="5"/>
  <c r="S362" i="5" s="1"/>
  <c r="R364" i="5"/>
  <c r="S364" i="5" s="1"/>
  <c r="R176" i="5"/>
  <c r="S176" i="5" s="1"/>
  <c r="R778" i="5"/>
  <c r="S778" i="5" s="1"/>
  <c r="R31" i="5"/>
  <c r="S31" i="5" s="1"/>
  <c r="R452" i="5"/>
  <c r="S452" i="5" s="1"/>
  <c r="R447" i="5"/>
  <c r="S447" i="5" s="1"/>
  <c r="R138" i="5"/>
  <c r="S138" i="5" s="1"/>
  <c r="R140" i="5"/>
  <c r="S140" i="5" s="1"/>
  <c r="R361" i="5"/>
  <c r="S361" i="5" s="1"/>
  <c r="R363" i="5"/>
  <c r="S363" i="5" s="1"/>
  <c r="R446" i="5"/>
  <c r="S446" i="5" s="1"/>
  <c r="R496" i="5"/>
  <c r="S496" i="5" s="1"/>
  <c r="R499" i="5"/>
  <c r="S499" i="5" s="1"/>
  <c r="R562" i="5"/>
  <c r="S562" i="5" s="1"/>
  <c r="R638" i="5"/>
  <c r="S638" i="5" s="1"/>
  <c r="R675" i="5"/>
  <c r="S675" i="5" s="1"/>
  <c r="S6" i="5"/>
  <c r="R278" i="5"/>
  <c r="S278" i="5" s="1"/>
  <c r="R237" i="5"/>
  <c r="S237" i="5" s="1"/>
  <c r="P444" i="5"/>
  <c r="R444" i="5" s="1"/>
  <c r="S444" i="5" s="1"/>
  <c r="R384" i="5"/>
  <c r="S384" i="5" s="1"/>
  <c r="R575" i="5"/>
  <c r="S575" i="5" s="1"/>
  <c r="R653" i="5"/>
  <c r="S653" i="5" s="1"/>
  <c r="P695" i="5"/>
  <c r="R695" i="5" s="1"/>
  <c r="S695" i="5" s="1"/>
  <c r="R702" i="5"/>
  <c r="S702" i="5" s="1"/>
  <c r="R749" i="5"/>
  <c r="S749" i="5" s="1"/>
  <c r="R652" i="5"/>
  <c r="S652" i="5" s="1"/>
  <c r="R754" i="5"/>
  <c r="S754" i="5" s="1"/>
  <c r="P776" i="5"/>
  <c r="R776" i="5" s="1"/>
  <c r="S776" i="5" s="1"/>
  <c r="C753" i="3"/>
  <c r="N753" i="3"/>
  <c r="C749" i="3"/>
  <c r="C748" i="3"/>
  <c r="C548" i="3"/>
  <c r="C453" i="3"/>
  <c r="C369" i="3"/>
  <c r="C173" i="3"/>
  <c r="C107" i="3"/>
  <c r="C89" i="3"/>
  <c r="C84" i="3"/>
  <c r="N29" i="3"/>
  <c r="N28" i="3"/>
  <c r="N215" i="3"/>
  <c r="N214" i="3"/>
  <c r="N213" i="3"/>
  <c r="N198" i="3"/>
  <c r="N193" i="3"/>
  <c r="N186" i="3"/>
  <c r="N183" i="3"/>
  <c r="N169" i="3"/>
  <c r="N152" i="3"/>
  <c r="N140" i="3"/>
  <c r="N138" i="3"/>
  <c r="N136" i="3"/>
  <c r="N133" i="3"/>
  <c r="N108" i="3"/>
  <c r="N96" i="3"/>
  <c r="N88" i="3"/>
  <c r="N93" i="3"/>
  <c r="N44" i="3"/>
  <c r="N31" i="3"/>
  <c r="S807" i="5" l="1"/>
  <c r="S810" i="5" s="1"/>
  <c r="R807" i="5"/>
  <c r="R810" i="5" s="1"/>
  <c r="N282" i="3"/>
  <c r="N281" i="3"/>
  <c r="N708" i="3"/>
  <c r="N222" i="3"/>
  <c r="N269" i="3"/>
  <c r="N176" i="3"/>
  <c r="N173" i="3"/>
  <c r="N171" i="3"/>
  <c r="N609" i="3"/>
  <c r="N132" i="3"/>
  <c r="N455" i="3"/>
  <c r="N146" i="3"/>
  <c r="N448" i="3"/>
  <c r="N95" i="3"/>
  <c r="N320" i="3"/>
  <c r="N674" i="3"/>
  <c r="N724" i="3"/>
  <c r="N91" i="3"/>
  <c r="N573" i="3"/>
  <c r="N595" i="3"/>
  <c r="N460" i="3"/>
  <c r="N451" i="3"/>
  <c r="N802" i="3"/>
  <c r="N593" i="3"/>
  <c r="N594" i="3"/>
  <c r="N534" i="3"/>
  <c r="N402" i="3"/>
  <c r="N347" i="3"/>
  <c r="N547" i="3"/>
  <c r="N546" i="3"/>
  <c r="N548" i="3"/>
  <c r="N545" i="3"/>
  <c r="N666" i="3"/>
  <c r="N357" i="3"/>
  <c r="N172" i="3"/>
  <c r="N718" i="3"/>
  <c r="N135" i="3"/>
  <c r="N346" i="3"/>
  <c r="N356" i="3"/>
  <c r="N706" i="3" l="1"/>
  <c r="N459" i="3"/>
  <c r="N220" i="3"/>
  <c r="N107" i="3"/>
  <c r="N110" i="3"/>
  <c r="N111" i="3"/>
  <c r="N270" i="3"/>
  <c r="N161" i="3"/>
  <c r="N334" i="3"/>
  <c r="N174" i="3"/>
  <c r="N597" i="3"/>
  <c r="N807" i="3"/>
  <c r="N430" i="3"/>
  <c r="N429" i="3"/>
  <c r="N428" i="3"/>
  <c r="N438" i="3"/>
  <c r="N614" i="3"/>
  <c r="N613" i="3"/>
  <c r="N615" i="3"/>
  <c r="N578" i="3"/>
  <c r="N750" i="3"/>
  <c r="N574" i="3"/>
  <c r="N421" i="3"/>
  <c r="N117" i="3"/>
  <c r="N761" i="3"/>
  <c r="N251" i="3"/>
  <c r="N581" i="3"/>
  <c r="N101" i="3"/>
  <c r="N99" i="3"/>
  <c r="N100" i="3"/>
  <c r="N610" i="3"/>
  <c r="N367" i="3"/>
  <c r="N368" i="3"/>
  <c r="N521" i="3"/>
  <c r="N81" i="3"/>
  <c r="N84" i="3"/>
  <c r="N369" i="3"/>
  <c r="N639" i="3"/>
  <c r="N439" i="3"/>
  <c r="N520" i="3"/>
  <c r="N279" i="3"/>
  <c r="N508" i="3"/>
  <c r="N411" i="3" l="1"/>
  <c r="N151" i="3"/>
  <c r="N362" i="3"/>
  <c r="N41" i="3"/>
  <c r="N47" i="3"/>
  <c r="N331" i="3" l="1"/>
  <c r="N638" i="3"/>
  <c r="N628" i="3"/>
  <c r="N310" i="3"/>
  <c r="N159" i="3"/>
  <c r="N156" i="3"/>
  <c r="N456" i="3"/>
  <c r="N401" i="3"/>
  <c r="N543" i="3"/>
  <c r="N249" i="3"/>
  <c r="N182" i="3"/>
  <c r="N582" i="3" l="1"/>
  <c r="N757" i="3"/>
  <c r="N730" i="3"/>
  <c r="N625" i="3" l="1"/>
  <c r="N394" i="3"/>
  <c r="N276" i="3"/>
  <c r="N549" i="3"/>
  <c r="N365" i="3"/>
  <c r="N416" i="3"/>
  <c r="N155" i="3" l="1"/>
  <c r="N722" i="3"/>
  <c r="N792" i="3"/>
  <c r="N801" i="3"/>
  <c r="N636" i="3"/>
  <c r="N703" i="3"/>
  <c r="N495" i="3"/>
  <c r="N92" i="3"/>
  <c r="N106" i="3"/>
  <c r="N105" i="3"/>
  <c r="N756" i="3"/>
  <c r="N603" i="3"/>
  <c r="N271" i="3"/>
  <c r="N272" i="3"/>
  <c r="N612" i="3"/>
  <c r="N280" i="3"/>
  <c r="N129" i="3"/>
  <c r="N321" i="3"/>
  <c r="N783" i="3"/>
  <c r="N755" i="3"/>
  <c r="N712" i="3"/>
  <c r="N493" i="3"/>
  <c r="N662" i="3"/>
  <c r="N283" i="3" l="1"/>
  <c r="N660" i="3"/>
  <c r="N559" i="3"/>
  <c r="N246" i="3"/>
  <c r="N49" i="3"/>
  <c r="N358" i="3"/>
  <c r="N794" i="3"/>
  <c r="N90" i="3"/>
  <c r="N175" i="3"/>
  <c r="N449" i="3"/>
  <c r="N767" i="3"/>
  <c r="N766" i="3"/>
  <c r="N765" i="3"/>
  <c r="J185" i="3"/>
  <c r="N221" i="3"/>
  <c r="N726" i="3"/>
  <c r="N162" i="3"/>
  <c r="N788" i="3"/>
  <c r="N97" i="3"/>
  <c r="N126" i="3"/>
  <c r="N664" i="3"/>
  <c r="N85" i="3"/>
  <c r="N385" i="3"/>
  <c r="N290" i="3" l="1"/>
  <c r="N464" i="3"/>
  <c r="N465" i="3"/>
  <c r="N314" i="3"/>
  <c r="N248" i="3"/>
  <c r="N748" i="3"/>
  <c r="N601" i="3"/>
  <c r="N790" i="3"/>
  <c r="N366" i="3"/>
  <c r="N384" i="3"/>
  <c r="J140" i="3"/>
  <c r="N160" i="3"/>
  <c r="N760" i="3" l="1"/>
  <c r="N710" i="3" l="1"/>
  <c r="N86" i="3" l="1"/>
  <c r="N584" i="3"/>
  <c r="N48" i="3"/>
  <c r="N653" i="3"/>
  <c r="N463" i="3"/>
  <c r="N635" i="3" l="1"/>
  <c r="N27" i="3"/>
  <c r="N142" i="3" l="1"/>
  <c r="N260" i="3"/>
  <c r="N383" i="3"/>
  <c r="N629" i="3"/>
  <c r="J573" i="3" l="1"/>
  <c r="N738" i="3"/>
  <c r="N737" i="3"/>
  <c r="N577" i="3" l="1"/>
  <c r="N462" i="3"/>
  <c r="N104" i="3"/>
  <c r="N199" i="3"/>
  <c r="N752" i="3"/>
  <c r="N355" i="3"/>
  <c r="E703" i="3"/>
  <c r="P689" i="3"/>
  <c r="R689" i="3" s="1"/>
  <c r="S689" i="3" s="1"/>
  <c r="N519" i="3"/>
  <c r="E520" i="3"/>
  <c r="E578" i="3"/>
  <c r="P578" i="3"/>
  <c r="R578" i="3" s="1"/>
  <c r="S578" i="3" s="1"/>
  <c r="E582" i="3"/>
  <c r="E581" i="3"/>
  <c r="N580" i="3" l="1"/>
  <c r="C418" i="3" l="1"/>
  <c r="P169" i="3"/>
  <c r="R169" i="3" s="1"/>
  <c r="S169" i="3" s="1"/>
  <c r="E193" i="3"/>
  <c r="E310" i="3"/>
  <c r="E521" i="3"/>
  <c r="E101" i="3"/>
  <c r="E100" i="3"/>
  <c r="E99" i="3"/>
  <c r="E282" i="3"/>
  <c r="P795" i="3" l="1"/>
  <c r="R795" i="3" s="1"/>
  <c r="S795" i="3" s="1"/>
  <c r="P793" i="3"/>
  <c r="R793" i="3" s="1"/>
  <c r="S793" i="3" s="1"/>
  <c r="P419" i="3"/>
  <c r="R419" i="3" s="1"/>
  <c r="S419" i="3" s="1"/>
  <c r="E172" i="3"/>
  <c r="E171" i="3"/>
  <c r="C219" i="3"/>
  <c r="E146" i="3"/>
  <c r="P442" i="3"/>
  <c r="R442" i="3" s="1"/>
  <c r="S442" i="3" s="1"/>
  <c r="E175" i="3"/>
  <c r="E794" i="3"/>
  <c r="P36" i="3"/>
  <c r="R36" i="3" s="1"/>
  <c r="S36" i="3" s="1"/>
  <c r="P35" i="3"/>
  <c r="R35" i="3" s="1"/>
  <c r="S35" i="3" s="1"/>
  <c r="P177" i="3"/>
  <c r="R177" i="3" s="1"/>
  <c r="S177" i="3" s="1"/>
  <c r="P368" i="3"/>
  <c r="R368" i="3" s="1"/>
  <c r="S368" i="3" s="1"/>
  <c r="P418" i="3"/>
  <c r="R418" i="3" s="1"/>
  <c r="S418" i="3" s="1"/>
  <c r="C416" i="3"/>
  <c r="E680" i="3"/>
  <c r="P103" i="3"/>
  <c r="R103" i="3" s="1"/>
  <c r="S103" i="3" s="1"/>
  <c r="E792" i="3"/>
  <c r="P414" i="3"/>
  <c r="R414" i="3" s="1"/>
  <c r="S414" i="3" s="1"/>
  <c r="E281" i="3"/>
  <c r="P581" i="3"/>
  <c r="R581" i="3" s="1"/>
  <c r="S581" i="3" s="1"/>
  <c r="P520" i="3"/>
  <c r="R520" i="3" s="1"/>
  <c r="S520" i="3" s="1"/>
  <c r="E218" i="3"/>
  <c r="C417" i="3"/>
  <c r="P521" i="3"/>
  <c r="R521" i="3" s="1"/>
  <c r="S521" i="3" s="1"/>
  <c r="E88" i="3" l="1"/>
  <c r="J681" i="3"/>
  <c r="P20" i="3" l="1"/>
  <c r="R20" i="3" s="1"/>
  <c r="S20" i="3" s="1"/>
  <c r="P144" i="3"/>
  <c r="J144" i="3"/>
  <c r="P121" i="3"/>
  <c r="R121" i="3" s="1"/>
  <c r="S121" i="3" s="1"/>
  <c r="P207" i="3"/>
  <c r="R207" i="3" s="1"/>
  <c r="S207" i="3" s="1"/>
  <c r="P88" i="3"/>
  <c r="R88" i="3" s="1"/>
  <c r="S88" i="3" s="1"/>
  <c r="E129" i="3"/>
  <c r="P129" i="3" s="1"/>
  <c r="R129" i="3" s="1"/>
  <c r="S129" i="3" s="1"/>
  <c r="E386" i="3"/>
  <c r="E495" i="3"/>
  <c r="P495" i="3" s="1"/>
  <c r="R495" i="3" s="1"/>
  <c r="S495" i="3" s="1"/>
  <c r="P615" i="3"/>
  <c r="R615" i="3" s="1"/>
  <c r="S615" i="3" s="1"/>
  <c r="P614" i="3"/>
  <c r="R614" i="3" s="1"/>
  <c r="S614" i="3" s="1"/>
  <c r="P613" i="3"/>
  <c r="R613" i="3" s="1"/>
  <c r="S613" i="3" s="1"/>
  <c r="R144" i="3" l="1"/>
  <c r="S144" i="3" s="1"/>
  <c r="P617" i="3"/>
  <c r="R617" i="3" s="1"/>
  <c r="S617" i="3" s="1"/>
  <c r="P619" i="3"/>
  <c r="R619" i="3" s="1"/>
  <c r="S619" i="3" s="1"/>
  <c r="P616" i="3"/>
  <c r="R616" i="3" s="1"/>
  <c r="S616" i="3" s="1"/>
  <c r="P620" i="3"/>
  <c r="R620" i="3" s="1"/>
  <c r="S620" i="3" s="1"/>
  <c r="P618" i="3"/>
  <c r="R618" i="3" s="1"/>
  <c r="S618" i="3" s="1"/>
  <c r="P49" i="3"/>
  <c r="R49" i="3" s="1"/>
  <c r="S49" i="3" s="1"/>
  <c r="E451" i="3"/>
  <c r="E455" i="3"/>
  <c r="E214" i="3" l="1"/>
  <c r="E183" i="3"/>
  <c r="E132" i="3"/>
  <c r="J599" i="3"/>
  <c r="P599" i="3"/>
  <c r="E597" i="3"/>
  <c r="E139" i="3"/>
  <c r="E454" i="3"/>
  <c r="E460" i="3"/>
  <c r="J190" i="3"/>
  <c r="P190" i="3"/>
  <c r="J188" i="3"/>
  <c r="J187" i="3"/>
  <c r="P187" i="3"/>
  <c r="J184" i="3"/>
  <c r="J183" i="3"/>
  <c r="P183" i="3"/>
  <c r="E595" i="3"/>
  <c r="J643" i="3"/>
  <c r="E152" i="3"/>
  <c r="J640" i="3"/>
  <c r="P640" i="3"/>
  <c r="J738" i="3"/>
  <c r="P738" i="3"/>
  <c r="E756" i="3"/>
  <c r="E573" i="3"/>
  <c r="J636" i="3"/>
  <c r="P636" i="3"/>
  <c r="J603" i="3"/>
  <c r="E347" i="3"/>
  <c r="E105" i="3"/>
  <c r="E272" i="3"/>
  <c r="E271" i="3"/>
  <c r="E594" i="3"/>
  <c r="R738" i="3" l="1"/>
  <c r="S738" i="3" s="1"/>
  <c r="R599" i="3"/>
  <c r="S599" i="3" s="1"/>
  <c r="R640" i="3"/>
  <c r="S640" i="3" s="1"/>
  <c r="R190" i="3"/>
  <c r="S190" i="3" s="1"/>
  <c r="R187" i="3"/>
  <c r="S187" i="3" s="1"/>
  <c r="R183" i="3"/>
  <c r="S183" i="3" s="1"/>
  <c r="R636" i="3"/>
  <c r="S636" i="3" s="1"/>
  <c r="J23" i="3" l="1"/>
  <c r="P23" i="3"/>
  <c r="J454" i="3"/>
  <c r="P453" i="3"/>
  <c r="J453" i="3"/>
  <c r="P463" i="3"/>
  <c r="J463" i="3"/>
  <c r="E357" i="3"/>
  <c r="E270" i="3"/>
  <c r="E222" i="3"/>
  <c r="R463" i="3" l="1"/>
  <c r="S463" i="3" s="1"/>
  <c r="R453" i="3"/>
  <c r="S453" i="3" s="1"/>
  <c r="R23" i="3"/>
  <c r="S23" i="3" s="1"/>
  <c r="E535" i="3"/>
  <c r="P776" i="3"/>
  <c r="J776" i="3"/>
  <c r="E783" i="3"/>
  <c r="J372" i="3"/>
  <c r="E718" i="3"/>
  <c r="E402" i="3"/>
  <c r="E593" i="3"/>
  <c r="E802" i="3"/>
  <c r="E801" i="3"/>
  <c r="J271" i="3"/>
  <c r="P271" i="3"/>
  <c r="J560" i="3"/>
  <c r="E92" i="3"/>
  <c r="E213" i="3"/>
  <c r="J713" i="3"/>
  <c r="P713" i="3"/>
  <c r="J222" i="3"/>
  <c r="P222" i="3"/>
  <c r="J596" i="3"/>
  <c r="J139" i="3"/>
  <c r="P138" i="3"/>
  <c r="J138" i="3"/>
  <c r="J802" i="3"/>
  <c r="R776" i="3" l="1"/>
  <c r="S776" i="3" s="1"/>
  <c r="R271" i="3"/>
  <c r="S271" i="3" s="1"/>
  <c r="R713" i="3"/>
  <c r="S713" i="3" s="1"/>
  <c r="R222" i="3"/>
  <c r="S222" i="3" s="1"/>
  <c r="R138" i="3"/>
  <c r="S138" i="3" s="1"/>
  <c r="J801" i="3" l="1"/>
  <c r="J800" i="3"/>
  <c r="P800" i="3"/>
  <c r="J402" i="3"/>
  <c r="P402" i="3"/>
  <c r="J401" i="3"/>
  <c r="J537" i="3"/>
  <c r="P537" i="3"/>
  <c r="J535" i="3"/>
  <c r="P534" i="3"/>
  <c r="J534" i="3"/>
  <c r="E356" i="3"/>
  <c r="E136" i="3"/>
  <c r="P136" i="3" s="1"/>
  <c r="J249" i="3"/>
  <c r="P249" i="3"/>
  <c r="J245" i="3"/>
  <c r="J105" i="3"/>
  <c r="P105" i="3"/>
  <c r="J136" i="3"/>
  <c r="E134" i="3"/>
  <c r="P134" i="3" s="1"/>
  <c r="J709" i="3"/>
  <c r="P709" i="3"/>
  <c r="E456" i="3"/>
  <c r="J134" i="3"/>
  <c r="E461" i="3"/>
  <c r="J505" i="3"/>
  <c r="P505" i="3"/>
  <c r="E334" i="3"/>
  <c r="E445" i="3"/>
  <c r="J370" i="3"/>
  <c r="J756" i="3"/>
  <c r="P756" i="3"/>
  <c r="R402" i="3" l="1"/>
  <c r="S402" i="3" s="1"/>
  <c r="R534" i="3"/>
  <c r="S534" i="3" s="1"/>
  <c r="R800" i="3"/>
  <c r="S800" i="3" s="1"/>
  <c r="R537" i="3"/>
  <c r="S537" i="3" s="1"/>
  <c r="R249" i="3"/>
  <c r="S249" i="3" s="1"/>
  <c r="R105" i="3"/>
  <c r="S105" i="3" s="1"/>
  <c r="R136" i="3"/>
  <c r="S136" i="3" s="1"/>
  <c r="R709" i="3"/>
  <c r="S709" i="3" s="1"/>
  <c r="R134" i="3"/>
  <c r="S134" i="3" s="1"/>
  <c r="R505" i="3"/>
  <c r="S505" i="3" s="1"/>
  <c r="R756" i="3"/>
  <c r="S756" i="3" s="1"/>
  <c r="J527" i="3" l="1"/>
  <c r="J11" i="3"/>
  <c r="J448" i="3"/>
  <c r="J461" i="3"/>
  <c r="J445" i="3"/>
  <c r="P444" i="3"/>
  <c r="R444" i="3" s="1"/>
  <c r="S444" i="3" s="1"/>
  <c r="E204" i="2" l="1"/>
  <c r="C123" i="2"/>
  <c r="E123" i="2"/>
  <c r="R816" i="3" l="1"/>
  <c r="P811" i="3" l="1"/>
  <c r="R811" i="3" s="1"/>
  <c r="S811" i="3" s="1"/>
  <c r="P808" i="3"/>
  <c r="R808" i="3" s="1"/>
  <c r="S808" i="3" s="1"/>
  <c r="P807" i="3"/>
  <c r="R807" i="3" s="1"/>
  <c r="S807" i="3" s="1"/>
  <c r="P806" i="3"/>
  <c r="J806" i="3"/>
  <c r="P805" i="3"/>
  <c r="J805" i="3"/>
  <c r="P804" i="3"/>
  <c r="J804" i="3"/>
  <c r="P803" i="3"/>
  <c r="R803" i="3" s="1"/>
  <c r="S803" i="3" s="1"/>
  <c r="P802" i="3"/>
  <c r="P799" i="3"/>
  <c r="R799" i="3" s="1"/>
  <c r="S799" i="3" s="1"/>
  <c r="P798" i="3"/>
  <c r="R798" i="3" s="1"/>
  <c r="S798" i="3" s="1"/>
  <c r="P797" i="3"/>
  <c r="R797" i="3" s="1"/>
  <c r="S797" i="3" s="1"/>
  <c r="P796" i="3"/>
  <c r="R796" i="3" s="1"/>
  <c r="S796" i="3" s="1"/>
  <c r="P791" i="3"/>
  <c r="R791" i="3" s="1"/>
  <c r="S791" i="3" s="1"/>
  <c r="P790" i="3"/>
  <c r="R790" i="3" s="1"/>
  <c r="S790" i="3" s="1"/>
  <c r="P789" i="3"/>
  <c r="R789" i="3" s="1"/>
  <c r="S789" i="3" s="1"/>
  <c r="P788" i="3"/>
  <c r="R788" i="3" s="1"/>
  <c r="S788" i="3" s="1"/>
  <c r="P785" i="3"/>
  <c r="J785" i="3"/>
  <c r="P784" i="3"/>
  <c r="J784" i="3"/>
  <c r="P783" i="3"/>
  <c r="J783" i="3"/>
  <c r="P782" i="3"/>
  <c r="J782" i="3"/>
  <c r="P781" i="3"/>
  <c r="J781" i="3"/>
  <c r="S780" i="3"/>
  <c r="P779" i="3"/>
  <c r="J779" i="3"/>
  <c r="P778" i="3"/>
  <c r="J778" i="3"/>
  <c r="P777" i="3"/>
  <c r="J777" i="3"/>
  <c r="P775" i="3"/>
  <c r="J775" i="3"/>
  <c r="P773" i="3"/>
  <c r="R773" i="3" s="1"/>
  <c r="S773" i="3" s="1"/>
  <c r="P772" i="3"/>
  <c r="R772" i="3" s="1"/>
  <c r="S772" i="3" s="1"/>
  <c r="P771" i="3"/>
  <c r="J771" i="3"/>
  <c r="P770" i="3"/>
  <c r="J770" i="3"/>
  <c r="P769" i="3"/>
  <c r="R769" i="3" s="1"/>
  <c r="S769" i="3" s="1"/>
  <c r="P768" i="3"/>
  <c r="R768" i="3" s="1"/>
  <c r="S768" i="3" s="1"/>
  <c r="P767" i="3"/>
  <c r="R767" i="3" s="1"/>
  <c r="S767" i="3" s="1"/>
  <c r="P766" i="3"/>
  <c r="R766" i="3" s="1"/>
  <c r="S766" i="3" s="1"/>
  <c r="P765" i="3"/>
  <c r="R765" i="3" s="1"/>
  <c r="S765" i="3" s="1"/>
  <c r="P761" i="3"/>
  <c r="J761" i="3"/>
  <c r="P760" i="3"/>
  <c r="J760" i="3"/>
  <c r="P759" i="3"/>
  <c r="R759" i="3" s="1"/>
  <c r="S759" i="3" s="1"/>
  <c r="P758" i="3"/>
  <c r="R758" i="3" s="1"/>
  <c r="S758" i="3" s="1"/>
  <c r="P757" i="3"/>
  <c r="J757" i="3"/>
  <c r="P755" i="3"/>
  <c r="J755" i="3"/>
  <c r="P754" i="3"/>
  <c r="R754" i="3" s="1"/>
  <c r="S754" i="3" s="1"/>
  <c r="P747" i="3"/>
  <c r="R747" i="3" s="1"/>
  <c r="S747" i="3" s="1"/>
  <c r="P746" i="3"/>
  <c r="R746" i="3" s="1"/>
  <c r="S746" i="3" s="1"/>
  <c r="P745" i="3"/>
  <c r="R745" i="3" s="1"/>
  <c r="S745" i="3" s="1"/>
  <c r="P750" i="3"/>
  <c r="R750" i="3" s="1"/>
  <c r="S750" i="3" s="1"/>
  <c r="P749" i="3"/>
  <c r="R749" i="3" s="1"/>
  <c r="S749" i="3" s="1"/>
  <c r="P744" i="3"/>
  <c r="R744" i="3" s="1"/>
  <c r="S744" i="3" s="1"/>
  <c r="P741" i="3"/>
  <c r="R741" i="3" s="1"/>
  <c r="S741" i="3" s="1"/>
  <c r="P740" i="3"/>
  <c r="R740" i="3" s="1"/>
  <c r="S740" i="3" s="1"/>
  <c r="J739" i="3"/>
  <c r="P737" i="3"/>
  <c r="J737" i="3"/>
  <c r="P736" i="3"/>
  <c r="J736" i="3"/>
  <c r="P735" i="3"/>
  <c r="R735" i="3" s="1"/>
  <c r="S735" i="3" s="1"/>
  <c r="P734" i="3"/>
  <c r="R734" i="3" s="1"/>
  <c r="S734" i="3" s="1"/>
  <c r="P733" i="3"/>
  <c r="R733" i="3" s="1"/>
  <c r="S733" i="3" s="1"/>
  <c r="P731" i="3"/>
  <c r="R731" i="3" s="1"/>
  <c r="S731" i="3" s="1"/>
  <c r="P730" i="3"/>
  <c r="R730" i="3" s="1"/>
  <c r="S730" i="3" s="1"/>
  <c r="P729" i="3"/>
  <c r="R729" i="3" s="1"/>
  <c r="S729" i="3" s="1"/>
  <c r="P728" i="3"/>
  <c r="R728" i="3" s="1"/>
  <c r="S728" i="3" s="1"/>
  <c r="P727" i="3"/>
  <c r="R727" i="3" s="1"/>
  <c r="S727" i="3" s="1"/>
  <c r="P726" i="3"/>
  <c r="R726" i="3" s="1"/>
  <c r="S726" i="3" s="1"/>
  <c r="P725" i="3"/>
  <c r="J725" i="3"/>
  <c r="P724" i="3"/>
  <c r="J724" i="3"/>
  <c r="P723" i="3"/>
  <c r="J723" i="3"/>
  <c r="P722" i="3"/>
  <c r="J722" i="3"/>
  <c r="P721" i="3"/>
  <c r="R721" i="3" s="1"/>
  <c r="S721" i="3" s="1"/>
  <c r="P720" i="3"/>
  <c r="J720" i="3"/>
  <c r="P719" i="3"/>
  <c r="J719" i="3"/>
  <c r="J718" i="3"/>
  <c r="P717" i="3"/>
  <c r="J717" i="3"/>
  <c r="P716" i="3"/>
  <c r="J716" i="3"/>
  <c r="P715" i="3"/>
  <c r="R715" i="3" s="1"/>
  <c r="S715" i="3" s="1"/>
  <c r="P714" i="3"/>
  <c r="J714" i="3"/>
  <c r="P712" i="3"/>
  <c r="J712" i="3"/>
  <c r="P711" i="3"/>
  <c r="J711" i="3"/>
  <c r="P710" i="3"/>
  <c r="J710" i="3"/>
  <c r="P708" i="3"/>
  <c r="J708" i="3"/>
  <c r="P707" i="3"/>
  <c r="J707" i="3"/>
  <c r="J706" i="3"/>
  <c r="P705" i="3"/>
  <c r="R705" i="3" s="1"/>
  <c r="S705" i="3" s="1"/>
  <c r="P704" i="3"/>
  <c r="R704" i="3" s="1"/>
  <c r="S704" i="3" s="1"/>
  <c r="P703" i="3"/>
  <c r="R703" i="3" s="1"/>
  <c r="S703" i="3" s="1"/>
  <c r="P702" i="3"/>
  <c r="R702" i="3" s="1"/>
  <c r="S702" i="3" s="1"/>
  <c r="P701" i="3"/>
  <c r="R701" i="3" s="1"/>
  <c r="S701" i="3" s="1"/>
  <c r="P700" i="3"/>
  <c r="R700" i="3" s="1"/>
  <c r="S700" i="3" s="1"/>
  <c r="P699" i="3"/>
  <c r="R699" i="3" s="1"/>
  <c r="S699" i="3" s="1"/>
  <c r="P698" i="3"/>
  <c r="R698" i="3" s="1"/>
  <c r="S698" i="3" s="1"/>
  <c r="P697" i="3"/>
  <c r="R697" i="3" s="1"/>
  <c r="S697" i="3" s="1"/>
  <c r="P696" i="3"/>
  <c r="J696" i="3"/>
  <c r="P694" i="3"/>
  <c r="R694" i="3" s="1"/>
  <c r="S694" i="3" s="1"/>
  <c r="P691" i="3"/>
  <c r="J691" i="3"/>
  <c r="P690" i="3"/>
  <c r="R690" i="3" s="1"/>
  <c r="S690" i="3" s="1"/>
  <c r="P685" i="3"/>
  <c r="J685" i="3"/>
  <c r="P684" i="3"/>
  <c r="J684" i="3"/>
  <c r="P683" i="3"/>
  <c r="R683" i="3" s="1"/>
  <c r="S683" i="3" s="1"/>
  <c r="P682" i="3"/>
  <c r="J682" i="3"/>
  <c r="P681" i="3"/>
  <c r="P680" i="3"/>
  <c r="J680" i="3"/>
  <c r="P678" i="3"/>
  <c r="J678" i="3"/>
  <c r="P677" i="3"/>
  <c r="J677" i="3"/>
  <c r="P676" i="3"/>
  <c r="R676" i="3" s="1"/>
  <c r="S676" i="3" s="1"/>
  <c r="P675" i="3"/>
  <c r="R675" i="3" s="1"/>
  <c r="S675" i="3" s="1"/>
  <c r="P674" i="3"/>
  <c r="J674" i="3"/>
  <c r="P673" i="3"/>
  <c r="J673" i="3"/>
  <c r="P672" i="3"/>
  <c r="R672" i="3" s="1"/>
  <c r="S672" i="3" s="1"/>
  <c r="P671" i="3"/>
  <c r="R671" i="3" s="1"/>
  <c r="S671" i="3" s="1"/>
  <c r="P667" i="3"/>
  <c r="R667" i="3" s="1"/>
  <c r="S667" i="3" s="1"/>
  <c r="P666" i="3"/>
  <c r="R666" i="3" s="1"/>
  <c r="S666" i="3" s="1"/>
  <c r="P665" i="3"/>
  <c r="R665" i="3" s="1"/>
  <c r="S665" i="3" s="1"/>
  <c r="P664" i="3"/>
  <c r="R664" i="3" s="1"/>
  <c r="S664" i="3" s="1"/>
  <c r="P663" i="3"/>
  <c r="J663" i="3"/>
  <c r="P662" i="3"/>
  <c r="J662" i="3"/>
  <c r="P661" i="3"/>
  <c r="R661" i="3" s="1"/>
  <c r="S661" i="3" s="1"/>
  <c r="P657" i="3"/>
  <c r="R657" i="3" s="1"/>
  <c r="S657" i="3" s="1"/>
  <c r="P656" i="3"/>
  <c r="R656" i="3" s="1"/>
  <c r="S656" i="3" s="1"/>
  <c r="P655" i="3"/>
  <c r="R655" i="3" s="1"/>
  <c r="S655" i="3" s="1"/>
  <c r="P654" i="3"/>
  <c r="R654" i="3" s="1"/>
  <c r="S654" i="3" s="1"/>
  <c r="P653" i="3"/>
  <c r="R653" i="3" s="1"/>
  <c r="S653" i="3" s="1"/>
  <c r="J651" i="3"/>
  <c r="P649" i="3"/>
  <c r="J649" i="3"/>
  <c r="J648" i="3"/>
  <c r="P648" i="3"/>
  <c r="P644" i="3"/>
  <c r="J644" i="3"/>
  <c r="P643" i="3"/>
  <c r="P642" i="3"/>
  <c r="J642" i="3"/>
  <c r="P641" i="3"/>
  <c r="J641" i="3"/>
  <c r="P639" i="3"/>
  <c r="J639" i="3"/>
  <c r="P638" i="3"/>
  <c r="J638" i="3"/>
  <c r="P637" i="3"/>
  <c r="J637" i="3"/>
  <c r="J635" i="3"/>
  <c r="J634" i="3"/>
  <c r="P633" i="3"/>
  <c r="R633" i="3" s="1"/>
  <c r="S633" i="3" s="1"/>
  <c r="P631" i="3"/>
  <c r="R631" i="3" s="1"/>
  <c r="S631" i="3" s="1"/>
  <c r="P630" i="3"/>
  <c r="R630" i="3" s="1"/>
  <c r="S630" i="3" s="1"/>
  <c r="P629" i="3"/>
  <c r="R629" i="3" s="1"/>
  <c r="S629" i="3" s="1"/>
  <c r="P628" i="3"/>
  <c r="R628" i="3" s="1"/>
  <c r="S628" i="3" s="1"/>
  <c r="P625" i="3"/>
  <c r="J625" i="3"/>
  <c r="P624" i="3"/>
  <c r="R624" i="3" s="1"/>
  <c r="S624" i="3" s="1"/>
  <c r="P612" i="3"/>
  <c r="R612" i="3" s="1"/>
  <c r="S612" i="3" s="1"/>
  <c r="P611" i="3"/>
  <c r="R611" i="3" s="1"/>
  <c r="S611" i="3" s="1"/>
  <c r="P610" i="3"/>
  <c r="J610" i="3"/>
  <c r="P608" i="3"/>
  <c r="R608" i="3" s="1"/>
  <c r="S608" i="3" s="1"/>
  <c r="P607" i="3"/>
  <c r="R607" i="3" s="1"/>
  <c r="S607" i="3" s="1"/>
  <c r="P604" i="3"/>
  <c r="R604" i="3" s="1"/>
  <c r="S604" i="3" s="1"/>
  <c r="P603" i="3"/>
  <c r="P602" i="3"/>
  <c r="J602" i="3"/>
  <c r="P596" i="3"/>
  <c r="R596" i="3" s="1"/>
  <c r="S596" i="3" s="1"/>
  <c r="P601" i="3"/>
  <c r="J601" i="3"/>
  <c r="J600" i="3"/>
  <c r="P598" i="3"/>
  <c r="J598" i="3"/>
  <c r="P597" i="3"/>
  <c r="J597" i="3"/>
  <c r="J595" i="3"/>
  <c r="J594" i="3"/>
  <c r="J593" i="3"/>
  <c r="P592" i="3"/>
  <c r="R592" i="3" s="1"/>
  <c r="S592" i="3" s="1"/>
  <c r="P591" i="3"/>
  <c r="R591" i="3" s="1"/>
  <c r="S591" i="3" s="1"/>
  <c r="P590" i="3"/>
  <c r="R590" i="3" s="1"/>
  <c r="S590" i="3" s="1"/>
  <c r="P589" i="3"/>
  <c r="R589" i="3" s="1"/>
  <c r="S589" i="3" s="1"/>
  <c r="P588" i="3"/>
  <c r="R588" i="3" s="1"/>
  <c r="S588" i="3" s="1"/>
  <c r="P587" i="3"/>
  <c r="R587" i="3" s="1"/>
  <c r="S587" i="3" s="1"/>
  <c r="P583" i="3"/>
  <c r="R583" i="3" s="1"/>
  <c r="S583" i="3" s="1"/>
  <c r="P582" i="3"/>
  <c r="R582" i="3" s="1"/>
  <c r="S582" i="3" s="1"/>
  <c r="P580" i="3"/>
  <c r="R580" i="3" s="1"/>
  <c r="S580" i="3" s="1"/>
  <c r="P579" i="3"/>
  <c r="R579" i="3" s="1"/>
  <c r="S579" i="3" s="1"/>
  <c r="P575" i="3"/>
  <c r="R575" i="3" s="1"/>
  <c r="S575" i="3" s="1"/>
  <c r="P574" i="3"/>
  <c r="R574" i="3" s="1"/>
  <c r="S574" i="3" s="1"/>
  <c r="P573" i="3"/>
  <c r="P572" i="3"/>
  <c r="R572" i="3" s="1"/>
  <c r="S572" i="3" s="1"/>
  <c r="P571" i="3"/>
  <c r="R571" i="3" s="1"/>
  <c r="S571" i="3" s="1"/>
  <c r="P569" i="3"/>
  <c r="R569" i="3" s="1"/>
  <c r="S569" i="3" s="1"/>
  <c r="P568" i="3"/>
  <c r="R568" i="3" s="1"/>
  <c r="S568" i="3" s="1"/>
  <c r="P566" i="3"/>
  <c r="R566" i="3" s="1"/>
  <c r="S566" i="3" s="1"/>
  <c r="P565" i="3"/>
  <c r="R565" i="3" s="1"/>
  <c r="S565" i="3" s="1"/>
  <c r="P564" i="3"/>
  <c r="R564" i="3" s="1"/>
  <c r="S564" i="3" s="1"/>
  <c r="P563" i="3"/>
  <c r="J563" i="3"/>
  <c r="P562" i="3"/>
  <c r="J562" i="3"/>
  <c r="P561" i="3"/>
  <c r="R561" i="3" s="1"/>
  <c r="S561" i="3" s="1"/>
  <c r="P559" i="3"/>
  <c r="J559" i="3"/>
  <c r="P558" i="3"/>
  <c r="R558" i="3" s="1"/>
  <c r="S558" i="3" s="1"/>
  <c r="P557" i="3"/>
  <c r="R557" i="3" s="1"/>
  <c r="S557" i="3" s="1"/>
  <c r="P556" i="3"/>
  <c r="R556" i="3" s="1"/>
  <c r="S556" i="3" s="1"/>
  <c r="P555" i="3"/>
  <c r="R555" i="3" s="1"/>
  <c r="S555" i="3" s="1"/>
  <c r="P554" i="3"/>
  <c r="R554" i="3" s="1"/>
  <c r="S554" i="3" s="1"/>
  <c r="P552" i="3"/>
  <c r="R552" i="3" s="1"/>
  <c r="S552" i="3" s="1"/>
  <c r="P551" i="3"/>
  <c r="J551" i="3"/>
  <c r="P549" i="3"/>
  <c r="R549" i="3" s="1"/>
  <c r="S549" i="3" s="1"/>
  <c r="P548" i="3"/>
  <c r="R548" i="3" s="1"/>
  <c r="S548" i="3" s="1"/>
  <c r="P547" i="3"/>
  <c r="R547" i="3" s="1"/>
  <c r="S547" i="3" s="1"/>
  <c r="P546" i="3"/>
  <c r="R546" i="3" s="1"/>
  <c r="S546" i="3" s="1"/>
  <c r="P545" i="3"/>
  <c r="R545" i="3" s="1"/>
  <c r="S545" i="3" s="1"/>
  <c r="P543" i="3"/>
  <c r="R543" i="3" s="1"/>
  <c r="S543" i="3" s="1"/>
  <c r="P542" i="3"/>
  <c r="J542" i="3"/>
  <c r="P541" i="3"/>
  <c r="J541" i="3"/>
  <c r="P540" i="3"/>
  <c r="J540" i="3"/>
  <c r="P539" i="3"/>
  <c r="J539" i="3"/>
  <c r="P538" i="3"/>
  <c r="J538" i="3"/>
  <c r="P536" i="3"/>
  <c r="J536" i="3"/>
  <c r="P535" i="3"/>
  <c r="P533" i="3"/>
  <c r="J533" i="3"/>
  <c r="P532" i="3"/>
  <c r="R532" i="3" s="1"/>
  <c r="S532" i="3" s="1"/>
  <c r="P531" i="3"/>
  <c r="J531" i="3"/>
  <c r="P530" i="3"/>
  <c r="J530" i="3"/>
  <c r="P529" i="3"/>
  <c r="J529" i="3"/>
  <c r="P528" i="3"/>
  <c r="J528" i="3"/>
  <c r="P527" i="3"/>
  <c r="P526" i="3"/>
  <c r="J526" i="3"/>
  <c r="P525" i="3"/>
  <c r="R525" i="3" s="1"/>
  <c r="S525" i="3" s="1"/>
  <c r="P524" i="3"/>
  <c r="R524" i="3" s="1"/>
  <c r="S524" i="3" s="1"/>
  <c r="P523" i="3"/>
  <c r="R523" i="3" s="1"/>
  <c r="S523" i="3" s="1"/>
  <c r="P516" i="3"/>
  <c r="R516" i="3" s="1"/>
  <c r="S516" i="3" s="1"/>
  <c r="P515" i="3"/>
  <c r="J515" i="3"/>
  <c r="P514" i="3"/>
  <c r="J514" i="3"/>
  <c r="P513" i="3"/>
  <c r="R513" i="3" s="1"/>
  <c r="S513" i="3" s="1"/>
  <c r="P512" i="3"/>
  <c r="R512" i="3" s="1"/>
  <c r="S512" i="3" s="1"/>
  <c r="P511" i="3"/>
  <c r="J511" i="3"/>
  <c r="P509" i="3"/>
  <c r="R509" i="3" s="1"/>
  <c r="S509" i="3" s="1"/>
  <c r="P508" i="3"/>
  <c r="J508" i="3"/>
  <c r="P507" i="3"/>
  <c r="J507" i="3"/>
  <c r="P504" i="3"/>
  <c r="J504" i="3"/>
  <c r="P503" i="3"/>
  <c r="R503" i="3" s="1"/>
  <c r="S503" i="3" s="1"/>
  <c r="P502" i="3"/>
  <c r="R502" i="3" s="1"/>
  <c r="S502" i="3" s="1"/>
  <c r="P501" i="3"/>
  <c r="R501" i="3" s="1"/>
  <c r="S501" i="3" s="1"/>
  <c r="P500" i="3"/>
  <c r="R500" i="3" s="1"/>
  <c r="S500" i="3" s="1"/>
  <c r="P499" i="3"/>
  <c r="R499" i="3" s="1"/>
  <c r="S499" i="3" s="1"/>
  <c r="P498" i="3"/>
  <c r="R498" i="3" s="1"/>
  <c r="S498" i="3" s="1"/>
  <c r="P496" i="3"/>
  <c r="R496" i="3" s="1"/>
  <c r="S496" i="3" s="1"/>
  <c r="P494" i="3"/>
  <c r="R494" i="3" s="1"/>
  <c r="S494" i="3" s="1"/>
  <c r="P493" i="3"/>
  <c r="R493" i="3" s="1"/>
  <c r="S493" i="3" s="1"/>
  <c r="P492" i="3"/>
  <c r="R492" i="3" s="1"/>
  <c r="S492" i="3" s="1"/>
  <c r="P491" i="3"/>
  <c r="R491" i="3" s="1"/>
  <c r="S491" i="3" s="1"/>
  <c r="P490" i="3"/>
  <c r="R490" i="3" s="1"/>
  <c r="S490" i="3" s="1"/>
  <c r="P489" i="3"/>
  <c r="R489" i="3" s="1"/>
  <c r="S489" i="3" s="1"/>
  <c r="P488" i="3"/>
  <c r="R488" i="3" s="1"/>
  <c r="S488" i="3" s="1"/>
  <c r="P487" i="3"/>
  <c r="R487" i="3" s="1"/>
  <c r="S487" i="3" s="1"/>
  <c r="P486" i="3"/>
  <c r="R486" i="3" s="1"/>
  <c r="S486" i="3" s="1"/>
  <c r="P485" i="3"/>
  <c r="R485" i="3" s="1"/>
  <c r="S485" i="3" s="1"/>
  <c r="P484" i="3"/>
  <c r="R484" i="3" s="1"/>
  <c r="S484" i="3" s="1"/>
  <c r="P483" i="3"/>
  <c r="R483" i="3" s="1"/>
  <c r="S483" i="3" s="1"/>
  <c r="P482" i="3"/>
  <c r="R482" i="3" s="1"/>
  <c r="S482" i="3" s="1"/>
  <c r="P481" i="3"/>
  <c r="R481" i="3" s="1"/>
  <c r="S481" i="3" s="1"/>
  <c r="P480" i="3"/>
  <c r="R480" i="3" s="1"/>
  <c r="S480" i="3" s="1"/>
  <c r="P479" i="3"/>
  <c r="R479" i="3" s="1"/>
  <c r="S479" i="3" s="1"/>
  <c r="P478" i="3"/>
  <c r="R478" i="3" s="1"/>
  <c r="S478" i="3" s="1"/>
  <c r="P477" i="3"/>
  <c r="R477" i="3" s="1"/>
  <c r="S477" i="3" s="1"/>
  <c r="P476" i="3"/>
  <c r="R476" i="3" s="1"/>
  <c r="S476" i="3" s="1"/>
  <c r="P475" i="3"/>
  <c r="R475" i="3" s="1"/>
  <c r="S475" i="3" s="1"/>
  <c r="P474" i="3"/>
  <c r="R474" i="3" s="1"/>
  <c r="S474" i="3" s="1"/>
  <c r="P473" i="3"/>
  <c r="R473" i="3" s="1"/>
  <c r="S473" i="3" s="1"/>
  <c r="P472" i="3"/>
  <c r="R472" i="3" s="1"/>
  <c r="S472" i="3" s="1"/>
  <c r="P471" i="3"/>
  <c r="R471" i="3" s="1"/>
  <c r="S471" i="3" s="1"/>
  <c r="P470" i="3"/>
  <c r="J470" i="3"/>
  <c r="P469" i="3"/>
  <c r="R469" i="3" s="1"/>
  <c r="S469" i="3" s="1"/>
  <c r="P468" i="3"/>
  <c r="R468" i="3" s="1"/>
  <c r="S468" i="3" s="1"/>
  <c r="P467" i="3"/>
  <c r="R467" i="3" s="1"/>
  <c r="S467" i="3" s="1"/>
  <c r="P466" i="3"/>
  <c r="R466" i="3" s="1"/>
  <c r="S466" i="3" s="1"/>
  <c r="J465" i="3"/>
  <c r="P464" i="3"/>
  <c r="J464" i="3"/>
  <c r="P462" i="3"/>
  <c r="J462" i="3"/>
  <c r="P460" i="3"/>
  <c r="J460" i="3"/>
  <c r="P459" i="3"/>
  <c r="J459" i="3"/>
  <c r="P447" i="3"/>
  <c r="R447" i="3" s="1"/>
  <c r="S447" i="3" s="1"/>
  <c r="P458" i="3"/>
  <c r="R458" i="3" s="1"/>
  <c r="S458" i="3" s="1"/>
  <c r="P457" i="3"/>
  <c r="J457" i="3"/>
  <c r="J456" i="3"/>
  <c r="J455" i="3"/>
  <c r="P454" i="3"/>
  <c r="J452" i="3"/>
  <c r="J451" i="3"/>
  <c r="P450" i="3"/>
  <c r="J450" i="3"/>
  <c r="P449" i="3"/>
  <c r="J449" i="3"/>
  <c r="P446" i="3"/>
  <c r="J446" i="3"/>
  <c r="P445" i="3"/>
  <c r="R445" i="3" s="1"/>
  <c r="S445" i="3" s="1"/>
  <c r="P443" i="3"/>
  <c r="R443" i="3" s="1"/>
  <c r="S443" i="3" s="1"/>
  <c r="P441" i="3"/>
  <c r="R441" i="3" s="1"/>
  <c r="S441" i="3" s="1"/>
  <c r="P440" i="3"/>
  <c r="R440" i="3" s="1"/>
  <c r="S440" i="3" s="1"/>
  <c r="P439" i="3"/>
  <c r="R439" i="3" s="1"/>
  <c r="S439" i="3" s="1"/>
  <c r="P438" i="3"/>
  <c r="R438" i="3" s="1"/>
  <c r="S438" i="3" s="1"/>
  <c r="P437" i="3"/>
  <c r="R437" i="3" s="1"/>
  <c r="S437" i="3" s="1"/>
  <c r="P436" i="3"/>
  <c r="R436" i="3" s="1"/>
  <c r="S436" i="3" s="1"/>
  <c r="P435" i="3"/>
  <c r="R435" i="3" s="1"/>
  <c r="S435" i="3" s="1"/>
  <c r="P434" i="3"/>
  <c r="R434" i="3" s="1"/>
  <c r="S434" i="3" s="1"/>
  <c r="P433" i="3"/>
  <c r="R433" i="3" s="1"/>
  <c r="S433" i="3" s="1"/>
  <c r="P432" i="3"/>
  <c r="R432" i="3" s="1"/>
  <c r="S432" i="3" s="1"/>
  <c r="P431" i="3"/>
  <c r="R431" i="3" s="1"/>
  <c r="S431" i="3" s="1"/>
  <c r="P430" i="3"/>
  <c r="R430" i="3" s="1"/>
  <c r="S430" i="3" s="1"/>
  <c r="P429" i="3"/>
  <c r="R429" i="3" s="1"/>
  <c r="S429" i="3" s="1"/>
  <c r="P428" i="3"/>
  <c r="R428" i="3" s="1"/>
  <c r="S428" i="3" s="1"/>
  <c r="P426" i="3"/>
  <c r="J426" i="3"/>
  <c r="P425" i="3"/>
  <c r="J425" i="3"/>
  <c r="P424" i="3"/>
  <c r="R424" i="3" s="1"/>
  <c r="S424" i="3" s="1"/>
  <c r="P423" i="3"/>
  <c r="R423" i="3" s="1"/>
  <c r="S423" i="3" s="1"/>
  <c r="P422" i="3"/>
  <c r="R422" i="3" s="1"/>
  <c r="S422" i="3" s="1"/>
  <c r="P421" i="3"/>
  <c r="R421" i="3" s="1"/>
  <c r="S421" i="3" s="1"/>
  <c r="P420" i="3"/>
  <c r="R420" i="3" s="1"/>
  <c r="S420" i="3" s="1"/>
  <c r="P417" i="3"/>
  <c r="R417" i="3" s="1"/>
  <c r="S417" i="3" s="1"/>
  <c r="P415" i="3"/>
  <c r="R415" i="3" s="1"/>
  <c r="S415" i="3" s="1"/>
  <c r="P413" i="3"/>
  <c r="R413" i="3" s="1"/>
  <c r="S413" i="3" s="1"/>
  <c r="P412" i="3"/>
  <c r="R412" i="3" s="1"/>
  <c r="S412" i="3" s="1"/>
  <c r="P411" i="3"/>
  <c r="R411" i="3" s="1"/>
  <c r="S411" i="3" s="1"/>
  <c r="P410" i="3"/>
  <c r="R410" i="3" s="1"/>
  <c r="S410" i="3" s="1"/>
  <c r="P409" i="3"/>
  <c r="R409" i="3" s="1"/>
  <c r="S409" i="3" s="1"/>
  <c r="P408" i="3"/>
  <c r="R408" i="3" s="1"/>
  <c r="S408" i="3" s="1"/>
  <c r="P404" i="3"/>
  <c r="R404" i="3" s="1"/>
  <c r="S404" i="3" s="1"/>
  <c r="P403" i="3"/>
  <c r="R403" i="3" s="1"/>
  <c r="S403" i="3" s="1"/>
  <c r="P401" i="3"/>
  <c r="P398" i="3"/>
  <c r="R398" i="3" s="1"/>
  <c r="S398" i="3" s="1"/>
  <c r="P397" i="3"/>
  <c r="R397" i="3" s="1"/>
  <c r="S397" i="3" s="1"/>
  <c r="P395" i="3"/>
  <c r="J395" i="3"/>
  <c r="P394" i="3"/>
  <c r="J394" i="3"/>
  <c r="P393" i="3"/>
  <c r="J393" i="3"/>
  <c r="P392" i="3"/>
  <c r="R392" i="3" s="1"/>
  <c r="S392" i="3" s="1"/>
  <c r="P390" i="3"/>
  <c r="R390" i="3" s="1"/>
  <c r="S390" i="3" s="1"/>
  <c r="P389" i="3"/>
  <c r="J389" i="3"/>
  <c r="J388" i="3"/>
  <c r="P388" i="3"/>
  <c r="P387" i="3"/>
  <c r="R387" i="3" s="1"/>
  <c r="S387" i="3" s="1"/>
  <c r="P386" i="3"/>
  <c r="R386" i="3" s="1"/>
  <c r="S386" i="3" s="1"/>
  <c r="P385" i="3"/>
  <c r="R385" i="3" s="1"/>
  <c r="S385" i="3" s="1"/>
  <c r="P384" i="3"/>
  <c r="R384" i="3" s="1"/>
  <c r="S384" i="3" s="1"/>
  <c r="P382" i="3"/>
  <c r="R382" i="3" s="1"/>
  <c r="S382" i="3" s="1"/>
  <c r="P378" i="3"/>
  <c r="R378" i="3" s="1"/>
  <c r="S378" i="3" s="1"/>
  <c r="P374" i="3"/>
  <c r="J374" i="3"/>
  <c r="P373" i="3"/>
  <c r="J373" i="3"/>
  <c r="P371" i="3"/>
  <c r="J371" i="3"/>
  <c r="P369" i="3"/>
  <c r="R369" i="3" s="1"/>
  <c r="S369" i="3" s="1"/>
  <c r="P367" i="3"/>
  <c r="R367" i="3" s="1"/>
  <c r="S367" i="3" s="1"/>
  <c r="P366" i="3"/>
  <c r="R366" i="3" s="1"/>
  <c r="S366" i="3" s="1"/>
  <c r="P365" i="3"/>
  <c r="R365" i="3" s="1"/>
  <c r="S365" i="3" s="1"/>
  <c r="P362" i="3"/>
  <c r="R362" i="3" s="1"/>
  <c r="S362" i="3" s="1"/>
  <c r="P360" i="3"/>
  <c r="R360" i="3" s="1"/>
  <c r="S360" i="3" s="1"/>
  <c r="P358" i="3"/>
  <c r="J358" i="3"/>
  <c r="J357" i="3"/>
  <c r="J356" i="3"/>
  <c r="P355" i="3"/>
  <c r="J355" i="3"/>
  <c r="P354" i="3"/>
  <c r="J354" i="3"/>
  <c r="P353" i="3"/>
  <c r="J353" i="3"/>
  <c r="J352" i="3"/>
  <c r="P351" i="3"/>
  <c r="J351" i="3"/>
  <c r="P350" i="3"/>
  <c r="J350" i="3"/>
  <c r="S349" i="3"/>
  <c r="P348" i="3"/>
  <c r="J348" i="3"/>
  <c r="J347" i="3"/>
  <c r="P346" i="3"/>
  <c r="J346" i="3"/>
  <c r="P345" i="3"/>
  <c r="J345" i="3"/>
  <c r="P344" i="3"/>
  <c r="J344" i="3"/>
  <c r="J343" i="3"/>
  <c r="P342" i="3"/>
  <c r="J342" i="3"/>
  <c r="P338" i="3"/>
  <c r="J338" i="3"/>
  <c r="P337" i="3"/>
  <c r="R337" i="3" s="1"/>
  <c r="S337" i="3" s="1"/>
  <c r="P334" i="3"/>
  <c r="J334" i="3"/>
  <c r="P333" i="3"/>
  <c r="J333" i="3"/>
  <c r="P332" i="3"/>
  <c r="J332" i="3"/>
  <c r="P329" i="3"/>
  <c r="J329" i="3"/>
  <c r="P328" i="3"/>
  <c r="J328" i="3"/>
  <c r="P327" i="3"/>
  <c r="R327" i="3" s="1"/>
  <c r="S327" i="3" s="1"/>
  <c r="P326" i="3"/>
  <c r="R326" i="3" s="1"/>
  <c r="S326" i="3" s="1"/>
  <c r="P325" i="3"/>
  <c r="R325" i="3" s="1"/>
  <c r="S325" i="3" s="1"/>
  <c r="P324" i="3"/>
  <c r="R324" i="3" s="1"/>
  <c r="S324" i="3" s="1"/>
  <c r="P323" i="3"/>
  <c r="R323" i="3" s="1"/>
  <c r="S323" i="3" s="1"/>
  <c r="P322" i="3"/>
  <c r="R322" i="3" s="1"/>
  <c r="S322" i="3" s="1"/>
  <c r="P320" i="3"/>
  <c r="R320" i="3" s="1"/>
  <c r="S320" i="3" s="1"/>
  <c r="P315" i="3"/>
  <c r="R315" i="3" s="1"/>
  <c r="S315" i="3" s="1"/>
  <c r="P314" i="3"/>
  <c r="R314" i="3" s="1"/>
  <c r="S314" i="3" s="1"/>
  <c r="P313" i="3"/>
  <c r="R313" i="3" s="1"/>
  <c r="S313" i="3" s="1"/>
  <c r="P312" i="3"/>
  <c r="R312" i="3" s="1"/>
  <c r="S312" i="3" s="1"/>
  <c r="P311" i="3"/>
  <c r="R311" i="3" s="1"/>
  <c r="S311" i="3" s="1"/>
  <c r="P310" i="3"/>
  <c r="R310" i="3" s="1"/>
  <c r="S310" i="3" s="1"/>
  <c r="P307" i="3"/>
  <c r="R307" i="3" s="1"/>
  <c r="S307" i="3" s="1"/>
  <c r="P306" i="3"/>
  <c r="R306" i="3" s="1"/>
  <c r="S306" i="3" s="1"/>
  <c r="P305" i="3"/>
  <c r="R305" i="3" s="1"/>
  <c r="S305" i="3" s="1"/>
  <c r="P304" i="3"/>
  <c r="R304" i="3" s="1"/>
  <c r="S304" i="3" s="1"/>
  <c r="P303" i="3"/>
  <c r="R303" i="3" s="1"/>
  <c r="S303" i="3" s="1"/>
  <c r="P300" i="3"/>
  <c r="R300" i="3" s="1"/>
  <c r="S300" i="3" s="1"/>
  <c r="P298" i="3"/>
  <c r="J298" i="3"/>
  <c r="P294" i="3"/>
  <c r="J294" i="3"/>
  <c r="P293" i="3"/>
  <c r="J293" i="3"/>
  <c r="P290" i="3"/>
  <c r="J290" i="3"/>
  <c r="P289" i="3"/>
  <c r="J289" i="3"/>
  <c r="P288" i="3"/>
  <c r="R288" i="3" s="1"/>
  <c r="S288" i="3" s="1"/>
  <c r="P287" i="3"/>
  <c r="R287" i="3" s="1"/>
  <c r="S287" i="3" s="1"/>
  <c r="P286" i="3"/>
  <c r="R286" i="3" s="1"/>
  <c r="S286" i="3" s="1"/>
  <c r="P285" i="3"/>
  <c r="R285" i="3" s="1"/>
  <c r="S285" i="3" s="1"/>
  <c r="P284" i="3"/>
  <c r="R284" i="3" s="1"/>
  <c r="S284" i="3" s="1"/>
  <c r="P283" i="3"/>
  <c r="R283" i="3" s="1"/>
  <c r="S283" i="3" s="1"/>
  <c r="P282" i="3"/>
  <c r="R282" i="3" s="1"/>
  <c r="S282" i="3" s="1"/>
  <c r="P280" i="3"/>
  <c r="R280" i="3" s="1"/>
  <c r="S280" i="3" s="1"/>
  <c r="P279" i="3"/>
  <c r="R279" i="3" s="1"/>
  <c r="S279" i="3" s="1"/>
  <c r="P276" i="3"/>
  <c r="J276" i="3"/>
  <c r="P275" i="3"/>
  <c r="J275" i="3"/>
  <c r="P272" i="3"/>
  <c r="J272" i="3"/>
  <c r="P270" i="3"/>
  <c r="J270" i="3"/>
  <c r="P269" i="3"/>
  <c r="J269" i="3"/>
  <c r="P268" i="3"/>
  <c r="J268" i="3"/>
  <c r="P267" i="3"/>
  <c r="R267" i="3" s="1"/>
  <c r="S267" i="3" s="1"/>
  <c r="P266" i="3"/>
  <c r="R266" i="3" s="1"/>
  <c r="S266" i="3" s="1"/>
  <c r="P265" i="3"/>
  <c r="R265" i="3" s="1"/>
  <c r="S265" i="3" s="1"/>
  <c r="P264" i="3"/>
  <c r="R264" i="3" s="1"/>
  <c r="S264" i="3" s="1"/>
  <c r="P263" i="3"/>
  <c r="R263" i="3" s="1"/>
  <c r="S263" i="3" s="1"/>
  <c r="P262" i="3"/>
  <c r="R262" i="3" s="1"/>
  <c r="S262" i="3" s="1"/>
  <c r="P260" i="3"/>
  <c r="R260" i="3" s="1"/>
  <c r="S260" i="3" s="1"/>
  <c r="P258" i="3"/>
  <c r="R258" i="3" s="1"/>
  <c r="S258" i="3" s="1"/>
  <c r="P257" i="3"/>
  <c r="R257" i="3" s="1"/>
  <c r="S257" i="3" s="1"/>
  <c r="P256" i="3"/>
  <c r="J256" i="3"/>
  <c r="P253" i="3"/>
  <c r="R253" i="3" s="1"/>
  <c r="S253" i="3" s="1"/>
  <c r="P251" i="3"/>
  <c r="J251" i="3"/>
  <c r="P250" i="3"/>
  <c r="J250" i="3"/>
  <c r="P248" i="3"/>
  <c r="J248" i="3"/>
  <c r="P247" i="3"/>
  <c r="R247" i="3" s="1"/>
  <c r="S247" i="3" s="1"/>
  <c r="P246" i="3"/>
  <c r="J246" i="3"/>
  <c r="P245" i="3"/>
  <c r="R245" i="3" s="1"/>
  <c r="S245" i="3" s="1"/>
  <c r="P241" i="3"/>
  <c r="R241" i="3" s="1"/>
  <c r="S241" i="3" s="1"/>
  <c r="P239" i="3"/>
  <c r="R239" i="3" s="1"/>
  <c r="S239" i="3" s="1"/>
  <c r="P235" i="3"/>
  <c r="J235" i="3"/>
  <c r="P234" i="3"/>
  <c r="J234" i="3"/>
  <c r="P233" i="3"/>
  <c r="R233" i="3" s="1"/>
  <c r="S233" i="3" s="1"/>
  <c r="P232" i="3"/>
  <c r="R232" i="3" s="1"/>
  <c r="S232" i="3" s="1"/>
  <c r="P229" i="3"/>
  <c r="J229" i="3"/>
  <c r="P228" i="3"/>
  <c r="J228" i="3"/>
  <c r="P227" i="3"/>
  <c r="J227" i="3"/>
  <c r="P226" i="3"/>
  <c r="R226" i="3" s="1"/>
  <c r="S226" i="3" s="1"/>
  <c r="P225" i="3"/>
  <c r="R225" i="3" s="1"/>
  <c r="S225" i="3" s="1"/>
  <c r="P224" i="3"/>
  <c r="R224" i="3" s="1"/>
  <c r="S224" i="3" s="1"/>
  <c r="J221" i="3"/>
  <c r="J220" i="3"/>
  <c r="P219" i="3"/>
  <c r="R219" i="3" s="1"/>
  <c r="S219" i="3" s="1"/>
  <c r="P217" i="3"/>
  <c r="R217" i="3" s="1"/>
  <c r="S217" i="3" s="1"/>
  <c r="P215" i="3"/>
  <c r="R215" i="3" s="1"/>
  <c r="S215" i="3" s="1"/>
  <c r="P214" i="3"/>
  <c r="J214" i="3"/>
  <c r="J213" i="3"/>
  <c r="J212" i="3"/>
  <c r="P211" i="3"/>
  <c r="R211" i="3" s="1"/>
  <c r="S211" i="3" s="1"/>
  <c r="P210" i="3"/>
  <c r="R210" i="3" s="1"/>
  <c r="S210" i="3" s="1"/>
  <c r="P209" i="3"/>
  <c r="R209" i="3" s="1"/>
  <c r="S209" i="3" s="1"/>
  <c r="P208" i="3"/>
  <c r="R208" i="3" s="1"/>
  <c r="S208" i="3" s="1"/>
  <c r="P203" i="3"/>
  <c r="R203" i="3" s="1"/>
  <c r="S203" i="3" s="1"/>
  <c r="P202" i="3"/>
  <c r="R202" i="3" s="1"/>
  <c r="S202" i="3" s="1"/>
  <c r="P201" i="3"/>
  <c r="R201" i="3" s="1"/>
  <c r="S201" i="3" s="1"/>
  <c r="P199" i="3"/>
  <c r="R199" i="3" s="1"/>
  <c r="S199" i="3" s="1"/>
  <c r="P198" i="3"/>
  <c r="J198" i="3"/>
  <c r="P197" i="3"/>
  <c r="R197" i="3" s="1"/>
  <c r="S197" i="3" s="1"/>
  <c r="P196" i="3"/>
  <c r="J196" i="3"/>
  <c r="P195" i="3"/>
  <c r="R195" i="3" s="1"/>
  <c r="S195" i="3" s="1"/>
  <c r="P194" i="3"/>
  <c r="R194" i="3" s="1"/>
  <c r="S194" i="3" s="1"/>
  <c r="P193" i="3"/>
  <c r="R193" i="3" s="1"/>
  <c r="S193" i="3" s="1"/>
  <c r="P192" i="3"/>
  <c r="R192" i="3" s="1"/>
  <c r="S192" i="3" s="1"/>
  <c r="P189" i="3"/>
  <c r="J189" i="3"/>
  <c r="P188" i="3"/>
  <c r="P186" i="3"/>
  <c r="J186" i="3"/>
  <c r="P185" i="3"/>
  <c r="P184" i="3"/>
  <c r="P182" i="3"/>
  <c r="J182" i="3"/>
  <c r="P180" i="3"/>
  <c r="R180" i="3" s="1"/>
  <c r="S180" i="3" s="1"/>
  <c r="P179" i="3"/>
  <c r="J179" i="3"/>
  <c r="P178" i="3"/>
  <c r="J178" i="3"/>
  <c r="P175" i="3"/>
  <c r="R175" i="3" s="1"/>
  <c r="S175" i="3" s="1"/>
  <c r="P170" i="3"/>
  <c r="R170" i="3" s="1"/>
  <c r="S170" i="3" s="1"/>
  <c r="P168" i="3"/>
  <c r="R168" i="3" s="1"/>
  <c r="S168" i="3" s="1"/>
  <c r="P165" i="3"/>
  <c r="J165" i="3"/>
  <c r="P164" i="3"/>
  <c r="J164" i="3"/>
  <c r="P163" i="3"/>
  <c r="J163" i="3"/>
  <c r="P162" i="3"/>
  <c r="J162" i="3"/>
  <c r="P161" i="3"/>
  <c r="J161" i="3"/>
  <c r="P160" i="3"/>
  <c r="J160" i="3"/>
  <c r="P159" i="3"/>
  <c r="J159" i="3"/>
  <c r="P158" i="3"/>
  <c r="J158" i="3"/>
  <c r="P157" i="3"/>
  <c r="J157" i="3"/>
  <c r="P156" i="3"/>
  <c r="J156" i="3"/>
  <c r="P155" i="3"/>
  <c r="J155" i="3"/>
  <c r="P154" i="3"/>
  <c r="J154" i="3"/>
  <c r="P153" i="3"/>
  <c r="J153" i="3"/>
  <c r="P152" i="3"/>
  <c r="J152" i="3"/>
  <c r="P151" i="3"/>
  <c r="J151" i="3"/>
  <c r="P150" i="3"/>
  <c r="J150" i="3"/>
  <c r="P149" i="3"/>
  <c r="J149" i="3"/>
  <c r="P148" i="3"/>
  <c r="J148" i="3"/>
  <c r="P147" i="3"/>
  <c r="J147" i="3"/>
  <c r="J146" i="3"/>
  <c r="P145" i="3"/>
  <c r="J145" i="3"/>
  <c r="P143" i="3"/>
  <c r="J143" i="3"/>
  <c r="P142" i="3"/>
  <c r="J142" i="3"/>
  <c r="P139" i="3"/>
  <c r="P137" i="3"/>
  <c r="J137" i="3"/>
  <c r="P135" i="3"/>
  <c r="J135" i="3"/>
  <c r="P133" i="3"/>
  <c r="J133" i="3"/>
  <c r="J132" i="3"/>
  <c r="P131" i="3"/>
  <c r="J131" i="3"/>
  <c r="P130" i="3"/>
  <c r="J130" i="3"/>
  <c r="P128" i="3"/>
  <c r="R128" i="3" s="1"/>
  <c r="S128" i="3" s="1"/>
  <c r="P127" i="3"/>
  <c r="J127" i="3"/>
  <c r="P126" i="3"/>
  <c r="R126" i="3" s="1"/>
  <c r="S126" i="3" s="1"/>
  <c r="P125" i="3"/>
  <c r="J125" i="3"/>
  <c r="P124" i="3"/>
  <c r="J124" i="3"/>
  <c r="P123" i="3"/>
  <c r="R123" i="3" s="1"/>
  <c r="S123" i="3" s="1"/>
  <c r="P122" i="3"/>
  <c r="R122" i="3" s="1"/>
  <c r="S122" i="3" s="1"/>
  <c r="P120" i="3"/>
  <c r="R120" i="3" s="1"/>
  <c r="S120" i="3" s="1"/>
  <c r="P119" i="3"/>
  <c r="R119" i="3" s="1"/>
  <c r="S119" i="3" s="1"/>
  <c r="P118" i="3"/>
  <c r="R118" i="3" s="1"/>
  <c r="S118" i="3" s="1"/>
  <c r="P115" i="3"/>
  <c r="R115" i="3" s="1"/>
  <c r="S115" i="3" s="1"/>
  <c r="P111" i="3"/>
  <c r="J111" i="3"/>
  <c r="J110" i="3"/>
  <c r="J109" i="3"/>
  <c r="P109" i="3"/>
  <c r="P108" i="3"/>
  <c r="J108" i="3"/>
  <c r="P107" i="3"/>
  <c r="J107" i="3"/>
  <c r="P106" i="3"/>
  <c r="J106" i="3"/>
  <c r="P104" i="3"/>
  <c r="J104" i="3"/>
  <c r="P102" i="3"/>
  <c r="R102" i="3" s="1"/>
  <c r="S102" i="3" s="1"/>
  <c r="P101" i="3"/>
  <c r="R101" i="3" s="1"/>
  <c r="S101" i="3" s="1"/>
  <c r="P100" i="3"/>
  <c r="R100" i="3" s="1"/>
  <c r="S100" i="3" s="1"/>
  <c r="P99" i="3"/>
  <c r="R99" i="3" s="1"/>
  <c r="S99" i="3" s="1"/>
  <c r="P97" i="3"/>
  <c r="J97" i="3"/>
  <c r="J96" i="3"/>
  <c r="P95" i="3"/>
  <c r="J95" i="3"/>
  <c r="P94" i="3"/>
  <c r="J94" i="3"/>
  <c r="J93" i="3"/>
  <c r="P92" i="3"/>
  <c r="J92" i="3"/>
  <c r="P91" i="3"/>
  <c r="J91" i="3"/>
  <c r="P90" i="3"/>
  <c r="J90" i="3"/>
  <c r="J89" i="3"/>
  <c r="P87" i="3"/>
  <c r="J87" i="3"/>
  <c r="P85" i="3"/>
  <c r="J85" i="3"/>
  <c r="P84" i="3"/>
  <c r="R84" i="3" s="1"/>
  <c r="S84" i="3" s="1"/>
  <c r="P83" i="3"/>
  <c r="R83" i="3" s="1"/>
  <c r="S83" i="3" s="1"/>
  <c r="P81" i="3"/>
  <c r="R81" i="3" s="1"/>
  <c r="S81" i="3" s="1"/>
  <c r="P80" i="3"/>
  <c r="R80" i="3" s="1"/>
  <c r="S80" i="3" s="1"/>
  <c r="P79" i="3"/>
  <c r="R79" i="3" s="1"/>
  <c r="S79" i="3" s="1"/>
  <c r="P78" i="3"/>
  <c r="R78" i="3" s="1"/>
  <c r="S78" i="3" s="1"/>
  <c r="P77" i="3"/>
  <c r="R77" i="3" s="1"/>
  <c r="S77" i="3" s="1"/>
  <c r="P76" i="3"/>
  <c r="R76" i="3" s="1"/>
  <c r="S76" i="3" s="1"/>
  <c r="P75" i="3"/>
  <c r="R75" i="3" s="1"/>
  <c r="S75" i="3" s="1"/>
  <c r="P74" i="3"/>
  <c r="R74" i="3" s="1"/>
  <c r="S74" i="3" s="1"/>
  <c r="P73" i="3"/>
  <c r="R73" i="3" s="1"/>
  <c r="S73" i="3" s="1"/>
  <c r="P69" i="3"/>
  <c r="R69" i="3" s="1"/>
  <c r="S69" i="3" s="1"/>
  <c r="P68" i="3"/>
  <c r="R68" i="3" s="1"/>
  <c r="S68" i="3" s="1"/>
  <c r="S67" i="3"/>
  <c r="P65" i="3"/>
  <c r="R65" i="3" s="1"/>
  <c r="S65" i="3" s="1"/>
  <c r="P64" i="3"/>
  <c r="R64" i="3" s="1"/>
  <c r="S64" i="3" s="1"/>
  <c r="P63" i="3"/>
  <c r="R63" i="3" s="1"/>
  <c r="S63" i="3" s="1"/>
  <c r="P62" i="3"/>
  <c r="R62" i="3" s="1"/>
  <c r="S62" i="3" s="1"/>
  <c r="P61" i="3"/>
  <c r="R61" i="3" s="1"/>
  <c r="S61" i="3" s="1"/>
  <c r="P60" i="3"/>
  <c r="R60" i="3" s="1"/>
  <c r="S60" i="3" s="1"/>
  <c r="P59" i="3"/>
  <c r="R59" i="3" s="1"/>
  <c r="S59" i="3" s="1"/>
  <c r="P58" i="3"/>
  <c r="R58" i="3" s="1"/>
  <c r="S58" i="3" s="1"/>
  <c r="P57" i="3"/>
  <c r="R57" i="3" s="1"/>
  <c r="S57" i="3" s="1"/>
  <c r="P56" i="3"/>
  <c r="R56" i="3" s="1"/>
  <c r="S56" i="3" s="1"/>
  <c r="P55" i="3"/>
  <c r="R55" i="3" s="1"/>
  <c r="S55" i="3" s="1"/>
  <c r="P54" i="3"/>
  <c r="R54" i="3" s="1"/>
  <c r="S54" i="3" s="1"/>
  <c r="P53" i="3"/>
  <c r="R53" i="3" s="1"/>
  <c r="S53" i="3" s="1"/>
  <c r="P52" i="3"/>
  <c r="R52" i="3" s="1"/>
  <c r="S52" i="3" s="1"/>
  <c r="P51" i="3"/>
  <c r="R51" i="3" s="1"/>
  <c r="S51" i="3" s="1"/>
  <c r="P50" i="3"/>
  <c r="R50" i="3" s="1"/>
  <c r="S50" i="3" s="1"/>
  <c r="P48" i="3"/>
  <c r="R48" i="3" s="1"/>
  <c r="S48" i="3" s="1"/>
  <c r="P47" i="3"/>
  <c r="R47" i="3" s="1"/>
  <c r="S47" i="3" s="1"/>
  <c r="P46" i="3"/>
  <c r="R46" i="3" s="1"/>
  <c r="S46" i="3" s="1"/>
  <c r="P45" i="3"/>
  <c r="R45" i="3" s="1"/>
  <c r="S45" i="3" s="1"/>
  <c r="P44" i="3"/>
  <c r="R44" i="3" s="1"/>
  <c r="S44" i="3" s="1"/>
  <c r="P43" i="3"/>
  <c r="R43" i="3" s="1"/>
  <c r="S43" i="3" s="1"/>
  <c r="P42" i="3"/>
  <c r="R42" i="3" s="1"/>
  <c r="S42" i="3" s="1"/>
  <c r="P41" i="3"/>
  <c r="R41" i="3" s="1"/>
  <c r="S41" i="3" s="1"/>
  <c r="P40" i="3"/>
  <c r="R40" i="3" s="1"/>
  <c r="S40" i="3" s="1"/>
  <c r="P39" i="3"/>
  <c r="R39" i="3" s="1"/>
  <c r="S39" i="3" s="1"/>
  <c r="P33" i="3"/>
  <c r="J33" i="3"/>
  <c r="P32" i="3"/>
  <c r="J32" i="3"/>
  <c r="P31" i="3"/>
  <c r="J31" i="3"/>
  <c r="P30" i="3"/>
  <c r="J30" i="3"/>
  <c r="P29" i="3"/>
  <c r="J29" i="3"/>
  <c r="P28" i="3"/>
  <c r="J28" i="3"/>
  <c r="P27" i="3"/>
  <c r="R27" i="3" s="1"/>
  <c r="S27" i="3" s="1"/>
  <c r="P22" i="3"/>
  <c r="R22" i="3" s="1"/>
  <c r="S22" i="3" s="1"/>
  <c r="P21" i="3"/>
  <c r="R21" i="3" s="1"/>
  <c r="S21" i="3" s="1"/>
  <c r="P19" i="3"/>
  <c r="R19" i="3" s="1"/>
  <c r="S19" i="3" s="1"/>
  <c r="P18" i="3"/>
  <c r="R18" i="3" s="1"/>
  <c r="S18" i="3" s="1"/>
  <c r="P17" i="3"/>
  <c r="R17" i="3" s="1"/>
  <c r="S17" i="3" s="1"/>
  <c r="P15" i="3"/>
  <c r="R15" i="3" s="1"/>
  <c r="S15" i="3" s="1"/>
  <c r="P14" i="3"/>
  <c r="R14" i="3" s="1"/>
  <c r="S14" i="3" s="1"/>
  <c r="P13" i="3"/>
  <c r="R13" i="3" s="1"/>
  <c r="S13" i="3" s="1"/>
  <c r="P12" i="3"/>
  <c r="R12" i="3" s="1"/>
  <c r="S12" i="3" s="1"/>
  <c r="P11" i="3"/>
  <c r="R11" i="3" s="1"/>
  <c r="S11" i="3" s="1"/>
  <c r="P10" i="3"/>
  <c r="R10" i="3" s="1"/>
  <c r="S10" i="3" s="1"/>
  <c r="P9" i="3"/>
  <c r="R9" i="3" s="1"/>
  <c r="S9" i="3" s="1"/>
  <c r="P8" i="3"/>
  <c r="R8" i="3" s="1"/>
  <c r="S8" i="3" s="1"/>
  <c r="P7" i="3"/>
  <c r="R7" i="3" s="1"/>
  <c r="S7" i="3" s="1"/>
  <c r="P6" i="3"/>
  <c r="R6" i="3" s="1"/>
  <c r="S6" i="3" s="1"/>
  <c r="R446" i="3" l="1"/>
  <c r="S446" i="3" s="1"/>
  <c r="P455" i="3"/>
  <c r="R455" i="3" s="1"/>
  <c r="S455" i="3" s="1"/>
  <c r="R737" i="3"/>
  <c r="S737" i="3" s="1"/>
  <c r="R783" i="3"/>
  <c r="S783" i="3" s="1"/>
  <c r="P660" i="3"/>
  <c r="R660" i="3" s="1"/>
  <c r="S660" i="3" s="1"/>
  <c r="R601" i="3"/>
  <c r="S601" i="3" s="1"/>
  <c r="R610" i="3"/>
  <c r="S610" i="3" s="1"/>
  <c r="R32" i="3"/>
  <c r="S32" i="3" s="1"/>
  <c r="P416" i="3"/>
  <c r="R416" i="3" s="1"/>
  <c r="S416" i="3" s="1"/>
  <c r="R425" i="3"/>
  <c r="S425" i="3" s="1"/>
  <c r="P586" i="3"/>
  <c r="R586" i="3" s="1"/>
  <c r="S586" i="3" s="1"/>
  <c r="P792" i="3"/>
  <c r="R792" i="3" s="1"/>
  <c r="S792" i="3" s="1"/>
  <c r="R92" i="3"/>
  <c r="S92" i="3" s="1"/>
  <c r="R130" i="3"/>
  <c r="S130" i="3" s="1"/>
  <c r="R153" i="3"/>
  <c r="S153" i="3" s="1"/>
  <c r="P634" i="3"/>
  <c r="R634" i="3" s="1"/>
  <c r="S634" i="3" s="1"/>
  <c r="P600" i="3"/>
  <c r="R600" i="3" s="1"/>
  <c r="S600" i="3" s="1"/>
  <c r="R139" i="3"/>
  <c r="S139" i="3" s="1"/>
  <c r="P259" i="3"/>
  <c r="R259" i="3" s="1"/>
  <c r="S259" i="3" s="1"/>
  <c r="R353" i="3"/>
  <c r="S353" i="3" s="1"/>
  <c r="R710" i="3"/>
  <c r="S710" i="3" s="1"/>
  <c r="R712" i="3"/>
  <c r="S712" i="3" s="1"/>
  <c r="R719" i="3"/>
  <c r="S719" i="3" s="1"/>
  <c r="R135" i="3"/>
  <c r="S135" i="3" s="1"/>
  <c r="P171" i="3"/>
  <c r="R171" i="3" s="1"/>
  <c r="S171" i="3" s="1"/>
  <c r="R214" i="3"/>
  <c r="S214" i="3" s="1"/>
  <c r="R374" i="3"/>
  <c r="S374" i="3" s="1"/>
  <c r="R85" i="3"/>
  <c r="S85" i="3" s="1"/>
  <c r="R152" i="3"/>
  <c r="S152" i="3" s="1"/>
  <c r="R154" i="3"/>
  <c r="S154" i="3" s="1"/>
  <c r="R234" i="3"/>
  <c r="S234" i="3" s="1"/>
  <c r="R294" i="3"/>
  <c r="S294" i="3" s="1"/>
  <c r="R338" i="3"/>
  <c r="S338" i="3" s="1"/>
  <c r="R346" i="3"/>
  <c r="S346" i="3" s="1"/>
  <c r="R350" i="3"/>
  <c r="S350" i="3" s="1"/>
  <c r="R358" i="3"/>
  <c r="S358" i="3" s="1"/>
  <c r="R371" i="3"/>
  <c r="S371" i="3" s="1"/>
  <c r="R388" i="3"/>
  <c r="S388" i="3" s="1"/>
  <c r="R395" i="3"/>
  <c r="S395" i="3" s="1"/>
  <c r="R462" i="3"/>
  <c r="S462" i="3" s="1"/>
  <c r="R682" i="3"/>
  <c r="S682" i="3" s="1"/>
  <c r="R723" i="3"/>
  <c r="S723" i="3" s="1"/>
  <c r="R725" i="3"/>
  <c r="S725" i="3" s="1"/>
  <c r="R143" i="3"/>
  <c r="S143" i="3" s="1"/>
  <c r="R530" i="3"/>
  <c r="S530" i="3" s="1"/>
  <c r="R597" i="3"/>
  <c r="S597" i="3" s="1"/>
  <c r="R33" i="3"/>
  <c r="S33" i="3" s="1"/>
  <c r="P221" i="3"/>
  <c r="R221" i="3" s="1"/>
  <c r="S221" i="3" s="1"/>
  <c r="R235" i="3"/>
  <c r="S235" i="3" s="1"/>
  <c r="P261" i="3"/>
  <c r="R261" i="3" s="1"/>
  <c r="S261" i="3" s="1"/>
  <c r="P347" i="3"/>
  <c r="R347" i="3" s="1"/>
  <c r="S347" i="3" s="1"/>
  <c r="P352" i="3"/>
  <c r="R352" i="3" s="1"/>
  <c r="S352" i="3" s="1"/>
  <c r="P570" i="3"/>
  <c r="R570" i="3" s="1"/>
  <c r="S570" i="3" s="1"/>
  <c r="R639" i="3"/>
  <c r="S639" i="3" s="1"/>
  <c r="R642" i="3"/>
  <c r="S642" i="3" s="1"/>
  <c r="P695" i="3"/>
  <c r="R695" i="3" s="1"/>
  <c r="S695" i="3" s="1"/>
  <c r="P748" i="3"/>
  <c r="R748" i="3" s="1"/>
  <c r="S748" i="3" s="1"/>
  <c r="P751" i="3"/>
  <c r="R751" i="3" s="1"/>
  <c r="S751" i="3" s="1"/>
  <c r="R736" i="3"/>
  <c r="S736" i="3" s="1"/>
  <c r="R755" i="3"/>
  <c r="S755" i="3" s="1"/>
  <c r="R464" i="3"/>
  <c r="S464" i="3" s="1"/>
  <c r="R87" i="3"/>
  <c r="S87" i="3" s="1"/>
  <c r="P93" i="3"/>
  <c r="R93" i="3" s="1"/>
  <c r="S93" i="3" s="1"/>
  <c r="P173" i="3"/>
  <c r="R173" i="3" s="1"/>
  <c r="S173" i="3" s="1"/>
  <c r="P181" i="3"/>
  <c r="R181" i="3" s="1"/>
  <c r="S181" i="3" s="1"/>
  <c r="R345" i="3"/>
  <c r="S345" i="3" s="1"/>
  <c r="R351" i="3"/>
  <c r="S351" i="3" s="1"/>
  <c r="R401" i="3"/>
  <c r="S401" i="3" s="1"/>
  <c r="R603" i="3"/>
  <c r="S603" i="3" s="1"/>
  <c r="R716" i="3"/>
  <c r="S716" i="3" s="1"/>
  <c r="R782" i="3"/>
  <c r="S782" i="3" s="1"/>
  <c r="R133" i="3"/>
  <c r="S133" i="3" s="1"/>
  <c r="R527" i="3"/>
  <c r="S527" i="3" s="1"/>
  <c r="R625" i="3"/>
  <c r="S625" i="3" s="1"/>
  <c r="P176" i="3"/>
  <c r="R176" i="3" s="1"/>
  <c r="S176" i="3" s="1"/>
  <c r="R179" i="3"/>
  <c r="S179" i="3" s="1"/>
  <c r="P452" i="3"/>
  <c r="R452" i="3" s="1"/>
  <c r="S452" i="3" s="1"/>
  <c r="R720" i="3"/>
  <c r="S720" i="3" s="1"/>
  <c r="P752" i="3"/>
  <c r="R752" i="3" s="1"/>
  <c r="S752" i="3" s="1"/>
  <c r="R142" i="3"/>
  <c r="S142" i="3" s="1"/>
  <c r="R149" i="3"/>
  <c r="S149" i="3" s="1"/>
  <c r="R151" i="3"/>
  <c r="S151" i="3" s="1"/>
  <c r="R156" i="3"/>
  <c r="S156" i="3" s="1"/>
  <c r="R158" i="3"/>
  <c r="S158" i="3" s="1"/>
  <c r="R164" i="3"/>
  <c r="S164" i="3" s="1"/>
  <c r="R189" i="3"/>
  <c r="S189" i="3" s="1"/>
  <c r="P213" i="3"/>
  <c r="R213" i="3" s="1"/>
  <c r="S213" i="3" s="1"/>
  <c r="P281" i="3"/>
  <c r="R281" i="3" s="1"/>
  <c r="S281" i="3" s="1"/>
  <c r="R293" i="3"/>
  <c r="S293" i="3" s="1"/>
  <c r="R298" i="3"/>
  <c r="S298" i="3" s="1"/>
  <c r="R389" i="3"/>
  <c r="S389" i="3" s="1"/>
  <c r="R449" i="3"/>
  <c r="S449" i="3" s="1"/>
  <c r="R459" i="3"/>
  <c r="S459" i="3" s="1"/>
  <c r="R507" i="3"/>
  <c r="S507" i="3" s="1"/>
  <c r="R528" i="3"/>
  <c r="S528" i="3" s="1"/>
  <c r="R539" i="3"/>
  <c r="S539" i="3" s="1"/>
  <c r="R541" i="3"/>
  <c r="S541" i="3" s="1"/>
  <c r="R707" i="3"/>
  <c r="S707" i="3" s="1"/>
  <c r="R771" i="3"/>
  <c r="S771" i="3" s="1"/>
  <c r="R775" i="3"/>
  <c r="S775" i="3" s="1"/>
  <c r="R781" i="3"/>
  <c r="S781" i="3" s="1"/>
  <c r="R785" i="3"/>
  <c r="S785" i="3" s="1"/>
  <c r="R806" i="3"/>
  <c r="S806" i="3" s="1"/>
  <c r="R124" i="3"/>
  <c r="S124" i="3" s="1"/>
  <c r="R97" i="3"/>
  <c r="S97" i="3" s="1"/>
  <c r="P110" i="3"/>
  <c r="R110" i="3" s="1"/>
  <c r="S110" i="3" s="1"/>
  <c r="P220" i="3"/>
  <c r="R220" i="3" s="1"/>
  <c r="S220" i="3" s="1"/>
  <c r="R276" i="3"/>
  <c r="S276" i="3" s="1"/>
  <c r="P370" i="3"/>
  <c r="R370" i="3" s="1"/>
  <c r="S370" i="3" s="1"/>
  <c r="P456" i="3"/>
  <c r="R456" i="3" s="1"/>
  <c r="S456" i="3" s="1"/>
  <c r="P635" i="3"/>
  <c r="R635" i="3" s="1"/>
  <c r="S635" i="3" s="1"/>
  <c r="P651" i="3"/>
  <c r="R651" i="3" s="1"/>
  <c r="S651" i="3" s="1"/>
  <c r="R106" i="3"/>
  <c r="S106" i="3" s="1"/>
  <c r="P86" i="3"/>
  <c r="R86" i="3" s="1"/>
  <c r="S86" i="3" s="1"/>
  <c r="P96" i="3"/>
  <c r="R96" i="3" s="1"/>
  <c r="S96" i="3" s="1"/>
  <c r="P212" i="3"/>
  <c r="R212" i="3" s="1"/>
  <c r="S212" i="3" s="1"/>
  <c r="P89" i="3"/>
  <c r="R89" i="3" s="1"/>
  <c r="S89" i="3" s="1"/>
  <c r="R91" i="3"/>
  <c r="S91" i="3" s="1"/>
  <c r="R109" i="3"/>
  <c r="S109" i="3" s="1"/>
  <c r="P140" i="3"/>
  <c r="R140" i="3" s="1"/>
  <c r="S140" i="3" s="1"/>
  <c r="R159" i="3"/>
  <c r="S159" i="3" s="1"/>
  <c r="R161" i="3"/>
  <c r="S161" i="3" s="1"/>
  <c r="R163" i="3"/>
  <c r="S163" i="3" s="1"/>
  <c r="R165" i="3"/>
  <c r="S165" i="3" s="1"/>
  <c r="R182" i="3"/>
  <c r="S182" i="3" s="1"/>
  <c r="R185" i="3"/>
  <c r="S185" i="3" s="1"/>
  <c r="R248" i="3"/>
  <c r="S248" i="3" s="1"/>
  <c r="R268" i="3"/>
  <c r="S268" i="3" s="1"/>
  <c r="R270" i="3"/>
  <c r="S270" i="3" s="1"/>
  <c r="R275" i="3"/>
  <c r="S275" i="3" s="1"/>
  <c r="R328" i="3"/>
  <c r="S328" i="3" s="1"/>
  <c r="R394" i="3"/>
  <c r="S394" i="3" s="1"/>
  <c r="R450" i="3"/>
  <c r="S450" i="3" s="1"/>
  <c r="R454" i="3"/>
  <c r="S454" i="3" s="1"/>
  <c r="R460" i="3"/>
  <c r="S460" i="3" s="1"/>
  <c r="R508" i="3"/>
  <c r="S508" i="3" s="1"/>
  <c r="R535" i="3"/>
  <c r="S535" i="3" s="1"/>
  <c r="R538" i="3"/>
  <c r="S538" i="3" s="1"/>
  <c r="R562" i="3"/>
  <c r="S562" i="3" s="1"/>
  <c r="P585" i="3"/>
  <c r="R585" i="3" s="1"/>
  <c r="S585" i="3" s="1"/>
  <c r="R685" i="3"/>
  <c r="S685" i="3" s="1"/>
  <c r="P693" i="3"/>
  <c r="R693" i="3" s="1"/>
  <c r="S693" i="3" s="1"/>
  <c r="R760" i="3"/>
  <c r="S760" i="3" s="1"/>
  <c r="R779" i="3"/>
  <c r="S779" i="3" s="1"/>
  <c r="R805" i="3"/>
  <c r="S805" i="3" s="1"/>
  <c r="R131" i="3"/>
  <c r="S131" i="3" s="1"/>
  <c r="R145" i="3"/>
  <c r="S145" i="3" s="1"/>
  <c r="P116" i="3"/>
  <c r="R116" i="3" s="1"/>
  <c r="S116" i="3" s="1"/>
  <c r="R250" i="3"/>
  <c r="S250" i="3" s="1"/>
  <c r="R251" i="3"/>
  <c r="S251" i="3" s="1"/>
  <c r="R269" i="3"/>
  <c r="S269" i="3" s="1"/>
  <c r="P172" i="3"/>
  <c r="R172" i="3" s="1"/>
  <c r="S172" i="3" s="1"/>
  <c r="P218" i="3"/>
  <c r="R218" i="3" s="1"/>
  <c r="S218" i="3" s="1"/>
  <c r="R31" i="3"/>
  <c r="S31" i="3" s="1"/>
  <c r="R90" i="3"/>
  <c r="S90" i="3" s="1"/>
  <c r="R95" i="3"/>
  <c r="S95" i="3" s="1"/>
  <c r="R111" i="3"/>
  <c r="S111" i="3" s="1"/>
  <c r="R137" i="3"/>
  <c r="S137" i="3" s="1"/>
  <c r="R160" i="3"/>
  <c r="S160" i="3" s="1"/>
  <c r="R178" i="3"/>
  <c r="S178" i="3" s="1"/>
  <c r="R184" i="3"/>
  <c r="S184" i="3" s="1"/>
  <c r="R246" i="3"/>
  <c r="S246" i="3" s="1"/>
  <c r="R290" i="3"/>
  <c r="S290" i="3" s="1"/>
  <c r="P321" i="3"/>
  <c r="R321" i="3" s="1"/>
  <c r="S321" i="3" s="1"/>
  <c r="R344" i="3"/>
  <c r="S344" i="3" s="1"/>
  <c r="P356" i="3"/>
  <c r="R356" i="3" s="1"/>
  <c r="S356" i="3" s="1"/>
  <c r="R470" i="3"/>
  <c r="S470" i="3" s="1"/>
  <c r="R529" i="3"/>
  <c r="S529" i="3" s="1"/>
  <c r="R531" i="3"/>
  <c r="S531" i="3" s="1"/>
  <c r="R540" i="3"/>
  <c r="S540" i="3" s="1"/>
  <c r="R542" i="3"/>
  <c r="S542" i="3" s="1"/>
  <c r="R551" i="3"/>
  <c r="S551" i="3" s="1"/>
  <c r="R649" i="3"/>
  <c r="S649" i="3" s="1"/>
  <c r="R717" i="3"/>
  <c r="S717" i="3" s="1"/>
  <c r="R802" i="3"/>
  <c r="S802" i="3" s="1"/>
  <c r="P146" i="3"/>
  <c r="R146" i="3" s="1"/>
  <c r="S146" i="3" s="1"/>
  <c r="R28" i="3"/>
  <c r="S28" i="3" s="1"/>
  <c r="P82" i="3"/>
  <c r="R82" i="3" s="1"/>
  <c r="S82" i="3" s="1"/>
  <c r="R104" i="3"/>
  <c r="S104" i="3" s="1"/>
  <c r="R127" i="3"/>
  <c r="S127" i="3" s="1"/>
  <c r="R155" i="3"/>
  <c r="S155" i="3" s="1"/>
  <c r="R157" i="3"/>
  <c r="S157" i="3" s="1"/>
  <c r="P174" i="3"/>
  <c r="R174" i="3" s="1"/>
  <c r="S174" i="3" s="1"/>
  <c r="R186" i="3"/>
  <c r="S186" i="3" s="1"/>
  <c r="R198" i="3"/>
  <c r="S198" i="3" s="1"/>
  <c r="R272" i="3"/>
  <c r="S272" i="3" s="1"/>
  <c r="P319" i="3"/>
  <c r="R319" i="3" s="1"/>
  <c r="S319" i="3" s="1"/>
  <c r="R334" i="3"/>
  <c r="S334" i="3" s="1"/>
  <c r="R354" i="3"/>
  <c r="S354" i="3" s="1"/>
  <c r="P383" i="3"/>
  <c r="R383" i="3" s="1"/>
  <c r="S383" i="3" s="1"/>
  <c r="R511" i="3"/>
  <c r="S511" i="3" s="1"/>
  <c r="P519" i="3"/>
  <c r="R519" i="3" s="1"/>
  <c r="S519" i="3" s="1"/>
  <c r="P593" i="3"/>
  <c r="R593" i="3" s="1"/>
  <c r="S593" i="3" s="1"/>
  <c r="P632" i="3"/>
  <c r="R632" i="3" s="1"/>
  <c r="S632" i="3" s="1"/>
  <c r="R638" i="3"/>
  <c r="S638" i="3" s="1"/>
  <c r="R643" i="3"/>
  <c r="S643" i="3" s="1"/>
  <c r="R804" i="3"/>
  <c r="S804" i="3" s="1"/>
  <c r="R333" i="3"/>
  <c r="S333" i="3" s="1"/>
  <c r="R426" i="3"/>
  <c r="S426" i="3" s="1"/>
  <c r="P448" i="3"/>
  <c r="R448" i="3" s="1"/>
  <c r="S448" i="3" s="1"/>
  <c r="P461" i="3"/>
  <c r="R461" i="3" s="1"/>
  <c r="S461" i="3" s="1"/>
  <c r="P522" i="3"/>
  <c r="R522" i="3" s="1"/>
  <c r="S522" i="3" s="1"/>
  <c r="R526" i="3"/>
  <c r="S526" i="3" s="1"/>
  <c r="R533" i="3"/>
  <c r="S533" i="3" s="1"/>
  <c r="R536" i="3"/>
  <c r="S536" i="3" s="1"/>
  <c r="P560" i="3"/>
  <c r="R560" i="3" s="1"/>
  <c r="S560" i="3" s="1"/>
  <c r="P577" i="3"/>
  <c r="R577" i="3" s="1"/>
  <c r="S577" i="3" s="1"/>
  <c r="P594" i="3"/>
  <c r="R594" i="3" s="1"/>
  <c r="S594" i="3" s="1"/>
  <c r="R678" i="3"/>
  <c r="S678" i="3" s="1"/>
  <c r="P706" i="3"/>
  <c r="R706" i="3" s="1"/>
  <c r="S706" i="3" s="1"/>
  <c r="R708" i="3"/>
  <c r="S708" i="3" s="1"/>
  <c r="P718" i="3"/>
  <c r="R718" i="3" s="1"/>
  <c r="S718" i="3" s="1"/>
  <c r="R770" i="3"/>
  <c r="S770" i="3" s="1"/>
  <c r="R778" i="3"/>
  <c r="S778" i="3" s="1"/>
  <c r="R784" i="3"/>
  <c r="S784" i="3" s="1"/>
  <c r="R563" i="3"/>
  <c r="S563" i="3" s="1"/>
  <c r="P584" i="3"/>
  <c r="R584" i="3" s="1"/>
  <c r="S584" i="3" s="1"/>
  <c r="R602" i="3"/>
  <c r="S602" i="3" s="1"/>
  <c r="R637" i="3"/>
  <c r="S637" i="3" s="1"/>
  <c r="R663" i="3"/>
  <c r="S663" i="3" s="1"/>
  <c r="R673" i="3"/>
  <c r="S673" i="3" s="1"/>
  <c r="R681" i="3"/>
  <c r="S681" i="3" s="1"/>
  <c r="R691" i="3"/>
  <c r="S691" i="3" s="1"/>
  <c r="R696" i="3"/>
  <c r="S696" i="3" s="1"/>
  <c r="R711" i="3"/>
  <c r="S711" i="3" s="1"/>
  <c r="R714" i="3"/>
  <c r="S714" i="3" s="1"/>
  <c r="R722" i="3"/>
  <c r="S722" i="3" s="1"/>
  <c r="R724" i="3"/>
  <c r="S724" i="3" s="1"/>
  <c r="P739" i="3"/>
  <c r="R739" i="3" s="1"/>
  <c r="S739" i="3" s="1"/>
  <c r="P753" i="3"/>
  <c r="R753" i="3" s="1"/>
  <c r="S753" i="3" s="1"/>
  <c r="R777" i="3"/>
  <c r="S777" i="3" s="1"/>
  <c r="R30" i="3"/>
  <c r="S30" i="3" s="1"/>
  <c r="R148" i="3"/>
  <c r="S148" i="3" s="1"/>
  <c r="R227" i="3"/>
  <c r="S227" i="3" s="1"/>
  <c r="R289" i="3"/>
  <c r="S289" i="3" s="1"/>
  <c r="R355" i="3"/>
  <c r="S355" i="3" s="1"/>
  <c r="R29" i="3"/>
  <c r="S29" i="3" s="1"/>
  <c r="R107" i="3"/>
  <c r="S107" i="3" s="1"/>
  <c r="P117" i="3"/>
  <c r="R117" i="3" s="1"/>
  <c r="S117" i="3" s="1"/>
  <c r="P132" i="3"/>
  <c r="R132" i="3" s="1"/>
  <c r="S132" i="3" s="1"/>
  <c r="R147" i="3"/>
  <c r="S147" i="3" s="1"/>
  <c r="R188" i="3"/>
  <c r="S188" i="3" s="1"/>
  <c r="R256" i="3"/>
  <c r="S256" i="3" s="1"/>
  <c r="R329" i="3"/>
  <c r="S329" i="3" s="1"/>
  <c r="R373" i="3"/>
  <c r="S373" i="3" s="1"/>
  <c r="R94" i="3"/>
  <c r="S94" i="3" s="1"/>
  <c r="R108" i="3"/>
  <c r="S108" i="3" s="1"/>
  <c r="R125" i="3"/>
  <c r="S125" i="3" s="1"/>
  <c r="R229" i="3"/>
  <c r="S229" i="3" s="1"/>
  <c r="R150" i="3"/>
  <c r="S150" i="3" s="1"/>
  <c r="R162" i="3"/>
  <c r="S162" i="3" s="1"/>
  <c r="R196" i="3"/>
  <c r="S196" i="3" s="1"/>
  <c r="R228" i="3"/>
  <c r="S228" i="3" s="1"/>
  <c r="P331" i="3"/>
  <c r="R331" i="3" s="1"/>
  <c r="S331" i="3" s="1"/>
  <c r="R332" i="3"/>
  <c r="S332" i="3" s="1"/>
  <c r="R342" i="3"/>
  <c r="S342" i="3" s="1"/>
  <c r="R457" i="3"/>
  <c r="S457" i="3" s="1"/>
  <c r="R504" i="3"/>
  <c r="S504" i="3" s="1"/>
  <c r="R515" i="3"/>
  <c r="S515" i="3" s="1"/>
  <c r="R648" i="3"/>
  <c r="S648" i="3" s="1"/>
  <c r="P465" i="3"/>
  <c r="R465" i="3" s="1"/>
  <c r="S465" i="3" s="1"/>
  <c r="R514" i="3"/>
  <c r="S514" i="3" s="1"/>
  <c r="R641" i="3"/>
  <c r="S641" i="3" s="1"/>
  <c r="R662" i="3"/>
  <c r="S662" i="3" s="1"/>
  <c r="P343" i="3"/>
  <c r="R343" i="3" s="1"/>
  <c r="S343" i="3" s="1"/>
  <c r="R348" i="3"/>
  <c r="S348" i="3" s="1"/>
  <c r="P357" i="3"/>
  <c r="R357" i="3" s="1"/>
  <c r="S357" i="3" s="1"/>
  <c r="P372" i="3"/>
  <c r="R372" i="3" s="1"/>
  <c r="S372" i="3" s="1"/>
  <c r="R393" i="3"/>
  <c r="S393" i="3" s="1"/>
  <c r="P451" i="3"/>
  <c r="R451" i="3" s="1"/>
  <c r="S451" i="3" s="1"/>
  <c r="R559" i="3"/>
  <c r="S559" i="3" s="1"/>
  <c r="R573" i="3"/>
  <c r="S573" i="3" s="1"/>
  <c r="R598" i="3"/>
  <c r="S598" i="3" s="1"/>
  <c r="R644" i="3"/>
  <c r="S644" i="3" s="1"/>
  <c r="R674" i="3"/>
  <c r="S674" i="3" s="1"/>
  <c r="P595" i="3"/>
  <c r="R595" i="3" s="1"/>
  <c r="S595" i="3" s="1"/>
  <c r="R680" i="3"/>
  <c r="S680" i="3" s="1"/>
  <c r="R684" i="3"/>
  <c r="S684" i="3" s="1"/>
  <c r="P609" i="3"/>
  <c r="R609" i="3" s="1"/>
  <c r="S609" i="3" s="1"/>
  <c r="R677" i="3"/>
  <c r="S677" i="3" s="1"/>
  <c r="R761" i="3"/>
  <c r="S761" i="3" s="1"/>
  <c r="P801" i="3"/>
  <c r="R801" i="3" s="1"/>
  <c r="S801" i="3" s="1"/>
  <c r="R757" i="3"/>
  <c r="S757" i="3" s="1"/>
  <c r="P794" i="3"/>
  <c r="R794" i="3" s="1"/>
  <c r="S794" i="3" s="1"/>
  <c r="C756" i="2"/>
  <c r="C598" i="2"/>
  <c r="C566" i="2"/>
  <c r="C559" i="2"/>
  <c r="C545" i="2"/>
  <c r="C535" i="2"/>
  <c r="C446" i="2"/>
  <c r="C443" i="2"/>
  <c r="C434" i="2"/>
  <c r="C430" i="2"/>
  <c r="C375" i="2"/>
  <c r="C359" i="2"/>
  <c r="C357" i="2"/>
  <c r="C344" i="2"/>
  <c r="C202" i="2"/>
  <c r="C179" i="2"/>
  <c r="C174" i="2"/>
  <c r="E161" i="2"/>
  <c r="C143" i="2"/>
  <c r="C78" i="2"/>
  <c r="N236" i="2"/>
  <c r="N238" i="2"/>
  <c r="N763" i="2"/>
  <c r="N317" i="2"/>
  <c r="N192" i="2"/>
  <c r="N211" i="2"/>
  <c r="N566" i="2"/>
  <c r="N756" i="2"/>
  <c r="N210" i="2"/>
  <c r="S814" i="3" l="1"/>
  <c r="S817" i="3" s="1"/>
  <c r="R814" i="3"/>
  <c r="R817" i="3" s="1"/>
  <c r="N76" i="2"/>
  <c r="N568" i="2" l="1"/>
  <c r="N613" i="2"/>
  <c r="N358" i="2"/>
  <c r="N357" i="2"/>
  <c r="N90" i="2"/>
  <c r="N636" i="2"/>
  <c r="N348" i="2"/>
  <c r="N724" i="2"/>
  <c r="N567" i="2"/>
  <c r="N123" i="2"/>
  <c r="N344" i="2"/>
  <c r="N430" i="2"/>
  <c r="N434" i="2" l="1"/>
  <c r="N598" i="2" l="1"/>
  <c r="N258" i="2"/>
  <c r="P211" i="2"/>
  <c r="J171" i="2"/>
  <c r="N331" i="2"/>
  <c r="J211" i="2"/>
  <c r="E211" i="2"/>
  <c r="N574" i="2"/>
  <c r="N200" i="2"/>
  <c r="N443" i="2"/>
  <c r="N442" i="2"/>
  <c r="N125" i="2"/>
  <c r="N152" i="2"/>
  <c r="N444" i="2"/>
  <c r="N163" i="2"/>
  <c r="N259" i="2"/>
  <c r="N715" i="2"/>
  <c r="N423" i="2"/>
  <c r="N159" i="2"/>
  <c r="N694" i="2"/>
  <c r="N671" i="2"/>
  <c r="N518" i="2"/>
  <c r="N705" i="2"/>
  <c r="N712" i="2"/>
  <c r="N713" i="2"/>
  <c r="N708" i="2"/>
  <c r="N167" i="2"/>
  <c r="N654" i="2"/>
  <c r="N250" i="2"/>
  <c r="N248" i="2"/>
  <c r="N706" i="2"/>
  <c r="N332" i="2"/>
  <c r="N95" i="2"/>
  <c r="N43" i="2"/>
  <c r="N11" i="2"/>
  <c r="N84" i="2"/>
  <c r="N596" i="2"/>
  <c r="N662" i="2"/>
  <c r="N343" i="2"/>
  <c r="N79" i="2"/>
  <c r="N750" i="2"/>
  <c r="N751" i="2"/>
  <c r="N558" i="2"/>
  <c r="N695" i="2"/>
  <c r="N78" i="2"/>
  <c r="N677" i="2"/>
  <c r="N202" i="2"/>
  <c r="N161" i="2"/>
  <c r="N498" i="2"/>
  <c r="N170" i="2"/>
  <c r="N165" i="2"/>
  <c r="N557" i="2"/>
  <c r="N110" i="2"/>
  <c r="N319" i="2"/>
  <c r="N269" i="2"/>
  <c r="N134" i="2"/>
  <c r="N581" i="2"/>
  <c r="P242" i="2"/>
  <c r="R242" i="2" s="1"/>
  <c r="S242" i="2" s="1"/>
  <c r="E629" i="2"/>
  <c r="P629" i="2"/>
  <c r="R629" i="2" s="1"/>
  <c r="S629" i="2" s="1"/>
  <c r="P205" i="2"/>
  <c r="P701" i="2"/>
  <c r="R211" i="2" l="1"/>
  <c r="S211" i="2" s="1"/>
  <c r="R205" i="2"/>
  <c r="S205" i="2" s="1"/>
  <c r="R701" i="2"/>
  <c r="S701" i="2" s="1"/>
  <c r="E165" i="2"/>
  <c r="E163" i="2"/>
  <c r="E581" i="2"/>
  <c r="E557" i="2"/>
  <c r="E543" i="2"/>
  <c r="P593" i="2"/>
  <c r="R593" i="2" s="1"/>
  <c r="S593" i="2" s="1"/>
  <c r="E751" i="2"/>
  <c r="E250" i="2"/>
  <c r="E248" i="2"/>
  <c r="E599" i="2" l="1"/>
  <c r="C404" i="2"/>
  <c r="E84" i="2"/>
  <c r="E370" i="2"/>
  <c r="E185" i="2"/>
  <c r="E170" i="2"/>
  <c r="P167" i="2"/>
  <c r="R167" i="2" s="1"/>
  <c r="S167" i="2" s="1"/>
  <c r="E109" i="2"/>
  <c r="P592" i="2"/>
  <c r="R592" i="2" s="1"/>
  <c r="S592" i="2" s="1"/>
  <c r="E596" i="2"/>
  <c r="E268" i="2"/>
  <c r="E552" i="2"/>
  <c r="E654" i="2"/>
  <c r="E498" i="2"/>
  <c r="E208" i="2"/>
  <c r="E750" i="2"/>
  <c r="E134" i="2"/>
  <c r="E713" i="2"/>
  <c r="E708" i="2"/>
  <c r="E705" i="2"/>
  <c r="E712" i="2"/>
  <c r="N370" i="2"/>
  <c r="E159" i="2"/>
  <c r="N664" i="2" l="1"/>
  <c r="N103" i="2"/>
  <c r="N80" i="2"/>
  <c r="N204" i="2"/>
  <c r="N487" i="2"/>
  <c r="N50" i="2"/>
  <c r="N40" i="2"/>
  <c r="N264" i="2"/>
  <c r="N762" i="2"/>
  <c r="N726" i="2"/>
  <c r="N725" i="2"/>
  <c r="N354" i="2"/>
  <c r="N353" i="2"/>
  <c r="N522" i="2"/>
  <c r="N520" i="2"/>
  <c r="N523" i="2"/>
  <c r="N524" i="2"/>
  <c r="N628" i="2"/>
  <c r="N29" i="2"/>
  <c r="N31" i="2"/>
  <c r="N203" i="2"/>
  <c r="N433" i="2"/>
  <c r="N85" i="2"/>
  <c r="N640" i="2"/>
  <c r="N91" i="2"/>
  <c r="N521" i="2"/>
  <c r="N626" i="2"/>
  <c r="N615" i="2"/>
  <c r="N350" i="2" l="1"/>
  <c r="N415" i="2"/>
  <c r="N414" i="2"/>
  <c r="N413" i="2"/>
  <c r="N499" i="2" l="1"/>
  <c r="N690" i="2" l="1"/>
  <c r="N149" i="2"/>
  <c r="N445" i="2"/>
  <c r="N446" i="2"/>
  <c r="P419" i="2"/>
  <c r="R419" i="2" s="1"/>
  <c r="S419" i="2" s="1"/>
  <c r="N431" i="2"/>
  <c r="N405" i="2"/>
  <c r="N437" i="2"/>
  <c r="N584" i="2"/>
  <c r="N668" i="2"/>
  <c r="N322" i="2"/>
  <c r="J504" i="2"/>
  <c r="P504" i="2"/>
  <c r="N326" i="2"/>
  <c r="N307" i="2"/>
  <c r="N184" i="2"/>
  <c r="R504" i="2" l="1"/>
  <c r="S504" i="2" s="1"/>
  <c r="N589" i="2"/>
  <c r="N719" i="2"/>
  <c r="N622" i="2"/>
  <c r="N124" i="2" l="1"/>
  <c r="E463" i="2" l="1"/>
  <c r="P459" i="2"/>
  <c r="R459" i="2" s="1"/>
  <c r="S459" i="2" s="1"/>
  <c r="E157" i="2"/>
  <c r="E110" i="2"/>
  <c r="E269" i="2"/>
  <c r="P268" i="2"/>
  <c r="R268" i="2" s="1"/>
  <c r="S268" i="2" s="1"/>
  <c r="E340" i="2"/>
  <c r="E319" i="2"/>
  <c r="E309" i="2"/>
  <c r="E558" i="2"/>
  <c r="P170" i="2"/>
  <c r="R170" i="2" s="1"/>
  <c r="S170" i="2" s="1"/>
  <c r="P171" i="2"/>
  <c r="C209" i="2"/>
  <c r="N208" i="2"/>
  <c r="E499" i="2"/>
  <c r="N133" i="2"/>
  <c r="P134" i="2"/>
  <c r="J134" i="2"/>
  <c r="J761" i="2"/>
  <c r="E91" i="2"/>
  <c r="E88" i="2"/>
  <c r="R171" i="2" l="1"/>
  <c r="S171" i="2" s="1"/>
  <c r="R134" i="2"/>
  <c r="S134" i="2" s="1"/>
  <c r="N310" i="2"/>
  <c r="N188" i="2"/>
  <c r="N656" i="2"/>
  <c r="N150" i="2"/>
  <c r="N253" i="2"/>
  <c r="N254" i="2"/>
  <c r="N611" i="2"/>
  <c r="N559" i="2"/>
  <c r="N320" i="2"/>
  <c r="N534" i="2"/>
  <c r="N139" i="2"/>
  <c r="N697" i="2"/>
  <c r="N550" i="2"/>
  <c r="N300" i="2"/>
  <c r="N52" i="2"/>
  <c r="N61" i="2"/>
  <c r="N53" i="2"/>
  <c r="N509" i="2"/>
  <c r="N583" i="2" l="1"/>
  <c r="N602" i="2"/>
  <c r="N88" i="2"/>
  <c r="N658" i="2"/>
  <c r="N450" i="2"/>
  <c r="N381" i="2" l="1"/>
  <c r="N359" i="2" l="1"/>
  <c r="N582" i="2"/>
  <c r="N435" i="2"/>
  <c r="N109" i="2" l="1"/>
  <c r="N716" i="2"/>
  <c r="N309" i="2" l="1"/>
  <c r="N70" i="2"/>
  <c r="N39" i="2"/>
  <c r="N164" i="2"/>
  <c r="N335" i="2"/>
  <c r="N345" i="2"/>
  <c r="N552" i="2" l="1"/>
  <c r="N599" i="2" l="1"/>
  <c r="N436" i="2"/>
  <c r="N56" i="2" l="1"/>
  <c r="N55" i="2"/>
  <c r="N678" i="2"/>
  <c r="N128" i="2" l="1"/>
  <c r="N624" i="2" l="1"/>
  <c r="N356" i="2"/>
  <c r="N160" i="2"/>
  <c r="N340" i="2"/>
  <c r="N97" i="2"/>
  <c r="N263" i="2"/>
  <c r="N82" i="2"/>
  <c r="N316" i="2"/>
  <c r="N240" i="2"/>
  <c r="N699" i="2"/>
  <c r="N278" i="2"/>
  <c r="J699" i="2"/>
  <c r="N720" i="2"/>
  <c r="P404" i="2" l="1"/>
  <c r="R404" i="2" s="1"/>
  <c r="S404" i="2" s="1"/>
  <c r="P163" i="2"/>
  <c r="R163" i="2" s="1"/>
  <c r="S163" i="2" s="1"/>
  <c r="P499" i="2"/>
  <c r="R499" i="2" s="1"/>
  <c r="S499" i="2" s="1"/>
  <c r="C403" i="2"/>
  <c r="E331" i="2"/>
  <c r="E128" i="2" l="1"/>
  <c r="E335" i="2"/>
  <c r="E345" i="2"/>
  <c r="E699" i="2"/>
  <c r="E210" i="2"/>
  <c r="P742" i="2"/>
  <c r="J742" i="2"/>
  <c r="R742" i="2" l="1"/>
  <c r="S742" i="2" s="1"/>
  <c r="P41" i="2"/>
  <c r="R41" i="2" s="1"/>
  <c r="S41" i="2" s="1"/>
  <c r="P56" i="2"/>
  <c r="R56" i="2" s="1"/>
  <c r="S56" i="2" s="1"/>
  <c r="P672" i="2"/>
  <c r="J672" i="2"/>
  <c r="E567" i="2"/>
  <c r="E678" i="2"/>
  <c r="E430" i="2"/>
  <c r="E433" i="2"/>
  <c r="J92" i="2"/>
  <c r="E613" i="2"/>
  <c r="E610" i="2"/>
  <c r="E102" i="2"/>
  <c r="J104" i="2"/>
  <c r="P104" i="2"/>
  <c r="J149" i="2"/>
  <c r="P185" i="2"/>
  <c r="R185" i="2" s="1"/>
  <c r="S185" i="2" s="1"/>
  <c r="E82" i="2"/>
  <c r="E656" i="2"/>
  <c r="P766" i="2"/>
  <c r="R766" i="2" s="1"/>
  <c r="S766" i="2" s="1"/>
  <c r="R672" i="2" l="1"/>
  <c r="S672" i="2" s="1"/>
  <c r="R104" i="2"/>
  <c r="S104" i="2" s="1"/>
  <c r="E622" i="2"/>
  <c r="E307" i="2"/>
  <c r="P401" i="2"/>
  <c r="R401" i="2" s="1"/>
  <c r="S401" i="2" s="1"/>
  <c r="P659" i="2"/>
  <c r="R659" i="2" s="1"/>
  <c r="S659" i="2" s="1"/>
  <c r="P161" i="2"/>
  <c r="R161" i="2" s="1"/>
  <c r="S161" i="2" s="1"/>
  <c r="J102" i="2" l="1"/>
  <c r="P102" i="2"/>
  <c r="J100" i="2"/>
  <c r="P100" i="2"/>
  <c r="E436" i="2"/>
  <c r="E568" i="2"/>
  <c r="E566" i="2"/>
  <c r="R102" i="2" l="1"/>
  <c r="S102" i="2" s="1"/>
  <c r="R100" i="2"/>
  <c r="S100" i="2" s="1"/>
  <c r="E668" i="2"/>
  <c r="E103" i="2" l="1"/>
  <c r="E203" i="2"/>
  <c r="E437" i="2" l="1"/>
  <c r="E344" i="2"/>
  <c r="N684" i="2" l="1"/>
  <c r="N492" i="2"/>
  <c r="J81" i="2"/>
  <c r="P80" i="2"/>
  <c r="R80" i="2" s="1"/>
  <c r="S80" i="2" s="1"/>
  <c r="J89" i="2"/>
  <c r="P89" i="2"/>
  <c r="R89" i="2" l="1"/>
  <c r="S89" i="2" s="1"/>
  <c r="N554" i="2" l="1"/>
  <c r="N535" i="2" l="1"/>
  <c r="N403" i="2"/>
  <c r="N422" i="2"/>
  <c r="N572" i="2"/>
  <c r="N571" i="2"/>
  <c r="N646" i="2"/>
  <c r="N130" i="2"/>
  <c r="N14" i="2" l="1"/>
  <c r="N276" i="2"/>
  <c r="N360" i="2" l="1"/>
  <c r="N693" i="2"/>
  <c r="P694" i="2" l="1"/>
  <c r="R694" i="2" s="1"/>
  <c r="S694" i="2" s="1"/>
  <c r="E571" i="2" l="1"/>
  <c r="J361" i="2"/>
  <c r="P361" i="2"/>
  <c r="J613" i="2"/>
  <c r="J610" i="2"/>
  <c r="R361" i="2" l="1"/>
  <c r="S361" i="2" s="1"/>
  <c r="N239" i="2" l="1"/>
  <c r="N158" i="2"/>
  <c r="P746" i="2"/>
  <c r="R746" i="2" s="1"/>
  <c r="S746" i="2" s="1"/>
  <c r="N545" i="2" l="1"/>
  <c r="N174" i="2"/>
  <c r="N655" i="2"/>
  <c r="J697" i="2"/>
  <c r="N667" i="2"/>
  <c r="N642" i="2" l="1"/>
  <c r="N488" i="2"/>
  <c r="R741" i="1" l="1"/>
  <c r="R770" i="2"/>
  <c r="R771" i="2"/>
  <c r="P763" i="2"/>
  <c r="R763" i="2" s="1"/>
  <c r="S763" i="2" s="1"/>
  <c r="P762" i="2"/>
  <c r="R762" i="2" s="1"/>
  <c r="S762" i="2" s="1"/>
  <c r="P761" i="2"/>
  <c r="R761" i="2" s="1"/>
  <c r="S761" i="2" s="1"/>
  <c r="P760" i="2"/>
  <c r="J760" i="2"/>
  <c r="P759" i="2"/>
  <c r="J759" i="2"/>
  <c r="P758" i="2"/>
  <c r="R758" i="2" s="1"/>
  <c r="S758" i="2" s="1"/>
  <c r="P757" i="2"/>
  <c r="J757" i="2"/>
  <c r="P756" i="2"/>
  <c r="J756" i="2"/>
  <c r="P755" i="2"/>
  <c r="R755" i="2" s="1"/>
  <c r="S755" i="2" s="1"/>
  <c r="P754" i="2"/>
  <c r="R754" i="2" s="1"/>
  <c r="S754" i="2" s="1"/>
  <c r="P753" i="2"/>
  <c r="R753" i="2" s="1"/>
  <c r="S753" i="2" s="1"/>
  <c r="P752" i="2"/>
  <c r="R752" i="2" s="1"/>
  <c r="S752" i="2" s="1"/>
  <c r="P751" i="2"/>
  <c r="R751" i="2" s="1"/>
  <c r="S751" i="2" s="1"/>
  <c r="P750" i="2"/>
  <c r="R750" i="2" s="1"/>
  <c r="S750" i="2" s="1"/>
  <c r="P749" i="2"/>
  <c r="R749" i="2" s="1"/>
  <c r="S749" i="2" s="1"/>
  <c r="P748" i="2"/>
  <c r="R748" i="2" s="1"/>
  <c r="S748" i="2" s="1"/>
  <c r="P747" i="2"/>
  <c r="R747" i="2" s="1"/>
  <c r="S747" i="2" s="1"/>
  <c r="P743" i="2"/>
  <c r="J743" i="2"/>
  <c r="P741" i="2"/>
  <c r="J741" i="2"/>
  <c r="P740" i="2"/>
  <c r="J740" i="2"/>
  <c r="P739" i="2"/>
  <c r="J739" i="2"/>
  <c r="S738" i="2"/>
  <c r="P737" i="2"/>
  <c r="J737" i="2"/>
  <c r="P736" i="2"/>
  <c r="J736" i="2"/>
  <c r="P735" i="2"/>
  <c r="J735" i="2"/>
  <c r="P734" i="2"/>
  <c r="J734" i="2"/>
  <c r="P732" i="2"/>
  <c r="R732" i="2" s="1"/>
  <c r="S732" i="2" s="1"/>
  <c r="P731" i="2"/>
  <c r="R731" i="2" s="1"/>
  <c r="S731" i="2" s="1"/>
  <c r="P730" i="2"/>
  <c r="J730" i="2"/>
  <c r="P729" i="2"/>
  <c r="J729" i="2"/>
  <c r="P728" i="2"/>
  <c r="R728" i="2" s="1"/>
  <c r="S728" i="2" s="1"/>
  <c r="P727" i="2"/>
  <c r="R727" i="2" s="1"/>
  <c r="S727" i="2" s="1"/>
  <c r="P726" i="2"/>
  <c r="R726" i="2" s="1"/>
  <c r="S726" i="2" s="1"/>
  <c r="P725" i="2"/>
  <c r="R725" i="2" s="1"/>
  <c r="S725" i="2" s="1"/>
  <c r="P724" i="2"/>
  <c r="R724" i="2" s="1"/>
  <c r="S724" i="2" s="1"/>
  <c r="P720" i="2"/>
  <c r="J720" i="2"/>
  <c r="P719" i="2"/>
  <c r="J719" i="2"/>
  <c r="P718" i="2"/>
  <c r="R718" i="2" s="1"/>
  <c r="S718" i="2" s="1"/>
  <c r="P717" i="2"/>
  <c r="R717" i="2" s="1"/>
  <c r="S717" i="2" s="1"/>
  <c r="P716" i="2"/>
  <c r="J716" i="2"/>
  <c r="P715" i="2"/>
  <c r="J715" i="2"/>
  <c r="P714" i="2"/>
  <c r="R714" i="2" s="1"/>
  <c r="S714" i="2" s="1"/>
  <c r="P713" i="2"/>
  <c r="R713" i="2" s="1"/>
  <c r="S713" i="2" s="1"/>
  <c r="P712" i="2"/>
  <c r="R712" i="2" s="1"/>
  <c r="S712" i="2" s="1"/>
  <c r="P711" i="2"/>
  <c r="R711" i="2" s="1"/>
  <c r="S711" i="2" s="1"/>
  <c r="P710" i="2"/>
  <c r="R710" i="2" s="1"/>
  <c r="S710" i="2" s="1"/>
  <c r="P709" i="2"/>
  <c r="R709" i="2" s="1"/>
  <c r="S709" i="2" s="1"/>
  <c r="P708" i="2"/>
  <c r="R708" i="2" s="1"/>
  <c r="S708" i="2" s="1"/>
  <c r="P707" i="2"/>
  <c r="R707" i="2" s="1"/>
  <c r="S707" i="2" s="1"/>
  <c r="P706" i="2"/>
  <c r="R706" i="2" s="1"/>
  <c r="S706" i="2" s="1"/>
  <c r="P705" i="2"/>
  <c r="R705" i="2" s="1"/>
  <c r="S705" i="2" s="1"/>
  <c r="P704" i="2"/>
  <c r="R704" i="2" s="1"/>
  <c r="S704" i="2" s="1"/>
  <c r="P700" i="2"/>
  <c r="R700" i="2" s="1"/>
  <c r="S700" i="2" s="1"/>
  <c r="P699" i="2"/>
  <c r="P698" i="2"/>
  <c r="J698" i="2"/>
  <c r="P697" i="2"/>
  <c r="R697" i="2" s="1"/>
  <c r="S697" i="2" s="1"/>
  <c r="P695" i="2"/>
  <c r="R695" i="2" s="1"/>
  <c r="S695" i="2" s="1"/>
  <c r="P693" i="2"/>
  <c r="R693" i="2" s="1"/>
  <c r="S693" i="2" s="1"/>
  <c r="P696" i="2"/>
  <c r="R696" i="2" s="1"/>
  <c r="S696" i="2" s="1"/>
  <c r="P691" i="2"/>
  <c r="R691" i="2" s="1"/>
  <c r="S691" i="2" s="1"/>
  <c r="P690" i="2"/>
  <c r="R690" i="2" s="1"/>
  <c r="S690" i="2" s="1"/>
  <c r="P689" i="2"/>
  <c r="R689" i="2" s="1"/>
  <c r="S689" i="2" s="1"/>
  <c r="P688" i="2"/>
  <c r="R688" i="2" s="1"/>
  <c r="S688" i="2" s="1"/>
  <c r="P687" i="2"/>
  <c r="R687" i="2" s="1"/>
  <c r="S687" i="2" s="1"/>
  <c r="P686" i="2"/>
  <c r="R686" i="2" s="1"/>
  <c r="S686" i="2" s="1"/>
  <c r="P685" i="2"/>
  <c r="J685" i="2"/>
  <c r="J684" i="2"/>
  <c r="P684" i="2"/>
  <c r="P683" i="2"/>
  <c r="J683" i="2"/>
  <c r="P682" i="2"/>
  <c r="J682" i="2"/>
  <c r="P681" i="2"/>
  <c r="R681" i="2" s="1"/>
  <c r="S681" i="2" s="1"/>
  <c r="P680" i="2"/>
  <c r="J680" i="2"/>
  <c r="P679" i="2"/>
  <c r="J679" i="2"/>
  <c r="P678" i="2"/>
  <c r="J678" i="2"/>
  <c r="J677" i="2"/>
  <c r="P677" i="2"/>
  <c r="P676" i="2"/>
  <c r="J676" i="2"/>
  <c r="P675" i="2"/>
  <c r="R675" i="2" s="1"/>
  <c r="S675" i="2" s="1"/>
  <c r="P674" i="2"/>
  <c r="J674" i="2"/>
  <c r="P673" i="2"/>
  <c r="J673" i="2"/>
  <c r="J671" i="2"/>
  <c r="P671" i="2"/>
  <c r="P670" i="2"/>
  <c r="J670" i="2"/>
  <c r="P669" i="2"/>
  <c r="J669" i="2"/>
  <c r="P668" i="2"/>
  <c r="J668" i="2"/>
  <c r="P667" i="2"/>
  <c r="J667" i="2"/>
  <c r="P666" i="2"/>
  <c r="R666" i="2" s="1"/>
  <c r="S666" i="2" s="1"/>
  <c r="P665" i="2"/>
  <c r="R665" i="2" s="1"/>
  <c r="S665" i="2" s="1"/>
  <c r="P664" i="2"/>
  <c r="R664" i="2" s="1"/>
  <c r="S664" i="2" s="1"/>
  <c r="P663" i="2"/>
  <c r="R663" i="2" s="1"/>
  <c r="S663" i="2" s="1"/>
  <c r="P662" i="2"/>
  <c r="R662" i="2" s="1"/>
  <c r="S662" i="2" s="1"/>
  <c r="P661" i="2"/>
  <c r="R661" i="2" s="1"/>
  <c r="S661" i="2" s="1"/>
  <c r="P660" i="2"/>
  <c r="R660" i="2" s="1"/>
  <c r="S660" i="2" s="1"/>
  <c r="P658" i="2"/>
  <c r="R658" i="2" s="1"/>
  <c r="S658" i="2" s="1"/>
  <c r="P657" i="2"/>
  <c r="J657" i="2"/>
  <c r="P656" i="2"/>
  <c r="R656" i="2" s="1"/>
  <c r="S656" i="2" s="1"/>
  <c r="P655" i="2"/>
  <c r="R655" i="2" s="1"/>
  <c r="S655" i="2" s="1"/>
  <c r="P654" i="2"/>
  <c r="R654" i="2" s="1"/>
  <c r="S654" i="2" s="1"/>
  <c r="P652" i="2"/>
  <c r="J652" i="2"/>
  <c r="P651" i="2"/>
  <c r="R651" i="2" s="1"/>
  <c r="S651" i="2" s="1"/>
  <c r="P647" i="2"/>
  <c r="J647" i="2"/>
  <c r="P646" i="2"/>
  <c r="J646" i="2"/>
  <c r="P645" i="2"/>
  <c r="R645" i="2" s="1"/>
  <c r="S645" i="2" s="1"/>
  <c r="P644" i="2"/>
  <c r="J644" i="2"/>
  <c r="P643" i="2"/>
  <c r="J643" i="2"/>
  <c r="P642" i="2"/>
  <c r="J642" i="2"/>
  <c r="P640" i="2"/>
  <c r="J640" i="2"/>
  <c r="P639" i="2"/>
  <c r="J639" i="2"/>
  <c r="P638" i="2"/>
  <c r="R638" i="2" s="1"/>
  <c r="S638" i="2" s="1"/>
  <c r="P637" i="2"/>
  <c r="R637" i="2" s="1"/>
  <c r="S637" i="2" s="1"/>
  <c r="P636" i="2"/>
  <c r="J636" i="2"/>
  <c r="P635" i="2"/>
  <c r="J635" i="2"/>
  <c r="P634" i="2"/>
  <c r="R634" i="2" s="1"/>
  <c r="S634" i="2" s="1"/>
  <c r="P633" i="2"/>
  <c r="R633" i="2" s="1"/>
  <c r="S633" i="2" s="1"/>
  <c r="P628" i="2"/>
  <c r="R628" i="2" s="1"/>
  <c r="S628" i="2" s="1"/>
  <c r="P627" i="2"/>
  <c r="R627" i="2" s="1"/>
  <c r="S627" i="2" s="1"/>
  <c r="P626" i="2"/>
  <c r="R626" i="2" s="1"/>
  <c r="S626" i="2" s="1"/>
  <c r="P625" i="2"/>
  <c r="J625" i="2"/>
  <c r="P624" i="2"/>
  <c r="J624" i="2"/>
  <c r="P623" i="2"/>
  <c r="R623" i="2" s="1"/>
  <c r="S623" i="2" s="1"/>
  <c r="P622" i="2"/>
  <c r="R622" i="2" s="1"/>
  <c r="S622" i="2" s="1"/>
  <c r="P619" i="2"/>
  <c r="R619" i="2" s="1"/>
  <c r="S619" i="2" s="1"/>
  <c r="P618" i="2"/>
  <c r="R618" i="2" s="1"/>
  <c r="S618" i="2" s="1"/>
  <c r="P617" i="2"/>
  <c r="R617" i="2" s="1"/>
  <c r="S617" i="2" s="1"/>
  <c r="P616" i="2"/>
  <c r="R616" i="2" s="1"/>
  <c r="S616" i="2" s="1"/>
  <c r="P615" i="2"/>
  <c r="R615" i="2" s="1"/>
  <c r="S615" i="2" s="1"/>
  <c r="P613" i="2"/>
  <c r="R613" i="2" s="1"/>
  <c r="S613" i="2" s="1"/>
  <c r="P611" i="2"/>
  <c r="J611" i="2"/>
  <c r="P610" i="2"/>
  <c r="R610" i="2" s="1"/>
  <c r="S610" i="2" s="1"/>
  <c r="P606" i="2"/>
  <c r="J606" i="2"/>
  <c r="P605" i="2"/>
  <c r="J605" i="2"/>
  <c r="P604" i="2"/>
  <c r="J604" i="2"/>
  <c r="P603" i="2"/>
  <c r="J603" i="2"/>
  <c r="P602" i="2"/>
  <c r="J602" i="2"/>
  <c r="P601" i="2"/>
  <c r="J601" i="2"/>
  <c r="P600" i="2"/>
  <c r="J600" i="2"/>
  <c r="J599" i="2"/>
  <c r="P599" i="2"/>
  <c r="P598" i="2"/>
  <c r="J598" i="2"/>
  <c r="P597" i="2"/>
  <c r="R597" i="2" s="1"/>
  <c r="S597" i="2" s="1"/>
  <c r="P596" i="2"/>
  <c r="R596" i="2" s="1"/>
  <c r="S596" i="2" s="1"/>
  <c r="P595" i="2"/>
  <c r="R595" i="2" s="1"/>
  <c r="S595" i="2" s="1"/>
  <c r="P594" i="2"/>
  <c r="R594" i="2" s="1"/>
  <c r="S594" i="2" s="1"/>
  <c r="P589" i="2"/>
  <c r="J589" i="2"/>
  <c r="P588" i="2"/>
  <c r="R588" i="2" s="1"/>
  <c r="S588" i="2" s="1"/>
  <c r="P584" i="2"/>
  <c r="R584" i="2" s="1"/>
  <c r="S584" i="2" s="1"/>
  <c r="P583" i="2"/>
  <c r="R583" i="2" s="1"/>
  <c r="S583" i="2" s="1"/>
  <c r="P582" i="2"/>
  <c r="J582" i="2"/>
  <c r="P581" i="2"/>
  <c r="R581" i="2" s="1"/>
  <c r="S581" i="2" s="1"/>
  <c r="P580" i="2"/>
  <c r="R580" i="2" s="1"/>
  <c r="S580" i="2" s="1"/>
  <c r="P579" i="2"/>
  <c r="R579" i="2" s="1"/>
  <c r="S579" i="2" s="1"/>
  <c r="P576" i="2"/>
  <c r="R576" i="2" s="1"/>
  <c r="S576" i="2" s="1"/>
  <c r="P575" i="2"/>
  <c r="J575" i="2"/>
  <c r="P574" i="2"/>
  <c r="J574" i="2"/>
  <c r="P573" i="2"/>
  <c r="R573" i="2" s="1"/>
  <c r="S573" i="2" s="1"/>
  <c r="P572" i="2"/>
  <c r="J572" i="2"/>
  <c r="P571" i="2"/>
  <c r="J571" i="2"/>
  <c r="P570" i="2"/>
  <c r="J570" i="2"/>
  <c r="P569" i="2"/>
  <c r="J569" i="2"/>
  <c r="P568" i="2"/>
  <c r="J568" i="2"/>
  <c r="P567" i="2"/>
  <c r="J567" i="2"/>
  <c r="P566" i="2"/>
  <c r="J566" i="2"/>
  <c r="P565" i="2"/>
  <c r="R565" i="2" s="1"/>
  <c r="S565" i="2" s="1"/>
  <c r="P564" i="2"/>
  <c r="R564" i="2" s="1"/>
  <c r="S564" i="2" s="1"/>
  <c r="P563" i="2"/>
  <c r="R563" i="2" s="1"/>
  <c r="S563" i="2" s="1"/>
  <c r="P562" i="2"/>
  <c r="R562" i="2" s="1"/>
  <c r="S562" i="2" s="1"/>
  <c r="P561" i="2"/>
  <c r="R561" i="2" s="1"/>
  <c r="S561" i="2" s="1"/>
  <c r="P560" i="2"/>
  <c r="R560" i="2" s="1"/>
  <c r="S560" i="2" s="1"/>
  <c r="P559" i="2"/>
  <c r="R559" i="2" s="1"/>
  <c r="S559" i="2" s="1"/>
  <c r="P558" i="2"/>
  <c r="R558" i="2" s="1"/>
  <c r="S558" i="2" s="1"/>
  <c r="P557" i="2"/>
  <c r="R557" i="2" s="1"/>
  <c r="S557" i="2" s="1"/>
  <c r="P556" i="2"/>
  <c r="R556" i="2" s="1"/>
  <c r="S556" i="2" s="1"/>
  <c r="P555" i="2"/>
  <c r="R555" i="2" s="1"/>
  <c r="S555" i="2" s="1"/>
  <c r="P554" i="2"/>
  <c r="R554" i="2" s="1"/>
  <c r="S554" i="2" s="1"/>
  <c r="P553" i="2"/>
  <c r="R553" i="2" s="1"/>
  <c r="S553" i="2" s="1"/>
  <c r="P552" i="2"/>
  <c r="R552" i="2" s="1"/>
  <c r="S552" i="2" s="1"/>
  <c r="P550" i="2"/>
  <c r="R550" i="2" s="1"/>
  <c r="S550" i="2" s="1"/>
  <c r="P549" i="2"/>
  <c r="R549" i="2" s="1"/>
  <c r="S549" i="2" s="1"/>
  <c r="P548" i="2"/>
  <c r="J548" i="2"/>
  <c r="P547" i="2"/>
  <c r="R547" i="2" s="1"/>
  <c r="S547" i="2" s="1"/>
  <c r="P546" i="2"/>
  <c r="R546" i="2" s="1"/>
  <c r="S546" i="2" s="1"/>
  <c r="P545" i="2"/>
  <c r="R545" i="2" s="1"/>
  <c r="S545" i="2" s="1"/>
  <c r="P544" i="2"/>
  <c r="R544" i="2" s="1"/>
  <c r="S544" i="2" s="1"/>
  <c r="P543" i="2"/>
  <c r="R543" i="2" s="1"/>
  <c r="S543" i="2" s="1"/>
  <c r="P541" i="2"/>
  <c r="R541" i="2" s="1"/>
  <c r="S541" i="2" s="1"/>
  <c r="P540" i="2"/>
  <c r="R540" i="2" s="1"/>
  <c r="S540" i="2" s="1"/>
  <c r="P539" i="2"/>
  <c r="R539" i="2" s="1"/>
  <c r="S539" i="2" s="1"/>
  <c r="P538" i="2"/>
  <c r="J538" i="2"/>
  <c r="P537" i="2"/>
  <c r="J537" i="2"/>
  <c r="P536" i="2"/>
  <c r="R536" i="2" s="1"/>
  <c r="S536" i="2" s="1"/>
  <c r="P535" i="2"/>
  <c r="J535" i="2"/>
  <c r="P534" i="2"/>
  <c r="J534" i="2"/>
  <c r="P533" i="2"/>
  <c r="R533" i="2" s="1"/>
  <c r="S533" i="2" s="1"/>
  <c r="P532" i="2"/>
  <c r="R532" i="2" s="1"/>
  <c r="S532" i="2" s="1"/>
  <c r="P531" i="2"/>
  <c r="R531" i="2" s="1"/>
  <c r="S531" i="2" s="1"/>
  <c r="P530" i="2"/>
  <c r="R530" i="2" s="1"/>
  <c r="S530" i="2" s="1"/>
  <c r="P529" i="2"/>
  <c r="R529" i="2" s="1"/>
  <c r="S529" i="2" s="1"/>
  <c r="P527" i="2"/>
  <c r="R527" i="2" s="1"/>
  <c r="S527" i="2" s="1"/>
  <c r="P526" i="2"/>
  <c r="J526" i="2"/>
  <c r="P524" i="2"/>
  <c r="R524" i="2" s="1"/>
  <c r="S524" i="2" s="1"/>
  <c r="P523" i="2"/>
  <c r="R523" i="2" s="1"/>
  <c r="S523" i="2" s="1"/>
  <c r="P522" i="2"/>
  <c r="R522" i="2" s="1"/>
  <c r="S522" i="2" s="1"/>
  <c r="P521" i="2"/>
  <c r="R521" i="2" s="1"/>
  <c r="S521" i="2" s="1"/>
  <c r="P520" i="2"/>
  <c r="R520" i="2" s="1"/>
  <c r="S520" i="2" s="1"/>
  <c r="P518" i="2"/>
  <c r="R518" i="2" s="1"/>
  <c r="S518" i="2" s="1"/>
  <c r="P517" i="2"/>
  <c r="J517" i="2"/>
  <c r="P516" i="2"/>
  <c r="J516" i="2"/>
  <c r="P515" i="2"/>
  <c r="J515" i="2"/>
  <c r="P514" i="2"/>
  <c r="J514" i="2"/>
  <c r="P513" i="2"/>
  <c r="J513" i="2"/>
  <c r="P512" i="2"/>
  <c r="J512" i="2"/>
  <c r="P511" i="2"/>
  <c r="J511" i="2"/>
  <c r="P510" i="2"/>
  <c r="J510" i="2"/>
  <c r="P509" i="2"/>
  <c r="R509" i="2" s="1"/>
  <c r="S509" i="2" s="1"/>
  <c r="P508" i="2"/>
  <c r="J508" i="2"/>
  <c r="P507" i="2"/>
  <c r="J507" i="2"/>
  <c r="P506" i="2"/>
  <c r="J506" i="2"/>
  <c r="P505" i="2"/>
  <c r="J505" i="2"/>
  <c r="P503" i="2"/>
  <c r="J503" i="2"/>
  <c r="P502" i="2"/>
  <c r="R502" i="2" s="1"/>
  <c r="S502" i="2" s="1"/>
  <c r="P501" i="2"/>
  <c r="R501" i="2" s="1"/>
  <c r="S501" i="2" s="1"/>
  <c r="P500" i="2"/>
  <c r="R500" i="2" s="1"/>
  <c r="S500" i="2" s="1"/>
  <c r="P498" i="2"/>
  <c r="R498" i="2" s="1"/>
  <c r="S498" i="2" s="1"/>
  <c r="P495" i="2"/>
  <c r="R495" i="2" s="1"/>
  <c r="S495" i="2" s="1"/>
  <c r="P494" i="2"/>
  <c r="J494" i="2"/>
  <c r="P493" i="2"/>
  <c r="J493" i="2"/>
  <c r="P492" i="2"/>
  <c r="R492" i="2" s="1"/>
  <c r="S492" i="2" s="1"/>
  <c r="P491" i="2"/>
  <c r="R491" i="2" s="1"/>
  <c r="S491" i="2" s="1"/>
  <c r="P490" i="2"/>
  <c r="J490" i="2"/>
  <c r="P488" i="2"/>
  <c r="R488" i="2" s="1"/>
  <c r="S488" i="2" s="1"/>
  <c r="P487" i="2"/>
  <c r="J487" i="2"/>
  <c r="P486" i="2"/>
  <c r="J486" i="2"/>
  <c r="P484" i="2"/>
  <c r="J484" i="2"/>
  <c r="P483" i="2"/>
  <c r="R483" i="2" s="1"/>
  <c r="S483" i="2" s="1"/>
  <c r="P482" i="2"/>
  <c r="R482" i="2" s="1"/>
  <c r="S482" i="2" s="1"/>
  <c r="P481" i="2"/>
  <c r="R481" i="2" s="1"/>
  <c r="S481" i="2" s="1"/>
  <c r="P480" i="2"/>
  <c r="R480" i="2" s="1"/>
  <c r="S480" i="2" s="1"/>
  <c r="P479" i="2"/>
  <c r="R479" i="2" s="1"/>
  <c r="S479" i="2" s="1"/>
  <c r="P478" i="2"/>
  <c r="R478" i="2" s="1"/>
  <c r="S478" i="2" s="1"/>
  <c r="P476" i="2"/>
  <c r="R476" i="2" s="1"/>
  <c r="S476" i="2" s="1"/>
  <c r="P475" i="2"/>
  <c r="R475" i="2" s="1"/>
  <c r="S475" i="2" s="1"/>
  <c r="P474" i="2"/>
  <c r="R474" i="2" s="1"/>
  <c r="S474" i="2" s="1"/>
  <c r="P473" i="2"/>
  <c r="R473" i="2" s="1"/>
  <c r="S473" i="2" s="1"/>
  <c r="P472" i="2"/>
  <c r="P471" i="2"/>
  <c r="P470" i="2"/>
  <c r="P469" i="2"/>
  <c r="R469" i="2" s="1"/>
  <c r="S469" i="2" s="1"/>
  <c r="P468" i="2"/>
  <c r="P467" i="2"/>
  <c r="P466" i="2"/>
  <c r="R466" i="2" s="1"/>
  <c r="S466" i="2" s="1"/>
  <c r="P465" i="2"/>
  <c r="P464" i="2"/>
  <c r="R464" i="2" s="1"/>
  <c r="S464" i="2" s="1"/>
  <c r="P463" i="2"/>
  <c r="P462" i="2"/>
  <c r="P461" i="2"/>
  <c r="P460" i="2"/>
  <c r="R460" i="2" s="1"/>
  <c r="S460" i="2" s="1"/>
  <c r="P458" i="2"/>
  <c r="P457" i="2"/>
  <c r="P456" i="2"/>
  <c r="P455" i="2"/>
  <c r="P454" i="2"/>
  <c r="R454" i="2" s="1"/>
  <c r="S454" i="2" s="1"/>
  <c r="P453" i="2"/>
  <c r="R453" i="2" s="1"/>
  <c r="S453" i="2" s="1"/>
  <c r="P452" i="2"/>
  <c r="R452" i="2" s="1"/>
  <c r="S452" i="2" s="1"/>
  <c r="P451" i="2"/>
  <c r="J451" i="2"/>
  <c r="P450" i="2"/>
  <c r="R450" i="2" s="1"/>
  <c r="S450" i="2" s="1"/>
  <c r="P449" i="2"/>
  <c r="R449" i="2" s="1"/>
  <c r="S449" i="2" s="1"/>
  <c r="P448" i="2"/>
  <c r="R448" i="2" s="1"/>
  <c r="S448" i="2" s="1"/>
  <c r="P447" i="2"/>
  <c r="R447" i="2" s="1"/>
  <c r="S447" i="2" s="1"/>
  <c r="P446" i="2"/>
  <c r="J446" i="2"/>
  <c r="P445" i="2"/>
  <c r="J445" i="2"/>
  <c r="P444" i="2"/>
  <c r="J444" i="2"/>
  <c r="P443" i="2"/>
  <c r="J443" i="2"/>
  <c r="P442" i="2"/>
  <c r="J442" i="2"/>
  <c r="J441" i="2"/>
  <c r="P441" i="2"/>
  <c r="P440" i="2"/>
  <c r="R440" i="2" s="1"/>
  <c r="S440" i="2" s="1"/>
  <c r="P439" i="2"/>
  <c r="R439" i="2" s="1"/>
  <c r="S439" i="2" s="1"/>
  <c r="P438" i="2"/>
  <c r="J438" i="2"/>
  <c r="P437" i="2"/>
  <c r="J437" i="2"/>
  <c r="P436" i="2"/>
  <c r="J436" i="2"/>
  <c r="P435" i="2"/>
  <c r="J435" i="2"/>
  <c r="P434" i="2"/>
  <c r="J434" i="2"/>
  <c r="J433" i="2"/>
  <c r="P432" i="2"/>
  <c r="J432" i="2"/>
  <c r="P431" i="2"/>
  <c r="J431" i="2"/>
  <c r="P430" i="2"/>
  <c r="J430" i="2"/>
  <c r="P429" i="2"/>
  <c r="J429" i="2"/>
  <c r="P428" i="2"/>
  <c r="R428" i="2" s="1"/>
  <c r="S428" i="2" s="1"/>
  <c r="P427" i="2"/>
  <c r="R427" i="2" s="1"/>
  <c r="S427" i="2" s="1"/>
  <c r="P426" i="2"/>
  <c r="R426" i="2" s="1"/>
  <c r="S426" i="2" s="1"/>
  <c r="P425" i="2"/>
  <c r="R425" i="2" s="1"/>
  <c r="S425" i="2" s="1"/>
  <c r="P424" i="2"/>
  <c r="R424" i="2" s="1"/>
  <c r="S424" i="2" s="1"/>
  <c r="P423" i="2"/>
  <c r="R423" i="2" s="1"/>
  <c r="S423" i="2" s="1"/>
  <c r="P422" i="2"/>
  <c r="R422" i="2" s="1"/>
  <c r="S422" i="2" s="1"/>
  <c r="P421" i="2"/>
  <c r="R421" i="2" s="1"/>
  <c r="S421" i="2" s="1"/>
  <c r="P420" i="2"/>
  <c r="R420" i="2" s="1"/>
  <c r="S420" i="2" s="1"/>
  <c r="P418" i="2"/>
  <c r="R418" i="2" s="1"/>
  <c r="S418" i="2" s="1"/>
  <c r="P417" i="2"/>
  <c r="R417" i="2" s="1"/>
  <c r="S417" i="2" s="1"/>
  <c r="P416" i="2"/>
  <c r="R416" i="2" s="1"/>
  <c r="S416" i="2" s="1"/>
  <c r="P415" i="2"/>
  <c r="R415" i="2" s="1"/>
  <c r="S415" i="2" s="1"/>
  <c r="P414" i="2"/>
  <c r="R414" i="2" s="1"/>
  <c r="S414" i="2" s="1"/>
  <c r="P413" i="2"/>
  <c r="R413" i="2" s="1"/>
  <c r="S413" i="2" s="1"/>
  <c r="P411" i="2"/>
  <c r="J411" i="2"/>
  <c r="P410" i="2"/>
  <c r="J410" i="2"/>
  <c r="P409" i="2"/>
  <c r="R409" i="2" s="1"/>
  <c r="S409" i="2" s="1"/>
  <c r="P408" i="2"/>
  <c r="R408" i="2" s="1"/>
  <c r="S408" i="2" s="1"/>
  <c r="P407" i="2"/>
  <c r="R407" i="2" s="1"/>
  <c r="S407" i="2" s="1"/>
  <c r="P406" i="2"/>
  <c r="R406" i="2" s="1"/>
  <c r="S406" i="2" s="1"/>
  <c r="P405" i="2"/>
  <c r="R405" i="2" s="1"/>
  <c r="S405" i="2" s="1"/>
  <c r="P403" i="2"/>
  <c r="R403" i="2" s="1"/>
  <c r="S403" i="2" s="1"/>
  <c r="P402" i="2"/>
  <c r="R402" i="2" s="1"/>
  <c r="S402" i="2" s="1"/>
  <c r="P400" i="2"/>
  <c r="R400" i="2" s="1"/>
  <c r="S400" i="2" s="1"/>
  <c r="P399" i="2"/>
  <c r="R399" i="2" s="1"/>
  <c r="S399" i="2" s="1"/>
  <c r="P398" i="2"/>
  <c r="R398" i="2" s="1"/>
  <c r="S398" i="2" s="1"/>
  <c r="P397" i="2"/>
  <c r="R397" i="2" s="1"/>
  <c r="S397" i="2" s="1"/>
  <c r="P396" i="2"/>
  <c r="R396" i="2" s="1"/>
  <c r="S396" i="2" s="1"/>
  <c r="P392" i="2"/>
  <c r="R392" i="2" s="1"/>
  <c r="S392" i="2" s="1"/>
  <c r="P391" i="2"/>
  <c r="R391" i="2" s="1"/>
  <c r="S391" i="2" s="1"/>
  <c r="P390" i="2"/>
  <c r="R390" i="2" s="1"/>
  <c r="S390" i="2" s="1"/>
  <c r="P389" i="2"/>
  <c r="J389" i="2"/>
  <c r="P386" i="2"/>
  <c r="R386" i="2" s="1"/>
  <c r="S386" i="2" s="1"/>
  <c r="P385" i="2"/>
  <c r="R385" i="2" s="1"/>
  <c r="S385" i="2" s="1"/>
  <c r="P383" i="2"/>
  <c r="J383" i="2"/>
  <c r="P382" i="2"/>
  <c r="J382" i="2"/>
  <c r="P381" i="2"/>
  <c r="J381" i="2"/>
  <c r="P380" i="2"/>
  <c r="J380" i="2"/>
  <c r="P379" i="2"/>
  <c r="R379" i="2" s="1"/>
  <c r="S379" i="2" s="1"/>
  <c r="P377" i="2"/>
  <c r="R377" i="2" s="1"/>
  <c r="S377" i="2" s="1"/>
  <c r="P376" i="2"/>
  <c r="J376" i="2"/>
  <c r="P375" i="2"/>
  <c r="J375" i="2"/>
  <c r="P374" i="2"/>
  <c r="R374" i="2" s="1"/>
  <c r="S374" i="2" s="1"/>
  <c r="P373" i="2"/>
  <c r="R373" i="2" s="1"/>
  <c r="S373" i="2" s="1"/>
  <c r="P372" i="2"/>
  <c r="R372" i="2" s="1"/>
  <c r="S372" i="2" s="1"/>
  <c r="P371" i="2"/>
  <c r="R371" i="2" s="1"/>
  <c r="S371" i="2" s="1"/>
  <c r="P370" i="2"/>
  <c r="R370" i="2" s="1"/>
  <c r="S370" i="2" s="1"/>
  <c r="P369" i="2"/>
  <c r="R369" i="2" s="1"/>
  <c r="S369" i="2" s="1"/>
  <c r="P365" i="2"/>
  <c r="R365" i="2" s="1"/>
  <c r="S365" i="2" s="1"/>
  <c r="P360" i="2"/>
  <c r="J360" i="2"/>
  <c r="P359" i="2"/>
  <c r="J359" i="2"/>
  <c r="P358" i="2"/>
  <c r="J358" i="2"/>
  <c r="P357" i="2"/>
  <c r="J357" i="2"/>
  <c r="P356" i="2"/>
  <c r="R356" i="2" s="1"/>
  <c r="S356" i="2" s="1"/>
  <c r="P355" i="2"/>
  <c r="R355" i="2" s="1"/>
  <c r="S355" i="2" s="1"/>
  <c r="P354" i="2"/>
  <c r="R354" i="2" s="1"/>
  <c r="S354" i="2" s="1"/>
  <c r="P353" i="2"/>
  <c r="R353" i="2" s="1"/>
  <c r="S353" i="2" s="1"/>
  <c r="P350" i="2"/>
  <c r="R350" i="2" s="1"/>
  <c r="S350" i="2" s="1"/>
  <c r="P348" i="2"/>
  <c r="R348" i="2" s="1"/>
  <c r="S348" i="2" s="1"/>
  <c r="P346" i="2"/>
  <c r="J346" i="2"/>
  <c r="P345" i="2"/>
  <c r="J345" i="2"/>
  <c r="P344" i="2"/>
  <c r="J344" i="2"/>
  <c r="P343" i="2"/>
  <c r="J343" i="2"/>
  <c r="P342" i="2"/>
  <c r="J342" i="2"/>
  <c r="P341" i="2"/>
  <c r="J341" i="2"/>
  <c r="P340" i="2"/>
  <c r="J340" i="2"/>
  <c r="P339" i="2"/>
  <c r="J339" i="2"/>
  <c r="P338" i="2"/>
  <c r="J338" i="2"/>
  <c r="S337" i="2"/>
  <c r="P336" i="2"/>
  <c r="J336" i="2"/>
  <c r="P335" i="2"/>
  <c r="J335" i="2"/>
  <c r="P334" i="2"/>
  <c r="J334" i="2"/>
  <c r="P333" i="2"/>
  <c r="J333" i="2"/>
  <c r="J332" i="2"/>
  <c r="P331" i="2"/>
  <c r="J331" i="2"/>
  <c r="P330" i="2"/>
  <c r="J330" i="2"/>
  <c r="P326" i="2"/>
  <c r="J326" i="2"/>
  <c r="P325" i="2"/>
  <c r="R325" i="2" s="1"/>
  <c r="S325" i="2" s="1"/>
  <c r="P322" i="2"/>
  <c r="J322" i="2"/>
  <c r="P321" i="2"/>
  <c r="J321" i="2"/>
  <c r="P320" i="2"/>
  <c r="J320" i="2"/>
  <c r="P319" i="2"/>
  <c r="R319" i="2" s="1"/>
  <c r="S319" i="2" s="1"/>
  <c r="P317" i="2"/>
  <c r="J317" i="2"/>
  <c r="J316" i="2"/>
  <c r="P316" i="2"/>
  <c r="P315" i="2"/>
  <c r="R315" i="2" s="1"/>
  <c r="S315" i="2" s="1"/>
  <c r="P314" i="2"/>
  <c r="R314" i="2" s="1"/>
  <c r="S314" i="2" s="1"/>
  <c r="P313" i="2"/>
  <c r="R313" i="2" s="1"/>
  <c r="S313" i="2" s="1"/>
  <c r="P312" i="2"/>
  <c r="R312" i="2" s="1"/>
  <c r="S312" i="2" s="1"/>
  <c r="P311" i="2"/>
  <c r="R311" i="2" s="1"/>
  <c r="S311" i="2" s="1"/>
  <c r="P310" i="2"/>
  <c r="R310" i="2" s="1"/>
  <c r="S310" i="2" s="1"/>
  <c r="P309" i="2"/>
  <c r="R309" i="2" s="1"/>
  <c r="S309" i="2" s="1"/>
  <c r="P308" i="2"/>
  <c r="R308" i="2" s="1"/>
  <c r="S308" i="2" s="1"/>
  <c r="P303" i="2"/>
  <c r="R303" i="2" s="1"/>
  <c r="S303" i="2" s="1"/>
  <c r="P302" i="2"/>
  <c r="R302" i="2" s="1"/>
  <c r="S302" i="2" s="1"/>
  <c r="P301" i="2"/>
  <c r="R301" i="2" s="1"/>
  <c r="S301" i="2" s="1"/>
  <c r="P300" i="2"/>
  <c r="R300" i="2" s="1"/>
  <c r="S300" i="2" s="1"/>
  <c r="P299" i="2"/>
  <c r="R299" i="2" s="1"/>
  <c r="S299" i="2" s="1"/>
  <c r="P298" i="2"/>
  <c r="R298" i="2" s="1"/>
  <c r="S298" i="2" s="1"/>
  <c r="P295" i="2"/>
  <c r="R295" i="2" s="1"/>
  <c r="S295" i="2" s="1"/>
  <c r="P294" i="2"/>
  <c r="R294" i="2" s="1"/>
  <c r="S294" i="2" s="1"/>
  <c r="P293" i="2"/>
  <c r="R293" i="2" s="1"/>
  <c r="S293" i="2" s="1"/>
  <c r="P292" i="2"/>
  <c r="R292" i="2" s="1"/>
  <c r="S292" i="2" s="1"/>
  <c r="P291" i="2"/>
  <c r="R291" i="2" s="1"/>
  <c r="S291" i="2" s="1"/>
  <c r="P288" i="2"/>
  <c r="R288" i="2" s="1"/>
  <c r="S288" i="2" s="1"/>
  <c r="P286" i="2"/>
  <c r="J286" i="2"/>
  <c r="P282" i="2"/>
  <c r="J282" i="2"/>
  <c r="P281" i="2"/>
  <c r="J281" i="2"/>
  <c r="P278" i="2"/>
  <c r="J278" i="2"/>
  <c r="P277" i="2"/>
  <c r="J277" i="2"/>
  <c r="P276" i="2"/>
  <c r="R276" i="2" s="1"/>
  <c r="S276" i="2" s="1"/>
  <c r="P275" i="2"/>
  <c r="R275" i="2" s="1"/>
  <c r="S275" i="2" s="1"/>
  <c r="P274" i="2"/>
  <c r="R274" i="2" s="1"/>
  <c r="S274" i="2" s="1"/>
  <c r="P273" i="2"/>
  <c r="R273" i="2" s="1"/>
  <c r="S273" i="2" s="1"/>
  <c r="P272" i="2"/>
  <c r="R272" i="2" s="1"/>
  <c r="S272" i="2" s="1"/>
  <c r="P271" i="2"/>
  <c r="R271" i="2" s="1"/>
  <c r="S271" i="2" s="1"/>
  <c r="P270" i="2"/>
  <c r="R270" i="2" s="1"/>
  <c r="S270" i="2" s="1"/>
  <c r="P269" i="2"/>
  <c r="R269" i="2" s="1"/>
  <c r="S269" i="2" s="1"/>
  <c r="P267" i="2"/>
  <c r="R267" i="2" s="1"/>
  <c r="S267" i="2" s="1"/>
  <c r="P264" i="2"/>
  <c r="J264" i="2"/>
  <c r="P263" i="2"/>
  <c r="J263" i="2"/>
  <c r="P260" i="2"/>
  <c r="J260" i="2"/>
  <c r="P259" i="2"/>
  <c r="J259" i="2"/>
  <c r="J258" i="2"/>
  <c r="P258" i="2"/>
  <c r="P257" i="2"/>
  <c r="J257" i="2"/>
  <c r="P256" i="2"/>
  <c r="R256" i="2" s="1"/>
  <c r="S256" i="2" s="1"/>
  <c r="P255" i="2"/>
  <c r="R255" i="2" s="1"/>
  <c r="S255" i="2" s="1"/>
  <c r="P254" i="2"/>
  <c r="R254" i="2" s="1"/>
  <c r="S254" i="2" s="1"/>
  <c r="P253" i="2"/>
  <c r="R253" i="2" s="1"/>
  <c r="S253" i="2" s="1"/>
  <c r="P252" i="2"/>
  <c r="R252" i="2" s="1"/>
  <c r="S252" i="2" s="1"/>
  <c r="P251" i="2"/>
  <c r="R251" i="2" s="1"/>
  <c r="S251" i="2" s="1"/>
  <c r="P250" i="2"/>
  <c r="R250" i="2" s="1"/>
  <c r="S250" i="2" s="1"/>
  <c r="P249" i="2"/>
  <c r="R249" i="2" s="1"/>
  <c r="S249" i="2" s="1"/>
  <c r="P248" i="2"/>
  <c r="R248" i="2" s="1"/>
  <c r="S248" i="2" s="1"/>
  <c r="P247" i="2"/>
  <c r="R247" i="2" s="1"/>
  <c r="S247" i="2" s="1"/>
  <c r="P246" i="2"/>
  <c r="R246" i="2" s="1"/>
  <c r="S246" i="2" s="1"/>
  <c r="P245" i="2"/>
  <c r="J245" i="2"/>
  <c r="P240" i="2"/>
  <c r="J240" i="2"/>
  <c r="P239" i="2"/>
  <c r="J239" i="2"/>
  <c r="P238" i="2"/>
  <c r="J238" i="2"/>
  <c r="P237" i="2"/>
  <c r="J237" i="2"/>
  <c r="P236" i="2"/>
  <c r="R236" i="2" s="1"/>
  <c r="S236" i="2" s="1"/>
  <c r="P235" i="2"/>
  <c r="J235" i="2"/>
  <c r="P234" i="2"/>
  <c r="R234" i="2" s="1"/>
  <c r="S234" i="2" s="1"/>
  <c r="P230" i="2"/>
  <c r="R230" i="2" s="1"/>
  <c r="S230" i="2" s="1"/>
  <c r="P228" i="2"/>
  <c r="R228" i="2" s="1"/>
  <c r="S228" i="2" s="1"/>
  <c r="P224" i="2"/>
  <c r="J224" i="2"/>
  <c r="P223" i="2"/>
  <c r="J223" i="2"/>
  <c r="P222" i="2"/>
  <c r="R222" i="2" s="1"/>
  <c r="S222" i="2" s="1"/>
  <c r="P221" i="2"/>
  <c r="R221" i="2" s="1"/>
  <c r="S221" i="2" s="1"/>
  <c r="P218" i="2"/>
  <c r="J218" i="2"/>
  <c r="P217" i="2"/>
  <c r="J217" i="2"/>
  <c r="P216" i="2"/>
  <c r="J216" i="2"/>
  <c r="P215" i="2"/>
  <c r="R215" i="2" s="1"/>
  <c r="S215" i="2" s="1"/>
  <c r="P214" i="2"/>
  <c r="R214" i="2" s="1"/>
  <c r="S214" i="2" s="1"/>
  <c r="P213" i="2"/>
  <c r="R213" i="2" s="1"/>
  <c r="S213" i="2" s="1"/>
  <c r="P210" i="2"/>
  <c r="J210" i="2"/>
  <c r="P209" i="2"/>
  <c r="R209" i="2" s="1"/>
  <c r="S209" i="2" s="1"/>
  <c r="P208" i="2"/>
  <c r="R208" i="2" s="1"/>
  <c r="S208" i="2" s="1"/>
  <c r="P207" i="2"/>
  <c r="R207" i="2" s="1"/>
  <c r="S207" i="2" s="1"/>
  <c r="J204" i="2"/>
  <c r="P204" i="2"/>
  <c r="P203" i="2"/>
  <c r="J203" i="2"/>
  <c r="P202" i="2"/>
  <c r="J202" i="2"/>
  <c r="P201" i="2"/>
  <c r="R201" i="2" s="1"/>
  <c r="S201" i="2" s="1"/>
  <c r="P200" i="2"/>
  <c r="R200" i="2" s="1"/>
  <c r="S200" i="2" s="1"/>
  <c r="P199" i="2"/>
  <c r="R199" i="2" s="1"/>
  <c r="S199" i="2" s="1"/>
  <c r="P198" i="2"/>
  <c r="R198" i="2" s="1"/>
  <c r="S198" i="2" s="1"/>
  <c r="P194" i="2"/>
  <c r="R194" i="2" s="1"/>
  <c r="S194" i="2" s="1"/>
  <c r="P193" i="2"/>
  <c r="R193" i="2" s="1"/>
  <c r="S193" i="2" s="1"/>
  <c r="P192" i="2"/>
  <c r="R192" i="2" s="1"/>
  <c r="S192" i="2" s="1"/>
  <c r="P190" i="2"/>
  <c r="R190" i="2" s="1"/>
  <c r="S190" i="2" s="1"/>
  <c r="P189" i="2"/>
  <c r="J189" i="2"/>
  <c r="P188" i="2"/>
  <c r="R188" i="2" s="1"/>
  <c r="S188" i="2" s="1"/>
  <c r="P187" i="2"/>
  <c r="J187" i="2"/>
  <c r="P186" i="2"/>
  <c r="R186" i="2" s="1"/>
  <c r="S186" i="2" s="1"/>
  <c r="P184" i="2"/>
  <c r="R184" i="2" s="1"/>
  <c r="S184" i="2" s="1"/>
  <c r="P183" i="2"/>
  <c r="R183" i="2" s="1"/>
  <c r="S183" i="2" s="1"/>
  <c r="P182" i="2"/>
  <c r="R182" i="2" s="1"/>
  <c r="S182" i="2" s="1"/>
  <c r="P180" i="2"/>
  <c r="J180" i="2"/>
  <c r="P179" i="2"/>
  <c r="J179" i="2"/>
  <c r="P178" i="2"/>
  <c r="J178" i="2"/>
  <c r="P177" i="2"/>
  <c r="J177" i="2"/>
  <c r="P176" i="2"/>
  <c r="J176" i="2"/>
  <c r="P175" i="2"/>
  <c r="J175" i="2"/>
  <c r="P174" i="2"/>
  <c r="R174" i="2" s="1"/>
  <c r="S174" i="2" s="1"/>
  <c r="P173" i="2"/>
  <c r="R173" i="2" s="1"/>
  <c r="S173" i="2" s="1"/>
  <c r="P172" i="2"/>
  <c r="J172" i="2"/>
  <c r="P169" i="2"/>
  <c r="R169" i="2" s="1"/>
  <c r="S169" i="2" s="1"/>
  <c r="P168" i="2"/>
  <c r="R168" i="2" s="1"/>
  <c r="S168" i="2" s="1"/>
  <c r="P166" i="2"/>
  <c r="R166" i="2" s="1"/>
  <c r="S166" i="2" s="1"/>
  <c r="P164" i="2"/>
  <c r="R164" i="2" s="1"/>
  <c r="S164" i="2" s="1"/>
  <c r="P165" i="2"/>
  <c r="R165" i="2" s="1"/>
  <c r="S165" i="2" s="1"/>
  <c r="P162" i="2"/>
  <c r="R162" i="2" s="1"/>
  <c r="S162" i="2" s="1"/>
  <c r="P160" i="2"/>
  <c r="R160" i="2" s="1"/>
  <c r="S160" i="2" s="1"/>
  <c r="P159" i="2"/>
  <c r="R159" i="2" s="1"/>
  <c r="S159" i="2" s="1"/>
  <c r="P158" i="2"/>
  <c r="R158" i="2" s="1"/>
  <c r="S158" i="2" s="1"/>
  <c r="P157" i="2"/>
  <c r="R157" i="2" s="1"/>
  <c r="S157" i="2" s="1"/>
  <c r="P154" i="2"/>
  <c r="J154" i="2"/>
  <c r="P153" i="2"/>
  <c r="J153" i="2"/>
  <c r="P152" i="2"/>
  <c r="J152" i="2"/>
  <c r="P151" i="2"/>
  <c r="J151" i="2"/>
  <c r="P150" i="2"/>
  <c r="J150" i="2"/>
  <c r="P149" i="2"/>
  <c r="R149" i="2" s="1"/>
  <c r="S149" i="2" s="1"/>
  <c r="P148" i="2"/>
  <c r="J148" i="2"/>
  <c r="P147" i="2"/>
  <c r="J147" i="2"/>
  <c r="P146" i="2"/>
  <c r="J146" i="2"/>
  <c r="P145" i="2"/>
  <c r="J145" i="2"/>
  <c r="P144" i="2"/>
  <c r="J144" i="2"/>
  <c r="P143" i="2"/>
  <c r="J143" i="2"/>
  <c r="P142" i="2"/>
  <c r="J142" i="2"/>
  <c r="P141" i="2"/>
  <c r="J141" i="2"/>
  <c r="P140" i="2"/>
  <c r="J140" i="2"/>
  <c r="P139" i="2"/>
  <c r="J139" i="2"/>
  <c r="P138" i="2"/>
  <c r="J138" i="2"/>
  <c r="P137" i="2"/>
  <c r="J137" i="2"/>
  <c r="P136" i="2"/>
  <c r="J136" i="2"/>
  <c r="P135" i="2"/>
  <c r="J135" i="2"/>
  <c r="J133" i="2"/>
  <c r="P133" i="2"/>
  <c r="P132" i="2"/>
  <c r="J132" i="2"/>
  <c r="P131" i="2"/>
  <c r="J131" i="2"/>
  <c r="P130" i="2"/>
  <c r="J130" i="2"/>
  <c r="P128" i="2"/>
  <c r="J128" i="2"/>
  <c r="P127" i="2"/>
  <c r="J127" i="2"/>
  <c r="P126" i="2"/>
  <c r="J126" i="2"/>
  <c r="J125" i="2"/>
  <c r="P125" i="2"/>
  <c r="P124" i="2"/>
  <c r="J124" i="2"/>
  <c r="J123" i="2"/>
  <c r="P123" i="2"/>
  <c r="P122" i="2"/>
  <c r="J122" i="2"/>
  <c r="P121" i="2"/>
  <c r="J121" i="2"/>
  <c r="P120" i="2"/>
  <c r="R120" i="2" s="1"/>
  <c r="S120" i="2" s="1"/>
  <c r="P119" i="2"/>
  <c r="J119" i="2"/>
  <c r="P118" i="2"/>
  <c r="R118" i="2" s="1"/>
  <c r="S118" i="2" s="1"/>
  <c r="P117" i="2"/>
  <c r="J117" i="2"/>
  <c r="P116" i="2"/>
  <c r="J116" i="2"/>
  <c r="P115" i="2"/>
  <c r="R115" i="2" s="1"/>
  <c r="S115" i="2" s="1"/>
  <c r="P114" i="2"/>
  <c r="R114" i="2" s="1"/>
  <c r="S114" i="2" s="1"/>
  <c r="P113" i="2"/>
  <c r="R113" i="2" s="1"/>
  <c r="S113" i="2" s="1"/>
  <c r="P112" i="2"/>
  <c r="R112" i="2" s="1"/>
  <c r="S112" i="2" s="1"/>
  <c r="P111" i="2"/>
  <c r="R111" i="2" s="1"/>
  <c r="S111" i="2" s="1"/>
  <c r="P110" i="2"/>
  <c r="R110" i="2" s="1"/>
  <c r="S110" i="2" s="1"/>
  <c r="P109" i="2"/>
  <c r="R109" i="2" s="1"/>
  <c r="S109" i="2" s="1"/>
  <c r="P108" i="2"/>
  <c r="R108" i="2" s="1"/>
  <c r="S108" i="2" s="1"/>
  <c r="P103" i="2"/>
  <c r="J103" i="2"/>
  <c r="P101" i="2"/>
  <c r="J101" i="2"/>
  <c r="P99" i="2"/>
  <c r="J99" i="2"/>
  <c r="P98" i="2"/>
  <c r="J98" i="2"/>
  <c r="P97" i="2"/>
  <c r="R97" i="2" s="1"/>
  <c r="S97" i="2" s="1"/>
  <c r="P96" i="2"/>
  <c r="R96" i="2" s="1"/>
  <c r="S96" i="2" s="1"/>
  <c r="P95" i="2"/>
  <c r="R95" i="2" s="1"/>
  <c r="S95" i="2" s="1"/>
  <c r="P94" i="2"/>
  <c r="R94" i="2" s="1"/>
  <c r="S94" i="2" s="1"/>
  <c r="P92" i="2"/>
  <c r="J91" i="2"/>
  <c r="P91" i="2"/>
  <c r="P90" i="2"/>
  <c r="J90" i="2"/>
  <c r="J88" i="2"/>
  <c r="P88" i="2"/>
  <c r="P87" i="2"/>
  <c r="J87" i="2"/>
  <c r="P86" i="2"/>
  <c r="J86" i="2"/>
  <c r="P85" i="2"/>
  <c r="J85" i="2"/>
  <c r="P84" i="2"/>
  <c r="J84" i="2"/>
  <c r="P83" i="2"/>
  <c r="J83" i="2"/>
  <c r="P82" i="2"/>
  <c r="R82" i="2" s="1"/>
  <c r="S82" i="2" s="1"/>
  <c r="P81" i="2"/>
  <c r="R81" i="2" s="1"/>
  <c r="S81" i="2" s="1"/>
  <c r="P79" i="2"/>
  <c r="R79" i="2" s="1"/>
  <c r="S79" i="2" s="1"/>
  <c r="P78" i="2"/>
  <c r="R78" i="2" s="1"/>
  <c r="S78" i="2" s="1"/>
  <c r="P77" i="2"/>
  <c r="R77" i="2" s="1"/>
  <c r="S77" i="2" s="1"/>
  <c r="P76" i="2"/>
  <c r="R76" i="2" s="1"/>
  <c r="S76" i="2" s="1"/>
  <c r="P75" i="2"/>
  <c r="R75" i="2" s="1"/>
  <c r="S75" i="2" s="1"/>
  <c r="P74" i="2"/>
  <c r="R74" i="2" s="1"/>
  <c r="S74" i="2" s="1"/>
  <c r="P73" i="2"/>
  <c r="R73" i="2" s="1"/>
  <c r="S73" i="2" s="1"/>
  <c r="P72" i="2"/>
  <c r="R72" i="2" s="1"/>
  <c r="S72" i="2" s="1"/>
  <c r="P71" i="2"/>
  <c r="R71" i="2" s="1"/>
  <c r="S71" i="2" s="1"/>
  <c r="P70" i="2"/>
  <c r="R70" i="2" s="1"/>
  <c r="S70" i="2" s="1"/>
  <c r="P69" i="2"/>
  <c r="R69" i="2" s="1"/>
  <c r="S69" i="2" s="1"/>
  <c r="P65" i="2"/>
  <c r="R65" i="2" s="1"/>
  <c r="S65" i="2" s="1"/>
  <c r="P64" i="2"/>
  <c r="R64" i="2" s="1"/>
  <c r="S64" i="2" s="1"/>
  <c r="S63" i="2"/>
  <c r="P61" i="2"/>
  <c r="R61" i="2" s="1"/>
  <c r="S61" i="2" s="1"/>
  <c r="P60" i="2"/>
  <c r="R60" i="2" s="1"/>
  <c r="S60" i="2" s="1"/>
  <c r="P59" i="2"/>
  <c r="R59" i="2" s="1"/>
  <c r="S59" i="2" s="1"/>
  <c r="P58" i="2"/>
  <c r="R58" i="2" s="1"/>
  <c r="S58" i="2" s="1"/>
  <c r="P57" i="2"/>
  <c r="R57" i="2" s="1"/>
  <c r="S57" i="2" s="1"/>
  <c r="P55" i="2"/>
  <c r="R55" i="2" s="1"/>
  <c r="S55" i="2" s="1"/>
  <c r="P54" i="2"/>
  <c r="R54" i="2" s="1"/>
  <c r="S54" i="2" s="1"/>
  <c r="P53" i="2"/>
  <c r="R53" i="2" s="1"/>
  <c r="S53" i="2" s="1"/>
  <c r="P52" i="2"/>
  <c r="R52" i="2" s="1"/>
  <c r="S52" i="2" s="1"/>
  <c r="P51" i="2"/>
  <c r="R51" i="2" s="1"/>
  <c r="S51" i="2" s="1"/>
  <c r="P50" i="2"/>
  <c r="R50" i="2" s="1"/>
  <c r="S50" i="2" s="1"/>
  <c r="P49" i="2"/>
  <c r="R49" i="2" s="1"/>
  <c r="S49" i="2" s="1"/>
  <c r="P48" i="2"/>
  <c r="R48" i="2" s="1"/>
  <c r="S48" i="2" s="1"/>
  <c r="P47" i="2"/>
  <c r="R47" i="2" s="1"/>
  <c r="S47" i="2" s="1"/>
  <c r="P46" i="2"/>
  <c r="R46" i="2" s="1"/>
  <c r="S46" i="2" s="1"/>
  <c r="P45" i="2"/>
  <c r="R45" i="2" s="1"/>
  <c r="S45" i="2" s="1"/>
  <c r="P44" i="2"/>
  <c r="R44" i="2" s="1"/>
  <c r="S44" i="2" s="1"/>
  <c r="P43" i="2"/>
  <c r="R43" i="2" s="1"/>
  <c r="S43" i="2" s="1"/>
  <c r="P42" i="2"/>
  <c r="R42" i="2" s="1"/>
  <c r="S42" i="2" s="1"/>
  <c r="P40" i="2"/>
  <c r="R40" i="2" s="1"/>
  <c r="S40" i="2" s="1"/>
  <c r="P39" i="2"/>
  <c r="R39" i="2" s="1"/>
  <c r="S39" i="2" s="1"/>
  <c r="P38" i="2"/>
  <c r="R38" i="2" s="1"/>
  <c r="S38" i="2" s="1"/>
  <c r="P37" i="2"/>
  <c r="R37" i="2" s="1"/>
  <c r="S37" i="2" s="1"/>
  <c r="P36" i="2"/>
  <c r="R36" i="2" s="1"/>
  <c r="S36" i="2" s="1"/>
  <c r="P35" i="2"/>
  <c r="R35" i="2" s="1"/>
  <c r="S35" i="2" s="1"/>
  <c r="P32" i="2"/>
  <c r="J32" i="2"/>
  <c r="P31" i="2"/>
  <c r="J31" i="2"/>
  <c r="P30" i="2"/>
  <c r="J30" i="2"/>
  <c r="P29" i="2"/>
  <c r="J29" i="2"/>
  <c r="P28" i="2"/>
  <c r="J28" i="2"/>
  <c r="P27" i="2"/>
  <c r="J27" i="2"/>
  <c r="P26" i="2"/>
  <c r="J26" i="2"/>
  <c r="P25" i="2"/>
  <c r="R25" i="2" s="1"/>
  <c r="S25" i="2" s="1"/>
  <c r="P21" i="2"/>
  <c r="R21" i="2" s="1"/>
  <c r="S21" i="2" s="1"/>
  <c r="P20" i="2"/>
  <c r="R20" i="2" s="1"/>
  <c r="S20" i="2" s="1"/>
  <c r="P19" i="2"/>
  <c r="R19" i="2" s="1"/>
  <c r="S19" i="2" s="1"/>
  <c r="P18" i="2"/>
  <c r="R18" i="2" s="1"/>
  <c r="S18" i="2" s="1"/>
  <c r="P17" i="2"/>
  <c r="R17" i="2" s="1"/>
  <c r="S17" i="2" s="1"/>
  <c r="P15" i="2"/>
  <c r="R15" i="2" s="1"/>
  <c r="S15" i="2" s="1"/>
  <c r="P14" i="2"/>
  <c r="R14" i="2" s="1"/>
  <c r="S14" i="2" s="1"/>
  <c r="P13" i="2"/>
  <c r="R13" i="2" s="1"/>
  <c r="S13" i="2" s="1"/>
  <c r="P12" i="2"/>
  <c r="R12" i="2" s="1"/>
  <c r="S12" i="2" s="1"/>
  <c r="P11" i="2"/>
  <c r="R11" i="2" s="1"/>
  <c r="S11" i="2" s="1"/>
  <c r="P10" i="2"/>
  <c r="R10" i="2" s="1"/>
  <c r="S10" i="2" s="1"/>
  <c r="P9" i="2"/>
  <c r="R9" i="2" s="1"/>
  <c r="S9" i="2" s="1"/>
  <c r="P8" i="2"/>
  <c r="R8" i="2" s="1"/>
  <c r="S8" i="2" s="1"/>
  <c r="P7" i="2"/>
  <c r="R7" i="2" s="1"/>
  <c r="S7" i="2" s="1"/>
  <c r="P6" i="2"/>
  <c r="R6" i="2" s="1"/>
  <c r="R742" i="1"/>
  <c r="R739" i="2" l="1"/>
  <c r="S739" i="2" s="1"/>
  <c r="R720" i="2"/>
  <c r="S720" i="2" s="1"/>
  <c r="R741" i="2"/>
  <c r="S741" i="2" s="1"/>
  <c r="R172" i="2"/>
  <c r="S172" i="2" s="1"/>
  <c r="R127" i="2"/>
  <c r="S127" i="2" s="1"/>
  <c r="R130" i="2"/>
  <c r="S130" i="2" s="1"/>
  <c r="R132" i="2"/>
  <c r="S132" i="2" s="1"/>
  <c r="R135" i="2"/>
  <c r="S135" i="2" s="1"/>
  <c r="R137" i="2"/>
  <c r="S137" i="2" s="1"/>
  <c r="R139" i="2"/>
  <c r="S139" i="2" s="1"/>
  <c r="R141" i="2"/>
  <c r="S141" i="2" s="1"/>
  <c r="R143" i="2"/>
  <c r="S143" i="2" s="1"/>
  <c r="R145" i="2"/>
  <c r="S145" i="2" s="1"/>
  <c r="R147" i="2"/>
  <c r="S147" i="2" s="1"/>
  <c r="R133" i="2"/>
  <c r="S133" i="2" s="1"/>
  <c r="R569" i="2"/>
  <c r="S569" i="2" s="1"/>
  <c r="R611" i="2"/>
  <c r="S611" i="2" s="1"/>
  <c r="R667" i="2"/>
  <c r="S667" i="2" s="1"/>
  <c r="R669" i="2"/>
  <c r="S669" i="2" s="1"/>
  <c r="R674" i="2"/>
  <c r="S674" i="2" s="1"/>
  <c r="R683" i="2"/>
  <c r="S683" i="2" s="1"/>
  <c r="R685" i="2"/>
  <c r="S685" i="2" s="1"/>
  <c r="R698" i="2"/>
  <c r="S698" i="2" s="1"/>
  <c r="R599" i="2"/>
  <c r="S599" i="2" s="1"/>
  <c r="R382" i="2"/>
  <c r="S382" i="2" s="1"/>
  <c r="R85" i="2"/>
  <c r="S85" i="2" s="1"/>
  <c r="R176" i="2"/>
  <c r="S176" i="2" s="1"/>
  <c r="R435" i="2"/>
  <c r="S435" i="2" s="1"/>
  <c r="R757" i="2"/>
  <c r="S757" i="2" s="1"/>
  <c r="R277" i="2"/>
  <c r="S277" i="2" s="1"/>
  <c r="R317" i="2"/>
  <c r="S317" i="2" s="1"/>
  <c r="R345" i="2"/>
  <c r="S345" i="2" s="1"/>
  <c r="R430" i="2"/>
  <c r="S430" i="2" s="1"/>
  <c r="R83" i="2"/>
  <c r="S83" i="2" s="1"/>
  <c r="R90" i="2"/>
  <c r="S90" i="2" s="1"/>
  <c r="R411" i="2"/>
  <c r="S411" i="2" s="1"/>
  <c r="R88" i="2"/>
  <c r="S88" i="2" s="1"/>
  <c r="R91" i="2"/>
  <c r="S91" i="2" s="1"/>
  <c r="R237" i="2"/>
  <c r="S237" i="2" s="1"/>
  <c r="R245" i="2"/>
  <c r="S245" i="2" s="1"/>
  <c r="R441" i="2"/>
  <c r="S441" i="2" s="1"/>
  <c r="R490" i="2"/>
  <c r="S490" i="2" s="1"/>
  <c r="R684" i="2"/>
  <c r="S684" i="2" s="1"/>
  <c r="R376" i="2"/>
  <c r="S376" i="2" s="1"/>
  <c r="R676" i="2"/>
  <c r="S676" i="2" s="1"/>
  <c r="R678" i="2"/>
  <c r="S678" i="2" s="1"/>
  <c r="R26" i="2"/>
  <c r="S26" i="2" s="1"/>
  <c r="R30" i="2"/>
  <c r="S30" i="2" s="1"/>
  <c r="R103" i="2"/>
  <c r="S103" i="2" s="1"/>
  <c r="R238" i="2"/>
  <c r="S238" i="2" s="1"/>
  <c r="R445" i="2"/>
  <c r="S445" i="2" s="1"/>
  <c r="R451" i="2"/>
  <c r="S451" i="2" s="1"/>
  <c r="R508" i="2"/>
  <c r="S508" i="2" s="1"/>
  <c r="R538" i="2"/>
  <c r="S538" i="2" s="1"/>
  <c r="R598" i="2"/>
  <c r="S598" i="2" s="1"/>
  <c r="R600" i="2"/>
  <c r="S600" i="2" s="1"/>
  <c r="R604" i="2"/>
  <c r="S604" i="2" s="1"/>
  <c r="R606" i="2"/>
  <c r="S606" i="2" s="1"/>
  <c r="R636" i="2"/>
  <c r="S636" i="2" s="1"/>
  <c r="R652" i="2"/>
  <c r="S652" i="2" s="1"/>
  <c r="R116" i="2"/>
  <c r="S116" i="2" s="1"/>
  <c r="R432" i="2"/>
  <c r="S432" i="2" s="1"/>
  <c r="R178" i="2"/>
  <c r="S178" i="2" s="1"/>
  <c r="R180" i="2"/>
  <c r="S180" i="2" s="1"/>
  <c r="R210" i="2"/>
  <c r="S210" i="2" s="1"/>
  <c r="R333" i="2"/>
  <c r="S333" i="2" s="1"/>
  <c r="R335" i="2"/>
  <c r="S335" i="2" s="1"/>
  <c r="R358" i="2"/>
  <c r="S358" i="2" s="1"/>
  <c r="R360" i="2"/>
  <c r="S360" i="2" s="1"/>
  <c r="R486" i="2"/>
  <c r="S486" i="2" s="1"/>
  <c r="R680" i="2"/>
  <c r="S680" i="2" s="1"/>
  <c r="R187" i="2"/>
  <c r="S187" i="2" s="1"/>
  <c r="R235" i="2"/>
  <c r="S235" i="2" s="1"/>
  <c r="R282" i="2"/>
  <c r="S282" i="2" s="1"/>
  <c r="R375" i="2"/>
  <c r="S375" i="2" s="1"/>
  <c r="R511" i="2"/>
  <c r="S511" i="2" s="1"/>
  <c r="R513" i="2"/>
  <c r="S513" i="2" s="1"/>
  <c r="R515" i="2"/>
  <c r="S515" i="2" s="1"/>
  <c r="R517" i="2"/>
  <c r="S517" i="2" s="1"/>
  <c r="R526" i="2"/>
  <c r="S526" i="2" s="1"/>
  <c r="R534" i="2"/>
  <c r="S534" i="2" s="1"/>
  <c r="R566" i="2"/>
  <c r="S566" i="2" s="1"/>
  <c r="R568" i="2"/>
  <c r="S568" i="2" s="1"/>
  <c r="R570" i="2"/>
  <c r="S570" i="2" s="1"/>
  <c r="R572" i="2"/>
  <c r="S572" i="2" s="1"/>
  <c r="R582" i="2"/>
  <c r="S582" i="2" s="1"/>
  <c r="R624" i="2"/>
  <c r="S624" i="2" s="1"/>
  <c r="R647" i="2"/>
  <c r="S647" i="2" s="1"/>
  <c r="R657" i="2"/>
  <c r="S657" i="2" s="1"/>
  <c r="R679" i="2"/>
  <c r="S679" i="2" s="1"/>
  <c r="R730" i="2"/>
  <c r="S730" i="2" s="1"/>
  <c r="R202" i="2"/>
  <c r="S202" i="2" s="1"/>
  <c r="R218" i="2"/>
  <c r="S218" i="2" s="1"/>
  <c r="R240" i="2"/>
  <c r="S240" i="2" s="1"/>
  <c r="R257" i="2"/>
  <c r="S257" i="2" s="1"/>
  <c r="R259" i="2"/>
  <c r="S259" i="2" s="1"/>
  <c r="R263" i="2"/>
  <c r="S263" i="2" s="1"/>
  <c r="R487" i="2"/>
  <c r="S487" i="2" s="1"/>
  <c r="R505" i="2"/>
  <c r="S505" i="2" s="1"/>
  <c r="R507" i="2"/>
  <c r="S507" i="2" s="1"/>
  <c r="R537" i="2"/>
  <c r="S537" i="2" s="1"/>
  <c r="R468" i="2"/>
  <c r="S468" i="2" s="1"/>
  <c r="R506" i="2"/>
  <c r="S506" i="2" s="1"/>
  <c r="R571" i="2"/>
  <c r="S571" i="2" s="1"/>
  <c r="R625" i="2"/>
  <c r="S625" i="2" s="1"/>
  <c r="R646" i="2"/>
  <c r="S646" i="2" s="1"/>
  <c r="R729" i="2"/>
  <c r="S729" i="2" s="1"/>
  <c r="R759" i="2"/>
  <c r="S759" i="2" s="1"/>
  <c r="R27" i="2"/>
  <c r="S27" i="2" s="1"/>
  <c r="R84" i="2"/>
  <c r="S84" i="2" s="1"/>
  <c r="R86" i="2"/>
  <c r="S86" i="2" s="1"/>
  <c r="R117" i="2"/>
  <c r="S117" i="2" s="1"/>
  <c r="R122" i="2"/>
  <c r="S122" i="2" s="1"/>
  <c r="R124" i="2"/>
  <c r="S124" i="2" s="1"/>
  <c r="R128" i="2"/>
  <c r="S128" i="2" s="1"/>
  <c r="R136" i="2"/>
  <c r="S136" i="2" s="1"/>
  <c r="R138" i="2"/>
  <c r="S138" i="2" s="1"/>
  <c r="R140" i="2"/>
  <c r="S140" i="2" s="1"/>
  <c r="R142" i="2"/>
  <c r="S142" i="2" s="1"/>
  <c r="R144" i="2"/>
  <c r="S144" i="2" s="1"/>
  <c r="R146" i="2"/>
  <c r="S146" i="2" s="1"/>
  <c r="R148" i="2"/>
  <c r="S148" i="2" s="1"/>
  <c r="R150" i="2"/>
  <c r="S150" i="2" s="1"/>
  <c r="R152" i="2"/>
  <c r="S152" i="2" s="1"/>
  <c r="R175" i="2"/>
  <c r="S175" i="2" s="1"/>
  <c r="R177" i="2"/>
  <c r="S177" i="2" s="1"/>
  <c r="R179" i="2"/>
  <c r="S179" i="2" s="1"/>
  <c r="R203" i="2"/>
  <c r="S203" i="2" s="1"/>
  <c r="R264" i="2"/>
  <c r="S264" i="2" s="1"/>
  <c r="R331" i="2"/>
  <c r="S331" i="2" s="1"/>
  <c r="R346" i="2"/>
  <c r="S346" i="2" s="1"/>
  <c r="R381" i="2"/>
  <c r="S381" i="2" s="1"/>
  <c r="R383" i="2"/>
  <c r="S383" i="2" s="1"/>
  <c r="R429" i="2"/>
  <c r="S429" i="2" s="1"/>
  <c r="R442" i="2"/>
  <c r="S442" i="2" s="1"/>
  <c r="R446" i="2"/>
  <c r="S446" i="2" s="1"/>
  <c r="R457" i="2"/>
  <c r="S457" i="2" s="1"/>
  <c r="R467" i="2"/>
  <c r="S467" i="2" s="1"/>
  <c r="R472" i="2"/>
  <c r="S472" i="2" s="1"/>
  <c r="R494" i="2"/>
  <c r="S494" i="2" s="1"/>
  <c r="R503" i="2"/>
  <c r="S503" i="2" s="1"/>
  <c r="R510" i="2"/>
  <c r="S510" i="2" s="1"/>
  <c r="R512" i="2"/>
  <c r="S512" i="2" s="1"/>
  <c r="R514" i="2"/>
  <c r="S514" i="2" s="1"/>
  <c r="R516" i="2"/>
  <c r="S516" i="2" s="1"/>
  <c r="R535" i="2"/>
  <c r="S535" i="2" s="1"/>
  <c r="R548" i="2"/>
  <c r="S548" i="2" s="1"/>
  <c r="R589" i="2"/>
  <c r="S589" i="2" s="1"/>
  <c r="R601" i="2"/>
  <c r="S601" i="2" s="1"/>
  <c r="R605" i="2"/>
  <c r="S605" i="2" s="1"/>
  <c r="R635" i="2"/>
  <c r="S635" i="2" s="1"/>
  <c r="R668" i="2"/>
  <c r="S668" i="2" s="1"/>
  <c r="R670" i="2"/>
  <c r="S670" i="2" s="1"/>
  <c r="R673" i="2"/>
  <c r="S673" i="2" s="1"/>
  <c r="R682" i="2"/>
  <c r="S682" i="2" s="1"/>
  <c r="R699" i="2"/>
  <c r="S699" i="2" s="1"/>
  <c r="R719" i="2"/>
  <c r="S719" i="2" s="1"/>
  <c r="R740" i="2"/>
  <c r="S740" i="2" s="1"/>
  <c r="R743" i="2"/>
  <c r="S743" i="2" s="1"/>
  <c r="R760" i="2"/>
  <c r="S760" i="2" s="1"/>
  <c r="R31" i="2"/>
  <c r="S31" i="2" s="1"/>
  <c r="R101" i="2"/>
  <c r="S101" i="2" s="1"/>
  <c r="R123" i="2"/>
  <c r="S123" i="2" s="1"/>
  <c r="R204" i="2"/>
  <c r="S204" i="2" s="1"/>
  <c r="R334" i="2"/>
  <c r="S334" i="2" s="1"/>
  <c r="R336" i="2"/>
  <c r="S336" i="2" s="1"/>
  <c r="R359" i="2"/>
  <c r="S359" i="2" s="1"/>
  <c r="R410" i="2"/>
  <c r="S410" i="2" s="1"/>
  <c r="R434" i="2"/>
  <c r="S434" i="2" s="1"/>
  <c r="R438" i="2"/>
  <c r="S438" i="2" s="1"/>
  <c r="R463" i="2"/>
  <c r="S463" i="2" s="1"/>
  <c r="R484" i="2"/>
  <c r="S484" i="2" s="1"/>
  <c r="R671" i="2"/>
  <c r="S671" i="2" s="1"/>
  <c r="R258" i="2"/>
  <c r="S258" i="2" s="1"/>
  <c r="R677" i="2"/>
  <c r="S677" i="2" s="1"/>
  <c r="R316" i="2"/>
  <c r="S316" i="2" s="1"/>
  <c r="R470" i="2"/>
  <c r="S470" i="2" s="1"/>
  <c r="R465" i="2"/>
  <c r="S465" i="2" s="1"/>
  <c r="R224" i="2"/>
  <c r="S224" i="2" s="1"/>
  <c r="R603" i="2"/>
  <c r="S603" i="2" s="1"/>
  <c r="R92" i="2"/>
  <c r="S92" i="2" s="1"/>
  <c r="R99" i="2"/>
  <c r="S99" i="2" s="1"/>
  <c r="R119" i="2"/>
  <c r="S119" i="2" s="1"/>
  <c r="R126" i="2"/>
  <c r="S126" i="2" s="1"/>
  <c r="R239" i="2"/>
  <c r="S239" i="2" s="1"/>
  <c r="R735" i="2"/>
  <c r="S735" i="2" s="1"/>
  <c r="R154" i="2"/>
  <c r="S154" i="2" s="1"/>
  <c r="R260" i="2"/>
  <c r="S260" i="2" s="1"/>
  <c r="R98" i="2"/>
  <c r="S98" i="2" s="1"/>
  <c r="R153" i="2"/>
  <c r="S153" i="2" s="1"/>
  <c r="R216" i="2"/>
  <c r="S216" i="2" s="1"/>
  <c r="R223" i="2"/>
  <c r="S223" i="2" s="1"/>
  <c r="R471" i="2"/>
  <c r="S471" i="2" s="1"/>
  <c r="R734" i="2"/>
  <c r="S734" i="2" s="1"/>
  <c r="R737" i="2"/>
  <c r="S737" i="2" s="1"/>
  <c r="R189" i="2"/>
  <c r="S189" i="2" s="1"/>
  <c r="R736" i="2"/>
  <c r="S736" i="2" s="1"/>
  <c r="R29" i="2"/>
  <c r="S29" i="2" s="1"/>
  <c r="R131" i="2"/>
  <c r="S131" i="2" s="1"/>
  <c r="R217" i="2"/>
  <c r="S217" i="2" s="1"/>
  <c r="S6" i="2"/>
  <c r="R121" i="2"/>
  <c r="S121" i="2" s="1"/>
  <c r="R28" i="2"/>
  <c r="S28" i="2" s="1"/>
  <c r="R32" i="2"/>
  <c r="S32" i="2" s="1"/>
  <c r="R87" i="2"/>
  <c r="S87" i="2" s="1"/>
  <c r="R151" i="2"/>
  <c r="S151" i="2" s="1"/>
  <c r="R278" i="2"/>
  <c r="S278" i="2" s="1"/>
  <c r="R125" i="2"/>
  <c r="S125" i="2" s="1"/>
  <c r="R281" i="2"/>
  <c r="S281" i="2" s="1"/>
  <c r="R330" i="2"/>
  <c r="S330" i="2" s="1"/>
  <c r="R444" i="2"/>
  <c r="S444" i="2" s="1"/>
  <c r="R320" i="2"/>
  <c r="S320" i="2" s="1"/>
  <c r="R338" i="2"/>
  <c r="S338" i="2" s="1"/>
  <c r="R340" i="2"/>
  <c r="S340" i="2" s="1"/>
  <c r="R342" i="2"/>
  <c r="S342" i="2" s="1"/>
  <c r="R344" i="2"/>
  <c r="S344" i="2" s="1"/>
  <c r="P433" i="2"/>
  <c r="R433" i="2" s="1"/>
  <c r="S433" i="2" s="1"/>
  <c r="R437" i="2"/>
  <c r="S437" i="2" s="1"/>
  <c r="R456" i="2"/>
  <c r="S456" i="2" s="1"/>
  <c r="R286" i="2"/>
  <c r="S286" i="2" s="1"/>
  <c r="P307" i="2"/>
  <c r="R307" i="2" s="1"/>
  <c r="S307" i="2" s="1"/>
  <c r="R322" i="2"/>
  <c r="S322" i="2" s="1"/>
  <c r="R326" i="2"/>
  <c r="S326" i="2" s="1"/>
  <c r="R339" i="2"/>
  <c r="S339" i="2" s="1"/>
  <c r="R341" i="2"/>
  <c r="S341" i="2" s="1"/>
  <c r="R343" i="2"/>
  <c r="S343" i="2" s="1"/>
  <c r="R380" i="2"/>
  <c r="S380" i="2" s="1"/>
  <c r="R389" i="2"/>
  <c r="S389" i="2" s="1"/>
  <c r="R431" i="2"/>
  <c r="S431" i="2" s="1"/>
  <c r="R436" i="2"/>
  <c r="S436" i="2" s="1"/>
  <c r="R458" i="2"/>
  <c r="S458" i="2" s="1"/>
  <c r="R461" i="2"/>
  <c r="S461" i="2" s="1"/>
  <c r="R462" i="2"/>
  <c r="S462" i="2" s="1"/>
  <c r="R574" i="2"/>
  <c r="S574" i="2" s="1"/>
  <c r="R321" i="2"/>
  <c r="S321" i="2" s="1"/>
  <c r="P332" i="2"/>
  <c r="R332" i="2" s="1"/>
  <c r="S332" i="2" s="1"/>
  <c r="R357" i="2"/>
  <c r="S357" i="2" s="1"/>
  <c r="R443" i="2"/>
  <c r="S443" i="2" s="1"/>
  <c r="R455" i="2"/>
  <c r="S455" i="2" s="1"/>
  <c r="R567" i="2"/>
  <c r="S567" i="2" s="1"/>
  <c r="R493" i="2"/>
  <c r="S493" i="2" s="1"/>
  <c r="R575" i="2"/>
  <c r="S575" i="2" s="1"/>
  <c r="R640" i="2"/>
  <c r="S640" i="2" s="1"/>
  <c r="R643" i="2"/>
  <c r="S643" i="2" s="1"/>
  <c r="R716" i="2"/>
  <c r="S716" i="2" s="1"/>
  <c r="R602" i="2"/>
  <c r="S602" i="2" s="1"/>
  <c r="R756" i="2"/>
  <c r="S756" i="2" s="1"/>
  <c r="R639" i="2"/>
  <c r="S639" i="2" s="1"/>
  <c r="R642" i="2"/>
  <c r="S642" i="2" s="1"/>
  <c r="R644" i="2"/>
  <c r="S644" i="2" s="1"/>
  <c r="R715" i="2"/>
  <c r="S715" i="2" s="1"/>
  <c r="P737" i="1"/>
  <c r="R737" i="1" s="1"/>
  <c r="S737" i="1" s="1"/>
  <c r="P736" i="1"/>
  <c r="R736" i="1" s="1"/>
  <c r="S736" i="1" s="1"/>
  <c r="P735" i="1"/>
  <c r="R735" i="1" s="1"/>
  <c r="S735" i="1" s="1"/>
  <c r="P734" i="1"/>
  <c r="R734" i="1" s="1"/>
  <c r="S734" i="1" s="1"/>
  <c r="J734" i="1"/>
  <c r="P733" i="1"/>
  <c r="J733" i="1"/>
  <c r="P732" i="1"/>
  <c r="R732" i="1" s="1"/>
  <c r="S732" i="1" s="1"/>
  <c r="P731" i="1"/>
  <c r="J731" i="1"/>
  <c r="P730" i="1"/>
  <c r="J730" i="1"/>
  <c r="P729" i="1"/>
  <c r="R729" i="1" s="1"/>
  <c r="S729" i="1" s="1"/>
  <c r="P728" i="1"/>
  <c r="R728" i="1" s="1"/>
  <c r="S728" i="1" s="1"/>
  <c r="P727" i="1"/>
  <c r="R727" i="1" s="1"/>
  <c r="S727" i="1" s="1"/>
  <c r="N727" i="1"/>
  <c r="R726" i="1"/>
  <c r="S726" i="1" s="1"/>
  <c r="P726" i="1"/>
  <c r="P725" i="1"/>
  <c r="R725" i="1" s="1"/>
  <c r="S725" i="1" s="1"/>
  <c r="N724" i="1"/>
  <c r="E724" i="1"/>
  <c r="N723" i="1"/>
  <c r="P723" i="1" s="1"/>
  <c r="R723" i="1" s="1"/>
  <c r="S723" i="1" s="1"/>
  <c r="P722" i="1"/>
  <c r="R722" i="1" s="1"/>
  <c r="S722" i="1" s="1"/>
  <c r="P721" i="1"/>
  <c r="R721" i="1" s="1"/>
  <c r="S721" i="1" s="1"/>
  <c r="P720" i="1"/>
  <c r="R720" i="1" s="1"/>
  <c r="S720" i="1" s="1"/>
  <c r="P717" i="1"/>
  <c r="J717" i="1"/>
  <c r="P716" i="1"/>
  <c r="R716" i="1" s="1"/>
  <c r="S716" i="1" s="1"/>
  <c r="J716" i="1"/>
  <c r="R715" i="1"/>
  <c r="S715" i="1" s="1"/>
  <c r="P715" i="1"/>
  <c r="J715" i="1"/>
  <c r="P714" i="1"/>
  <c r="J714" i="1"/>
  <c r="S713" i="1"/>
  <c r="P712" i="1"/>
  <c r="J712" i="1"/>
  <c r="R712" i="1" s="1"/>
  <c r="S712" i="1" s="1"/>
  <c r="P711" i="1"/>
  <c r="R711" i="1" s="1"/>
  <c r="S711" i="1" s="1"/>
  <c r="J711" i="1"/>
  <c r="R710" i="1"/>
  <c r="S710" i="1" s="1"/>
  <c r="P710" i="1"/>
  <c r="J710" i="1"/>
  <c r="P709" i="1"/>
  <c r="R709" i="1" s="1"/>
  <c r="S709" i="1" s="1"/>
  <c r="J709" i="1"/>
  <c r="R707" i="1"/>
  <c r="S707" i="1" s="1"/>
  <c r="P707" i="1"/>
  <c r="P706" i="1"/>
  <c r="R706" i="1" s="1"/>
  <c r="S706" i="1" s="1"/>
  <c r="P705" i="1"/>
  <c r="J705" i="1"/>
  <c r="P704" i="1"/>
  <c r="J704" i="1"/>
  <c r="P703" i="1"/>
  <c r="R703" i="1" s="1"/>
  <c r="S703" i="1" s="1"/>
  <c r="P702" i="1"/>
  <c r="R702" i="1" s="1"/>
  <c r="S702" i="1" s="1"/>
  <c r="R701" i="1"/>
  <c r="S701" i="1" s="1"/>
  <c r="P701" i="1"/>
  <c r="P700" i="1"/>
  <c r="R700" i="1" s="1"/>
  <c r="S700" i="1" s="1"/>
  <c r="P699" i="1"/>
  <c r="R699" i="1" s="1"/>
  <c r="S699" i="1" s="1"/>
  <c r="J695" i="1"/>
  <c r="E695" i="1"/>
  <c r="P695" i="1" s="1"/>
  <c r="P694" i="1"/>
  <c r="R694" i="1" s="1"/>
  <c r="S694" i="1" s="1"/>
  <c r="J694" i="1"/>
  <c r="E694" i="1"/>
  <c r="P693" i="1"/>
  <c r="R693" i="1" s="1"/>
  <c r="S693" i="1" s="1"/>
  <c r="P692" i="1"/>
  <c r="R692" i="1" s="1"/>
  <c r="S692" i="1" s="1"/>
  <c r="P691" i="1"/>
  <c r="R691" i="1" s="1"/>
  <c r="S691" i="1" s="1"/>
  <c r="J691" i="1"/>
  <c r="P690" i="1"/>
  <c r="J690" i="1"/>
  <c r="S689" i="1"/>
  <c r="P689" i="1"/>
  <c r="R689" i="1" s="1"/>
  <c r="R688" i="1"/>
  <c r="S688" i="1" s="1"/>
  <c r="N688" i="1"/>
  <c r="E688" i="1"/>
  <c r="P688" i="1" s="1"/>
  <c r="N687" i="1"/>
  <c r="E687" i="1"/>
  <c r="P686" i="1"/>
  <c r="R686" i="1" s="1"/>
  <c r="S686" i="1" s="1"/>
  <c r="P685" i="1"/>
  <c r="R685" i="1" s="1"/>
  <c r="S685" i="1" s="1"/>
  <c r="R684" i="1"/>
  <c r="S684" i="1" s="1"/>
  <c r="P684" i="1"/>
  <c r="R683" i="1"/>
  <c r="S683" i="1" s="1"/>
  <c r="P683" i="1"/>
  <c r="P682" i="1"/>
  <c r="R682" i="1" s="1"/>
  <c r="S682" i="1" s="1"/>
  <c r="P681" i="1"/>
  <c r="R681" i="1" s="1"/>
  <c r="S681" i="1" s="1"/>
  <c r="R680" i="1"/>
  <c r="S680" i="1" s="1"/>
  <c r="P680" i="1"/>
  <c r="R679" i="1"/>
  <c r="S679" i="1" s="1"/>
  <c r="N679" i="1"/>
  <c r="P679" i="1" s="1"/>
  <c r="P676" i="1"/>
  <c r="R676" i="1" s="1"/>
  <c r="S676" i="1" s="1"/>
  <c r="P675" i="1"/>
  <c r="J675" i="1"/>
  <c r="P674" i="1"/>
  <c r="J674" i="1"/>
  <c r="P673" i="1"/>
  <c r="R673" i="1" s="1"/>
  <c r="S673" i="1" s="1"/>
  <c r="N672" i="1"/>
  <c r="P672" i="1" s="1"/>
  <c r="R672" i="1" s="1"/>
  <c r="S672" i="1" s="1"/>
  <c r="N671" i="1"/>
  <c r="E671" i="1"/>
  <c r="P670" i="1"/>
  <c r="R670" i="1" s="1"/>
  <c r="S670" i="1" s="1"/>
  <c r="P668" i="1"/>
  <c r="R668" i="1" s="1"/>
  <c r="S668" i="1" s="1"/>
  <c r="N667" i="1"/>
  <c r="P667" i="1" s="1"/>
  <c r="R667" i="1" s="1"/>
  <c r="S667" i="1" s="1"/>
  <c r="R666" i="1"/>
  <c r="S666" i="1" s="1"/>
  <c r="P666" i="1"/>
  <c r="R665" i="1"/>
  <c r="S665" i="1" s="1"/>
  <c r="P665" i="1"/>
  <c r="P664" i="1"/>
  <c r="R664" i="1" s="1"/>
  <c r="S664" i="1" s="1"/>
  <c r="P663" i="1"/>
  <c r="R663" i="1" s="1"/>
  <c r="S663" i="1" s="1"/>
  <c r="R662" i="1"/>
  <c r="S662" i="1" s="1"/>
  <c r="P662" i="1"/>
  <c r="J662" i="1"/>
  <c r="N661" i="1"/>
  <c r="J661" i="1"/>
  <c r="R661" i="1" s="1"/>
  <c r="S661" i="1" s="1"/>
  <c r="E661" i="1"/>
  <c r="P661" i="1" s="1"/>
  <c r="P660" i="1"/>
  <c r="N660" i="1"/>
  <c r="J660" i="1"/>
  <c r="P659" i="1"/>
  <c r="J659" i="1"/>
  <c r="P658" i="1"/>
  <c r="R658" i="1" s="1"/>
  <c r="S658" i="1" s="1"/>
  <c r="P657" i="1"/>
  <c r="J657" i="1"/>
  <c r="P656" i="1"/>
  <c r="J656" i="1"/>
  <c r="N655" i="1"/>
  <c r="P655" i="1" s="1"/>
  <c r="R655" i="1" s="1"/>
  <c r="S655" i="1" s="1"/>
  <c r="J655" i="1"/>
  <c r="P654" i="1"/>
  <c r="R654" i="1" s="1"/>
  <c r="S654" i="1" s="1"/>
  <c r="N654" i="1"/>
  <c r="J654" i="1"/>
  <c r="E654" i="1"/>
  <c r="P653" i="1"/>
  <c r="J653" i="1"/>
  <c r="P652" i="1"/>
  <c r="R652" i="1" s="1"/>
  <c r="S652" i="1" s="1"/>
  <c r="P651" i="1"/>
  <c r="R651" i="1" s="1"/>
  <c r="S651" i="1" s="1"/>
  <c r="J651" i="1"/>
  <c r="P650" i="1"/>
  <c r="J650" i="1"/>
  <c r="R650" i="1" s="1"/>
  <c r="S650" i="1" s="1"/>
  <c r="N649" i="1"/>
  <c r="J649" i="1"/>
  <c r="E649" i="1"/>
  <c r="P649" i="1" s="1"/>
  <c r="R649" i="1" s="1"/>
  <c r="S649" i="1" s="1"/>
  <c r="P648" i="1"/>
  <c r="J648" i="1"/>
  <c r="P647" i="1"/>
  <c r="J647" i="1"/>
  <c r="N646" i="1"/>
  <c r="J646" i="1"/>
  <c r="E646" i="1"/>
  <c r="P646" i="1" s="1"/>
  <c r="R646" i="1" s="1"/>
  <c r="S646" i="1" s="1"/>
  <c r="P645" i="1"/>
  <c r="J645" i="1"/>
  <c r="R645" i="1" s="1"/>
  <c r="S645" i="1" s="1"/>
  <c r="R644" i="1"/>
  <c r="S644" i="1" s="1"/>
  <c r="P644" i="1"/>
  <c r="P643" i="1"/>
  <c r="R643" i="1" s="1"/>
  <c r="S643" i="1" s="1"/>
  <c r="P642" i="1"/>
  <c r="R642" i="1" s="1"/>
  <c r="S642" i="1" s="1"/>
  <c r="S641" i="1"/>
  <c r="P641" i="1"/>
  <c r="R641" i="1" s="1"/>
  <c r="P640" i="1"/>
  <c r="R640" i="1" s="1"/>
  <c r="S640" i="1" s="1"/>
  <c r="P639" i="1"/>
  <c r="R639" i="1" s="1"/>
  <c r="S639" i="1" s="1"/>
  <c r="P638" i="1"/>
  <c r="R638" i="1" s="1"/>
  <c r="S638" i="1" s="1"/>
  <c r="N637" i="1"/>
  <c r="P637" i="1" s="1"/>
  <c r="R637" i="1" s="1"/>
  <c r="S637" i="1" s="1"/>
  <c r="P636" i="1"/>
  <c r="J636" i="1"/>
  <c r="P635" i="1"/>
  <c r="R635" i="1" s="1"/>
  <c r="S635" i="1" s="1"/>
  <c r="R634" i="1"/>
  <c r="S634" i="1" s="1"/>
  <c r="P634" i="1"/>
  <c r="N633" i="1"/>
  <c r="P633" i="1" s="1"/>
  <c r="R633" i="1" s="1"/>
  <c r="S633" i="1" s="1"/>
  <c r="P631" i="1"/>
  <c r="J631" i="1"/>
  <c r="P630" i="1"/>
  <c r="R630" i="1" s="1"/>
  <c r="S630" i="1" s="1"/>
  <c r="P626" i="1"/>
  <c r="J626" i="1"/>
  <c r="P625" i="1"/>
  <c r="J625" i="1"/>
  <c r="P624" i="1"/>
  <c r="R624" i="1" s="1"/>
  <c r="S624" i="1" s="1"/>
  <c r="P623" i="1"/>
  <c r="R623" i="1" s="1"/>
  <c r="S623" i="1" s="1"/>
  <c r="J623" i="1"/>
  <c r="P622" i="1"/>
  <c r="J622" i="1"/>
  <c r="P621" i="1"/>
  <c r="R621" i="1" s="1"/>
  <c r="S621" i="1" s="1"/>
  <c r="J621" i="1"/>
  <c r="P619" i="1"/>
  <c r="J619" i="1"/>
  <c r="P618" i="1"/>
  <c r="R618" i="1" s="1"/>
  <c r="S618" i="1" s="1"/>
  <c r="J618" i="1"/>
  <c r="S617" i="1"/>
  <c r="P617" i="1"/>
  <c r="R617" i="1" s="1"/>
  <c r="P616" i="1"/>
  <c r="R616" i="1" s="1"/>
  <c r="S616" i="1" s="1"/>
  <c r="N615" i="1"/>
  <c r="P615" i="1" s="1"/>
  <c r="R615" i="1" s="1"/>
  <c r="S615" i="1" s="1"/>
  <c r="J615" i="1"/>
  <c r="P614" i="1"/>
  <c r="J614" i="1"/>
  <c r="R614" i="1" s="1"/>
  <c r="S614" i="1" s="1"/>
  <c r="P613" i="1"/>
  <c r="R613" i="1" s="1"/>
  <c r="S613" i="1" s="1"/>
  <c r="P612" i="1"/>
  <c r="R612" i="1" s="1"/>
  <c r="S612" i="1" s="1"/>
  <c r="N608" i="1"/>
  <c r="P608" i="1" s="1"/>
  <c r="R608" i="1" s="1"/>
  <c r="S608" i="1" s="1"/>
  <c r="P607" i="1"/>
  <c r="R607" i="1" s="1"/>
  <c r="S607" i="1" s="1"/>
  <c r="P606" i="1"/>
  <c r="R606" i="1" s="1"/>
  <c r="S606" i="1" s="1"/>
  <c r="P605" i="1"/>
  <c r="R605" i="1" s="1"/>
  <c r="S605" i="1" s="1"/>
  <c r="J605" i="1"/>
  <c r="R604" i="1"/>
  <c r="S604" i="1" s="1"/>
  <c r="P604" i="1"/>
  <c r="J604" i="1"/>
  <c r="P603" i="1"/>
  <c r="R603" i="1" s="1"/>
  <c r="S603" i="1" s="1"/>
  <c r="N602" i="1"/>
  <c r="E602" i="1"/>
  <c r="P602" i="1" s="1"/>
  <c r="R602" i="1" s="1"/>
  <c r="S602" i="1" s="1"/>
  <c r="R599" i="1"/>
  <c r="S599" i="1" s="1"/>
  <c r="P599" i="1"/>
  <c r="P598" i="1"/>
  <c r="R598" i="1" s="1"/>
  <c r="S598" i="1" s="1"/>
  <c r="N598" i="1"/>
  <c r="N597" i="1"/>
  <c r="P597" i="1" s="1"/>
  <c r="R597" i="1" s="1"/>
  <c r="S597" i="1" s="1"/>
  <c r="N596" i="1"/>
  <c r="P596" i="1" s="1"/>
  <c r="R596" i="1" s="1"/>
  <c r="S596" i="1" s="1"/>
  <c r="P595" i="1"/>
  <c r="R595" i="1" s="1"/>
  <c r="S595" i="1" s="1"/>
  <c r="N595" i="1"/>
  <c r="P593" i="1"/>
  <c r="R593" i="1" s="1"/>
  <c r="S593" i="1" s="1"/>
  <c r="N591" i="1"/>
  <c r="P591" i="1" s="1"/>
  <c r="J591" i="1"/>
  <c r="P590" i="1"/>
  <c r="R590" i="1" s="1"/>
  <c r="S590" i="1" s="1"/>
  <c r="N586" i="1"/>
  <c r="P586" i="1" s="1"/>
  <c r="R586" i="1" s="1"/>
  <c r="S586" i="1" s="1"/>
  <c r="J586" i="1"/>
  <c r="P585" i="1"/>
  <c r="R585" i="1" s="1"/>
  <c r="S585" i="1" s="1"/>
  <c r="J585" i="1"/>
  <c r="R584" i="1"/>
  <c r="S584" i="1" s="1"/>
  <c r="P584" i="1"/>
  <c r="J584" i="1"/>
  <c r="N583" i="1"/>
  <c r="P583" i="1" s="1"/>
  <c r="R583" i="1" s="1"/>
  <c r="S583" i="1" s="1"/>
  <c r="J583" i="1"/>
  <c r="N582" i="1"/>
  <c r="P582" i="1" s="1"/>
  <c r="J582" i="1"/>
  <c r="N581" i="1"/>
  <c r="P581" i="1" s="1"/>
  <c r="R581" i="1" s="1"/>
  <c r="S581" i="1" s="1"/>
  <c r="J581" i="1"/>
  <c r="E581" i="1"/>
  <c r="P580" i="1"/>
  <c r="J580" i="1"/>
  <c r="N579" i="1"/>
  <c r="J579" i="1"/>
  <c r="E579" i="1"/>
  <c r="P579" i="1" s="1"/>
  <c r="P578" i="1"/>
  <c r="R578" i="1" s="1"/>
  <c r="S578" i="1" s="1"/>
  <c r="J578" i="1"/>
  <c r="S577" i="1"/>
  <c r="P577" i="1"/>
  <c r="R577" i="1" s="1"/>
  <c r="P576" i="1"/>
  <c r="R576" i="1" s="1"/>
  <c r="S576" i="1" s="1"/>
  <c r="P575" i="1"/>
  <c r="R575" i="1" s="1"/>
  <c r="S575" i="1" s="1"/>
  <c r="P574" i="1"/>
  <c r="R574" i="1" s="1"/>
  <c r="S574" i="1" s="1"/>
  <c r="N571" i="1"/>
  <c r="P571" i="1" s="1"/>
  <c r="J571" i="1"/>
  <c r="P570" i="1"/>
  <c r="R570" i="1" s="1"/>
  <c r="S570" i="1" s="1"/>
  <c r="S566" i="1"/>
  <c r="N566" i="1"/>
  <c r="P566" i="1" s="1"/>
  <c r="R566" i="1" s="1"/>
  <c r="S565" i="1"/>
  <c r="N565" i="1"/>
  <c r="P565" i="1" s="1"/>
  <c r="R565" i="1" s="1"/>
  <c r="P564" i="1"/>
  <c r="J564" i="1"/>
  <c r="N563" i="1"/>
  <c r="E563" i="1"/>
  <c r="P563" i="1" s="1"/>
  <c r="R563" i="1" s="1"/>
  <c r="S563" i="1" s="1"/>
  <c r="P562" i="1"/>
  <c r="R562" i="1" s="1"/>
  <c r="S562" i="1" s="1"/>
  <c r="P561" i="1"/>
  <c r="R561" i="1" s="1"/>
  <c r="S561" i="1" s="1"/>
  <c r="N560" i="1"/>
  <c r="P560" i="1" s="1"/>
  <c r="R560" i="1" s="1"/>
  <c r="S560" i="1" s="1"/>
  <c r="R557" i="1"/>
  <c r="S557" i="1" s="1"/>
  <c r="P557" i="1"/>
  <c r="P556" i="1"/>
  <c r="J556" i="1"/>
  <c r="P555" i="1"/>
  <c r="J555" i="1"/>
  <c r="R554" i="1"/>
  <c r="S554" i="1" s="1"/>
  <c r="P554" i="1"/>
  <c r="P553" i="1"/>
  <c r="J553" i="1"/>
  <c r="P552" i="1"/>
  <c r="R552" i="1" s="1"/>
  <c r="S552" i="1" s="1"/>
  <c r="J552" i="1"/>
  <c r="P551" i="1"/>
  <c r="R551" i="1" s="1"/>
  <c r="S551" i="1" s="1"/>
  <c r="J551" i="1"/>
  <c r="P550" i="1"/>
  <c r="R550" i="1" s="1"/>
  <c r="S550" i="1" s="1"/>
  <c r="J550" i="1"/>
  <c r="P549" i="1"/>
  <c r="J549" i="1"/>
  <c r="N548" i="1"/>
  <c r="P548" i="1" s="1"/>
  <c r="J548" i="1"/>
  <c r="N547" i="1"/>
  <c r="P547" i="1" s="1"/>
  <c r="R547" i="1" s="1"/>
  <c r="S547" i="1" s="1"/>
  <c r="J547" i="1"/>
  <c r="P546" i="1"/>
  <c r="R546" i="1" s="1"/>
  <c r="S546" i="1" s="1"/>
  <c r="P545" i="1"/>
  <c r="R545" i="1" s="1"/>
  <c r="S545" i="1" s="1"/>
  <c r="P544" i="1"/>
  <c r="R544" i="1" s="1"/>
  <c r="S544" i="1" s="1"/>
  <c r="R543" i="1"/>
  <c r="S543" i="1" s="1"/>
  <c r="P543" i="1"/>
  <c r="P542" i="1"/>
  <c r="R542" i="1" s="1"/>
  <c r="S542" i="1" s="1"/>
  <c r="P541" i="1"/>
  <c r="R541" i="1" s="1"/>
  <c r="S541" i="1" s="1"/>
  <c r="N540" i="1"/>
  <c r="P540" i="1" s="1"/>
  <c r="R540" i="1" s="1"/>
  <c r="S540" i="1" s="1"/>
  <c r="P539" i="1"/>
  <c r="R539" i="1" s="1"/>
  <c r="S539" i="1" s="1"/>
  <c r="N538" i="1"/>
  <c r="E538" i="1"/>
  <c r="P537" i="1"/>
  <c r="R537" i="1" s="1"/>
  <c r="S537" i="1" s="1"/>
  <c r="N536" i="1"/>
  <c r="P536" i="1" s="1"/>
  <c r="R536" i="1" s="1"/>
  <c r="S536" i="1" s="1"/>
  <c r="C536" i="1"/>
  <c r="N535" i="1"/>
  <c r="E535" i="1"/>
  <c r="P535" i="1" s="1"/>
  <c r="R535" i="1" s="1"/>
  <c r="S535" i="1" s="1"/>
  <c r="P534" i="1"/>
  <c r="R534" i="1" s="1"/>
  <c r="S534" i="1" s="1"/>
  <c r="N533" i="1"/>
  <c r="E533" i="1"/>
  <c r="P533" i="1" s="1"/>
  <c r="R533" i="1" s="1"/>
  <c r="S533" i="1" s="1"/>
  <c r="P531" i="1"/>
  <c r="R531" i="1" s="1"/>
  <c r="S531" i="1" s="1"/>
  <c r="P530" i="1"/>
  <c r="R530" i="1" s="1"/>
  <c r="S530" i="1" s="1"/>
  <c r="R529" i="1"/>
  <c r="S529" i="1" s="1"/>
  <c r="P529" i="1"/>
  <c r="J529" i="1"/>
  <c r="P528" i="1"/>
  <c r="R528" i="1" s="1"/>
  <c r="S528" i="1" s="1"/>
  <c r="P527" i="1"/>
  <c r="R527" i="1" s="1"/>
  <c r="S527" i="1" s="1"/>
  <c r="E526" i="1"/>
  <c r="P526" i="1" s="1"/>
  <c r="R526" i="1" s="1"/>
  <c r="S526" i="1" s="1"/>
  <c r="P525" i="1"/>
  <c r="R525" i="1" s="1"/>
  <c r="S525" i="1" s="1"/>
  <c r="P524" i="1"/>
  <c r="R524" i="1" s="1"/>
  <c r="S524" i="1" s="1"/>
  <c r="R522" i="1"/>
  <c r="S522" i="1" s="1"/>
  <c r="P522" i="1"/>
  <c r="P521" i="1"/>
  <c r="R521" i="1" s="1"/>
  <c r="S521" i="1" s="1"/>
  <c r="P520" i="1"/>
  <c r="R520" i="1" s="1"/>
  <c r="S520" i="1" s="1"/>
  <c r="P519" i="1"/>
  <c r="J519" i="1"/>
  <c r="P518" i="1"/>
  <c r="J518" i="1"/>
  <c r="P517" i="1"/>
  <c r="R517" i="1" s="1"/>
  <c r="S517" i="1" s="1"/>
  <c r="R516" i="1"/>
  <c r="S516" i="1" s="1"/>
  <c r="P516" i="1"/>
  <c r="J516" i="1"/>
  <c r="N515" i="1"/>
  <c r="P515" i="1" s="1"/>
  <c r="J515" i="1"/>
  <c r="P514" i="1"/>
  <c r="R514" i="1" s="1"/>
  <c r="S514" i="1" s="1"/>
  <c r="R513" i="1"/>
  <c r="S513" i="1" s="1"/>
  <c r="P513" i="1"/>
  <c r="P512" i="1"/>
  <c r="R512" i="1" s="1"/>
  <c r="S512" i="1" s="1"/>
  <c r="P511" i="1"/>
  <c r="R511" i="1" s="1"/>
  <c r="S511" i="1" s="1"/>
  <c r="P510" i="1"/>
  <c r="R510" i="1" s="1"/>
  <c r="S510" i="1" s="1"/>
  <c r="R508" i="1"/>
  <c r="S508" i="1" s="1"/>
  <c r="P508" i="1"/>
  <c r="P507" i="1"/>
  <c r="R507" i="1" s="1"/>
  <c r="S507" i="1" s="1"/>
  <c r="J507" i="1"/>
  <c r="N505" i="1"/>
  <c r="P505" i="1" s="1"/>
  <c r="R505" i="1" s="1"/>
  <c r="S505" i="1" s="1"/>
  <c r="N504" i="1"/>
  <c r="P504" i="1" s="1"/>
  <c r="R504" i="1" s="1"/>
  <c r="S504" i="1" s="1"/>
  <c r="P503" i="1"/>
  <c r="R503" i="1" s="1"/>
  <c r="S503" i="1" s="1"/>
  <c r="R502" i="1"/>
  <c r="S502" i="1" s="1"/>
  <c r="N502" i="1"/>
  <c r="P502" i="1" s="1"/>
  <c r="N501" i="1"/>
  <c r="P501" i="1" s="1"/>
  <c r="R501" i="1" s="1"/>
  <c r="S501" i="1" s="1"/>
  <c r="P499" i="1"/>
  <c r="R499" i="1" s="1"/>
  <c r="S499" i="1" s="1"/>
  <c r="P498" i="1"/>
  <c r="J498" i="1"/>
  <c r="P497" i="1"/>
  <c r="J497" i="1"/>
  <c r="P496" i="1"/>
  <c r="R496" i="1" s="1"/>
  <c r="S496" i="1" s="1"/>
  <c r="J496" i="1"/>
  <c r="P495" i="1"/>
  <c r="R495" i="1" s="1"/>
  <c r="S495" i="1" s="1"/>
  <c r="J495" i="1"/>
  <c r="P494" i="1"/>
  <c r="R494" i="1" s="1"/>
  <c r="S494" i="1" s="1"/>
  <c r="J494" i="1"/>
  <c r="P493" i="1"/>
  <c r="R493" i="1" s="1"/>
  <c r="S493" i="1" s="1"/>
  <c r="J493" i="1"/>
  <c r="P492" i="1"/>
  <c r="J492" i="1"/>
  <c r="P491" i="1"/>
  <c r="J491" i="1"/>
  <c r="P490" i="1"/>
  <c r="R490" i="1" s="1"/>
  <c r="S490" i="1" s="1"/>
  <c r="P489" i="1"/>
  <c r="J489" i="1"/>
  <c r="R489" i="1" s="1"/>
  <c r="S489" i="1" s="1"/>
  <c r="P488" i="1"/>
  <c r="R488" i="1" s="1"/>
  <c r="S488" i="1" s="1"/>
  <c r="J488" i="1"/>
  <c r="P487" i="1"/>
  <c r="J487" i="1"/>
  <c r="P486" i="1"/>
  <c r="J486" i="1"/>
  <c r="P485" i="1"/>
  <c r="J485" i="1"/>
  <c r="R485" i="1" s="1"/>
  <c r="S485" i="1" s="1"/>
  <c r="P484" i="1"/>
  <c r="R484" i="1" s="1"/>
  <c r="S484" i="1" s="1"/>
  <c r="P483" i="1"/>
  <c r="R483" i="1" s="1"/>
  <c r="S483" i="1" s="1"/>
  <c r="R482" i="1"/>
  <c r="S482" i="1" s="1"/>
  <c r="P482" i="1"/>
  <c r="N481" i="1"/>
  <c r="E481" i="1"/>
  <c r="R478" i="1"/>
  <c r="S478" i="1" s="1"/>
  <c r="P478" i="1"/>
  <c r="P477" i="1"/>
  <c r="R477" i="1" s="1"/>
  <c r="S477" i="1" s="1"/>
  <c r="J477" i="1"/>
  <c r="P476" i="1"/>
  <c r="R476" i="1" s="1"/>
  <c r="S476" i="1" s="1"/>
  <c r="N476" i="1"/>
  <c r="J476" i="1"/>
  <c r="P475" i="1"/>
  <c r="R475" i="1" s="1"/>
  <c r="S475" i="1" s="1"/>
  <c r="P474" i="1"/>
  <c r="R474" i="1" s="1"/>
  <c r="S474" i="1" s="1"/>
  <c r="R473" i="1"/>
  <c r="S473" i="1" s="1"/>
  <c r="P473" i="1"/>
  <c r="J473" i="1"/>
  <c r="P471" i="1"/>
  <c r="R471" i="1" s="1"/>
  <c r="S471" i="1" s="1"/>
  <c r="N470" i="1"/>
  <c r="P470" i="1" s="1"/>
  <c r="R470" i="1" s="1"/>
  <c r="S470" i="1" s="1"/>
  <c r="J470" i="1"/>
  <c r="P469" i="1"/>
  <c r="J469" i="1"/>
  <c r="R469" i="1" s="1"/>
  <c r="S469" i="1" s="1"/>
  <c r="P467" i="1"/>
  <c r="R467" i="1" s="1"/>
  <c r="S467" i="1" s="1"/>
  <c r="J467" i="1"/>
  <c r="R466" i="1"/>
  <c r="S466" i="1" s="1"/>
  <c r="P466" i="1"/>
  <c r="P465" i="1"/>
  <c r="R465" i="1" s="1"/>
  <c r="S465" i="1" s="1"/>
  <c r="P464" i="1"/>
  <c r="R464" i="1" s="1"/>
  <c r="S464" i="1" s="1"/>
  <c r="N463" i="1"/>
  <c r="P463" i="1" s="1"/>
  <c r="R463" i="1" s="1"/>
  <c r="S463" i="1" s="1"/>
  <c r="P462" i="1"/>
  <c r="R462" i="1" s="1"/>
  <c r="S462" i="1" s="1"/>
  <c r="R461" i="1"/>
  <c r="S461" i="1" s="1"/>
  <c r="P461" i="1"/>
  <c r="P459" i="1"/>
  <c r="R459" i="1" s="1"/>
  <c r="S459" i="1" s="1"/>
  <c r="P458" i="1"/>
  <c r="R458" i="1" s="1"/>
  <c r="S458" i="1" s="1"/>
  <c r="P457" i="1"/>
  <c r="R457" i="1" s="1"/>
  <c r="S457" i="1" s="1"/>
  <c r="J457" i="1"/>
  <c r="P456" i="1"/>
  <c r="R456" i="1" s="1"/>
  <c r="S456" i="1" s="1"/>
  <c r="P455" i="1"/>
  <c r="R455" i="1" s="1"/>
  <c r="S455" i="1" s="1"/>
  <c r="J455" i="1"/>
  <c r="P454" i="1"/>
  <c r="J454" i="1"/>
  <c r="R454" i="1" s="1"/>
  <c r="S454" i="1" s="1"/>
  <c r="P453" i="1"/>
  <c r="R453" i="1" s="1"/>
  <c r="S453" i="1" s="1"/>
  <c r="J453" i="1"/>
  <c r="R452" i="1"/>
  <c r="S452" i="1" s="1"/>
  <c r="P452" i="1"/>
  <c r="P451" i="1"/>
  <c r="R451" i="1" s="1"/>
  <c r="S451" i="1" s="1"/>
  <c r="J451" i="1"/>
  <c r="P450" i="1"/>
  <c r="R450" i="1" s="1"/>
  <c r="S450" i="1" s="1"/>
  <c r="J450" i="1"/>
  <c r="P449" i="1"/>
  <c r="R449" i="1" s="1"/>
  <c r="S449" i="1" s="1"/>
  <c r="J449" i="1"/>
  <c r="P448" i="1"/>
  <c r="R448" i="1" s="1"/>
  <c r="S448" i="1" s="1"/>
  <c r="P447" i="1"/>
  <c r="J447" i="1"/>
  <c r="P446" i="1"/>
  <c r="J446" i="1"/>
  <c r="P445" i="1"/>
  <c r="J445" i="1"/>
  <c r="P444" i="1"/>
  <c r="J444" i="1"/>
  <c r="P443" i="1"/>
  <c r="J443" i="1"/>
  <c r="P442" i="1"/>
  <c r="R442" i="1" s="1"/>
  <c r="S442" i="1" s="1"/>
  <c r="P441" i="1"/>
  <c r="R441" i="1" s="1"/>
  <c r="S441" i="1" s="1"/>
  <c r="J441" i="1"/>
  <c r="P440" i="1"/>
  <c r="J440" i="1"/>
  <c r="P439" i="1"/>
  <c r="J439" i="1"/>
  <c r="N438" i="1"/>
  <c r="P438" i="1" s="1"/>
  <c r="J438" i="1"/>
  <c r="P437" i="1"/>
  <c r="J437" i="1"/>
  <c r="P436" i="1"/>
  <c r="R436" i="1" s="1"/>
  <c r="S436" i="1" s="1"/>
  <c r="S435" i="1"/>
  <c r="P435" i="1"/>
  <c r="R435" i="1" s="1"/>
  <c r="P434" i="1"/>
  <c r="J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30" i="1"/>
  <c r="R430" i="1" s="1"/>
  <c r="S430" i="1" s="1"/>
  <c r="R429" i="1"/>
  <c r="S429" i="1" s="1"/>
  <c r="P429" i="1"/>
  <c r="J429" i="1"/>
  <c r="P428" i="1"/>
  <c r="R428" i="1" s="1"/>
  <c r="S428" i="1" s="1"/>
  <c r="J428" i="1"/>
  <c r="N427" i="1"/>
  <c r="P427" i="1" s="1"/>
  <c r="R427" i="1" s="1"/>
  <c r="S427" i="1" s="1"/>
  <c r="J427" i="1"/>
  <c r="N426" i="1"/>
  <c r="P426" i="1" s="1"/>
  <c r="J426" i="1"/>
  <c r="N425" i="1"/>
  <c r="J425" i="1"/>
  <c r="E425" i="1"/>
  <c r="N424" i="1"/>
  <c r="J424" i="1"/>
  <c r="C424" i="1"/>
  <c r="P423" i="1"/>
  <c r="R423" i="1" s="1"/>
  <c r="S423" i="1" s="1"/>
  <c r="S422" i="1"/>
  <c r="P422" i="1"/>
  <c r="R422" i="1" s="1"/>
  <c r="P421" i="1"/>
  <c r="J421" i="1"/>
  <c r="R421" i="1" s="1"/>
  <c r="S421" i="1" s="1"/>
  <c r="N420" i="1"/>
  <c r="P420" i="1" s="1"/>
  <c r="R420" i="1" s="1"/>
  <c r="S420" i="1" s="1"/>
  <c r="J420" i="1"/>
  <c r="N419" i="1"/>
  <c r="P419" i="1" s="1"/>
  <c r="J419" i="1"/>
  <c r="N418" i="1"/>
  <c r="P418" i="1" s="1"/>
  <c r="J418" i="1"/>
  <c r="N417" i="1"/>
  <c r="J417" i="1"/>
  <c r="E417" i="1"/>
  <c r="N416" i="1"/>
  <c r="J416" i="1"/>
  <c r="E416" i="1"/>
  <c r="C416" i="1"/>
  <c r="P416" i="1" s="1"/>
  <c r="N415" i="1"/>
  <c r="P415" i="1" s="1"/>
  <c r="J415" i="1"/>
  <c r="P414" i="1"/>
  <c r="R414" i="1" s="1"/>
  <c r="S414" i="1" s="1"/>
  <c r="J414" i="1"/>
  <c r="P413" i="1"/>
  <c r="R413" i="1" s="1"/>
  <c r="S413" i="1" s="1"/>
  <c r="J413" i="1"/>
  <c r="P412" i="1"/>
  <c r="R412" i="1" s="1"/>
  <c r="S412" i="1" s="1"/>
  <c r="J412" i="1"/>
  <c r="P411" i="1"/>
  <c r="R411" i="1" s="1"/>
  <c r="S411" i="1" s="1"/>
  <c r="P410" i="1"/>
  <c r="R410" i="1" s="1"/>
  <c r="S410" i="1" s="1"/>
  <c r="P409" i="1"/>
  <c r="R409" i="1" s="1"/>
  <c r="S409" i="1" s="1"/>
  <c r="P408" i="1"/>
  <c r="R408" i="1" s="1"/>
  <c r="S408" i="1" s="1"/>
  <c r="P407" i="1"/>
  <c r="R407" i="1" s="1"/>
  <c r="S407" i="1" s="1"/>
  <c r="N406" i="1"/>
  <c r="P406" i="1" s="1"/>
  <c r="R406" i="1" s="1"/>
  <c r="S406" i="1" s="1"/>
  <c r="P405" i="1"/>
  <c r="R405" i="1" s="1"/>
  <c r="S405" i="1" s="1"/>
  <c r="P404" i="1"/>
  <c r="R404" i="1" s="1"/>
  <c r="S404" i="1" s="1"/>
  <c r="P403" i="1"/>
  <c r="R403" i="1" s="1"/>
  <c r="S403" i="1" s="1"/>
  <c r="N402" i="1"/>
  <c r="P402" i="1" s="1"/>
  <c r="R402" i="1" s="1"/>
  <c r="S402" i="1" s="1"/>
  <c r="P401" i="1"/>
  <c r="R401" i="1" s="1"/>
  <c r="S401" i="1" s="1"/>
  <c r="R400" i="1"/>
  <c r="S400" i="1" s="1"/>
  <c r="P400" i="1"/>
  <c r="P399" i="1"/>
  <c r="R399" i="1" s="1"/>
  <c r="S399" i="1" s="1"/>
  <c r="N399" i="1"/>
  <c r="P398" i="1"/>
  <c r="R398" i="1" s="1"/>
  <c r="S398" i="1" s="1"/>
  <c r="N398" i="1"/>
  <c r="P397" i="1"/>
  <c r="R397" i="1" s="1"/>
  <c r="S397" i="1" s="1"/>
  <c r="N397" i="1"/>
  <c r="P395" i="1"/>
  <c r="R395" i="1" s="1"/>
  <c r="S395" i="1" s="1"/>
  <c r="J395" i="1"/>
  <c r="P394" i="1"/>
  <c r="R394" i="1" s="1"/>
  <c r="S394" i="1" s="1"/>
  <c r="J394" i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C388" i="1"/>
  <c r="P388" i="1" s="1"/>
  <c r="R388" i="1" s="1"/>
  <c r="S388" i="1" s="1"/>
  <c r="P387" i="1"/>
  <c r="R387" i="1" s="1"/>
  <c r="S387" i="1" s="1"/>
  <c r="S386" i="1"/>
  <c r="P386" i="1"/>
  <c r="R386" i="1" s="1"/>
  <c r="P385" i="1"/>
  <c r="R385" i="1" s="1"/>
  <c r="S385" i="1" s="1"/>
  <c r="C384" i="1"/>
  <c r="P384" i="1" s="1"/>
  <c r="R384" i="1" s="1"/>
  <c r="S384" i="1" s="1"/>
  <c r="P383" i="1"/>
  <c r="R383" i="1" s="1"/>
  <c r="S383" i="1" s="1"/>
  <c r="S382" i="1"/>
  <c r="P382" i="1"/>
  <c r="R382" i="1" s="1"/>
  <c r="S378" i="1"/>
  <c r="P378" i="1"/>
  <c r="R378" i="1" s="1"/>
  <c r="P377" i="1"/>
  <c r="R377" i="1" s="1"/>
  <c r="S377" i="1" s="1"/>
  <c r="P376" i="1"/>
  <c r="R376" i="1" s="1"/>
  <c r="S376" i="1" s="1"/>
  <c r="P375" i="1"/>
  <c r="J375" i="1"/>
  <c r="P372" i="1"/>
  <c r="R372" i="1" s="1"/>
  <c r="S372" i="1" s="1"/>
  <c r="P371" i="1"/>
  <c r="R371" i="1" s="1"/>
  <c r="S371" i="1" s="1"/>
  <c r="P369" i="1"/>
  <c r="R369" i="1" s="1"/>
  <c r="S369" i="1" s="1"/>
  <c r="J369" i="1"/>
  <c r="P368" i="1"/>
  <c r="N368" i="1"/>
  <c r="J368" i="1"/>
  <c r="P367" i="1"/>
  <c r="R367" i="1" s="1"/>
  <c r="S367" i="1" s="1"/>
  <c r="N367" i="1"/>
  <c r="J367" i="1"/>
  <c r="P366" i="1"/>
  <c r="J366" i="1"/>
  <c r="P365" i="1"/>
  <c r="J365" i="1"/>
  <c r="P364" i="1"/>
  <c r="R364" i="1" s="1"/>
  <c r="S364" i="1" s="1"/>
  <c r="R362" i="1"/>
  <c r="S362" i="1" s="1"/>
  <c r="P362" i="1"/>
  <c r="P361" i="1"/>
  <c r="R361" i="1" s="1"/>
  <c r="S361" i="1" s="1"/>
  <c r="J361" i="1"/>
  <c r="R360" i="1"/>
  <c r="S360" i="1" s="1"/>
  <c r="P360" i="1"/>
  <c r="J360" i="1"/>
  <c r="P359" i="1"/>
  <c r="R359" i="1" s="1"/>
  <c r="S359" i="1" s="1"/>
  <c r="P358" i="1"/>
  <c r="R358" i="1" s="1"/>
  <c r="S358" i="1" s="1"/>
  <c r="N357" i="1"/>
  <c r="P357" i="1" s="1"/>
  <c r="R357" i="1" s="1"/>
  <c r="S357" i="1" s="1"/>
  <c r="P356" i="1"/>
  <c r="R356" i="1" s="1"/>
  <c r="S356" i="1" s="1"/>
  <c r="S355" i="1"/>
  <c r="N355" i="1"/>
  <c r="P355" i="1" s="1"/>
  <c r="R355" i="1" s="1"/>
  <c r="R354" i="1"/>
  <c r="S354" i="1" s="1"/>
  <c r="N354" i="1"/>
  <c r="P354" i="1" s="1"/>
  <c r="S353" i="1"/>
  <c r="P353" i="1"/>
  <c r="R353" i="1" s="1"/>
  <c r="P349" i="1"/>
  <c r="R349" i="1" s="1"/>
  <c r="S349" i="1" s="1"/>
  <c r="P345" i="1"/>
  <c r="N345" i="1"/>
  <c r="J345" i="1"/>
  <c r="P344" i="1"/>
  <c r="J344" i="1"/>
  <c r="N343" i="1"/>
  <c r="P343" i="1" s="1"/>
  <c r="R343" i="1" s="1"/>
  <c r="S343" i="1" s="1"/>
  <c r="J343" i="1"/>
  <c r="P342" i="1"/>
  <c r="J342" i="1"/>
  <c r="R342" i="1" s="1"/>
  <c r="S342" i="1" s="1"/>
  <c r="P341" i="1"/>
  <c r="R341" i="1" s="1"/>
  <c r="S341" i="1" s="1"/>
  <c r="N341" i="1"/>
  <c r="R340" i="1"/>
  <c r="S340" i="1" s="1"/>
  <c r="P340" i="1"/>
  <c r="R339" i="1"/>
  <c r="S339" i="1" s="1"/>
  <c r="P339" i="1"/>
  <c r="P338" i="1"/>
  <c r="R338" i="1" s="1"/>
  <c r="S338" i="1" s="1"/>
  <c r="R337" i="1"/>
  <c r="S337" i="1" s="1"/>
  <c r="P337" i="1"/>
  <c r="N334" i="1"/>
  <c r="P334" i="1" s="1"/>
  <c r="R334" i="1" s="1"/>
  <c r="S334" i="1" s="1"/>
  <c r="P332" i="1"/>
  <c r="R332" i="1" s="1"/>
  <c r="S332" i="1" s="1"/>
  <c r="P330" i="1"/>
  <c r="J330" i="1"/>
  <c r="P329" i="1"/>
  <c r="N329" i="1"/>
  <c r="J329" i="1"/>
  <c r="P328" i="1"/>
  <c r="N328" i="1"/>
  <c r="J328" i="1"/>
  <c r="R328" i="1" s="1"/>
  <c r="S328" i="1" s="1"/>
  <c r="P327" i="1"/>
  <c r="J327" i="1"/>
  <c r="R327" i="1" s="1"/>
  <c r="S327" i="1" s="1"/>
  <c r="P326" i="1"/>
  <c r="J326" i="1"/>
  <c r="R326" i="1" s="1"/>
  <c r="S326" i="1" s="1"/>
  <c r="P325" i="1"/>
  <c r="J325" i="1"/>
  <c r="P324" i="1"/>
  <c r="J324" i="1"/>
  <c r="R324" i="1" s="1"/>
  <c r="S324" i="1" s="1"/>
  <c r="P323" i="1"/>
  <c r="J323" i="1"/>
  <c r="R323" i="1" s="1"/>
  <c r="S323" i="1" s="1"/>
  <c r="P322" i="1"/>
  <c r="J322" i="1"/>
  <c r="R322" i="1" s="1"/>
  <c r="S322" i="1" s="1"/>
  <c r="S321" i="1"/>
  <c r="P320" i="1"/>
  <c r="R320" i="1" s="1"/>
  <c r="S320" i="1" s="1"/>
  <c r="J320" i="1"/>
  <c r="N319" i="1"/>
  <c r="P319" i="1" s="1"/>
  <c r="R319" i="1" s="1"/>
  <c r="S319" i="1" s="1"/>
  <c r="J319" i="1"/>
  <c r="P318" i="1"/>
  <c r="N318" i="1"/>
  <c r="J318" i="1"/>
  <c r="P317" i="1"/>
  <c r="R317" i="1" s="1"/>
  <c r="S317" i="1" s="1"/>
  <c r="J317" i="1"/>
  <c r="N316" i="1"/>
  <c r="J316" i="1"/>
  <c r="E316" i="1"/>
  <c r="P315" i="1"/>
  <c r="R315" i="1" s="1"/>
  <c r="S315" i="1" s="1"/>
  <c r="J315" i="1"/>
  <c r="P314" i="1"/>
  <c r="R314" i="1" s="1"/>
  <c r="S314" i="1" s="1"/>
  <c r="J314" i="1"/>
  <c r="P310" i="1"/>
  <c r="R310" i="1" s="1"/>
  <c r="S310" i="1" s="1"/>
  <c r="J310" i="1"/>
  <c r="P309" i="1"/>
  <c r="R309" i="1" s="1"/>
  <c r="S309" i="1" s="1"/>
  <c r="P306" i="1"/>
  <c r="J306" i="1"/>
  <c r="P305" i="1"/>
  <c r="J305" i="1"/>
  <c r="N304" i="1"/>
  <c r="J304" i="1"/>
  <c r="E304" i="1"/>
  <c r="P304" i="1" s="1"/>
  <c r="R304" i="1" s="1"/>
  <c r="S304" i="1" s="1"/>
  <c r="N303" i="1"/>
  <c r="E303" i="1"/>
  <c r="P303" i="1" s="1"/>
  <c r="R303" i="1" s="1"/>
  <c r="S303" i="1" s="1"/>
  <c r="R301" i="1"/>
  <c r="S301" i="1" s="1"/>
  <c r="P301" i="1"/>
  <c r="J301" i="1"/>
  <c r="J300" i="1"/>
  <c r="E300" i="1"/>
  <c r="P300" i="1" s="1"/>
  <c r="R300" i="1" s="1"/>
  <c r="S300" i="1" s="1"/>
  <c r="R299" i="1"/>
  <c r="S299" i="1" s="1"/>
  <c r="P299" i="1"/>
  <c r="P298" i="1"/>
  <c r="R298" i="1" s="1"/>
  <c r="S298" i="1" s="1"/>
  <c r="P297" i="1"/>
  <c r="R297" i="1" s="1"/>
  <c r="S297" i="1" s="1"/>
  <c r="P296" i="1"/>
  <c r="R296" i="1" s="1"/>
  <c r="S296" i="1" s="1"/>
  <c r="P295" i="1"/>
  <c r="R295" i="1" s="1"/>
  <c r="S295" i="1" s="1"/>
  <c r="P294" i="1"/>
  <c r="R294" i="1" s="1"/>
  <c r="S294" i="1" s="1"/>
  <c r="P293" i="1"/>
  <c r="R293" i="1" s="1"/>
  <c r="S293" i="1" s="1"/>
  <c r="E293" i="1"/>
  <c r="P292" i="1"/>
  <c r="R292" i="1" s="1"/>
  <c r="S292" i="1" s="1"/>
  <c r="N291" i="1"/>
  <c r="E291" i="1"/>
  <c r="S287" i="1"/>
  <c r="P287" i="1"/>
  <c r="R287" i="1" s="1"/>
  <c r="R286" i="1"/>
  <c r="S286" i="1" s="1"/>
  <c r="P286" i="1"/>
  <c r="R285" i="1"/>
  <c r="S285" i="1" s="1"/>
  <c r="P285" i="1"/>
  <c r="R284" i="1"/>
  <c r="S284" i="1" s="1"/>
  <c r="P284" i="1"/>
  <c r="S283" i="1"/>
  <c r="P283" i="1"/>
  <c r="R283" i="1" s="1"/>
  <c r="P282" i="1"/>
  <c r="R282" i="1" s="1"/>
  <c r="S282" i="1" s="1"/>
  <c r="R279" i="1"/>
  <c r="S279" i="1" s="1"/>
  <c r="P279" i="1"/>
  <c r="P278" i="1"/>
  <c r="R278" i="1" s="1"/>
  <c r="S278" i="1" s="1"/>
  <c r="P277" i="1"/>
  <c r="R277" i="1" s="1"/>
  <c r="S277" i="1" s="1"/>
  <c r="P276" i="1"/>
  <c r="R276" i="1" s="1"/>
  <c r="S276" i="1" s="1"/>
  <c r="P275" i="1"/>
  <c r="R275" i="1" s="1"/>
  <c r="S275" i="1" s="1"/>
  <c r="R272" i="1"/>
  <c r="S272" i="1" s="1"/>
  <c r="P272" i="1"/>
  <c r="P270" i="1"/>
  <c r="J270" i="1"/>
  <c r="P266" i="1"/>
  <c r="J266" i="1"/>
  <c r="P265" i="1"/>
  <c r="J265" i="1"/>
  <c r="P262" i="1"/>
  <c r="R262" i="1" s="1"/>
  <c r="S262" i="1" s="1"/>
  <c r="N262" i="1"/>
  <c r="J262" i="1"/>
  <c r="P261" i="1"/>
  <c r="R261" i="1" s="1"/>
  <c r="S261" i="1" s="1"/>
  <c r="J261" i="1"/>
  <c r="P260" i="1"/>
  <c r="R260" i="1" s="1"/>
  <c r="S260" i="1" s="1"/>
  <c r="P259" i="1"/>
  <c r="R259" i="1" s="1"/>
  <c r="S259" i="1" s="1"/>
  <c r="R258" i="1"/>
  <c r="S258" i="1" s="1"/>
  <c r="P258" i="1"/>
  <c r="P257" i="1"/>
  <c r="R257" i="1" s="1"/>
  <c r="S257" i="1" s="1"/>
  <c r="R256" i="1"/>
  <c r="S256" i="1" s="1"/>
  <c r="P256" i="1"/>
  <c r="P255" i="1"/>
  <c r="R255" i="1" s="1"/>
  <c r="S255" i="1" s="1"/>
  <c r="R254" i="1"/>
  <c r="S254" i="1" s="1"/>
  <c r="P254" i="1"/>
  <c r="P253" i="1"/>
  <c r="R253" i="1" s="1"/>
  <c r="S253" i="1" s="1"/>
  <c r="P252" i="1"/>
  <c r="R252" i="1" s="1"/>
  <c r="S252" i="1" s="1"/>
  <c r="N249" i="1"/>
  <c r="P249" i="1" s="1"/>
  <c r="R249" i="1" s="1"/>
  <c r="S249" i="1" s="1"/>
  <c r="J249" i="1"/>
  <c r="P248" i="1"/>
  <c r="J248" i="1"/>
  <c r="R248" i="1" s="1"/>
  <c r="S248" i="1" s="1"/>
  <c r="P245" i="1"/>
  <c r="R245" i="1" s="1"/>
  <c r="S245" i="1" s="1"/>
  <c r="J245" i="1"/>
  <c r="N244" i="1"/>
  <c r="P244" i="1" s="1"/>
  <c r="J244" i="1"/>
  <c r="N243" i="1"/>
  <c r="J243" i="1"/>
  <c r="E243" i="1"/>
  <c r="P243" i="1" s="1"/>
  <c r="R243" i="1" s="1"/>
  <c r="S243" i="1" s="1"/>
  <c r="N242" i="1"/>
  <c r="P242" i="1" s="1"/>
  <c r="J242" i="1"/>
  <c r="P241" i="1"/>
  <c r="R241" i="1" s="1"/>
  <c r="S241" i="1" s="1"/>
  <c r="P240" i="1"/>
  <c r="R240" i="1" s="1"/>
  <c r="S240" i="1" s="1"/>
  <c r="P239" i="1"/>
  <c r="R239" i="1" s="1"/>
  <c r="S239" i="1" s="1"/>
  <c r="P238" i="1"/>
  <c r="R238" i="1" s="1"/>
  <c r="S238" i="1" s="1"/>
  <c r="P237" i="1"/>
  <c r="R237" i="1" s="1"/>
  <c r="S237" i="1" s="1"/>
  <c r="S236" i="1"/>
  <c r="P236" i="1"/>
  <c r="R236" i="1" s="1"/>
  <c r="E235" i="1"/>
  <c r="P235" i="1" s="1"/>
  <c r="R235" i="1" s="1"/>
  <c r="S235" i="1" s="1"/>
  <c r="N234" i="1"/>
  <c r="P234" i="1" s="1"/>
  <c r="R234" i="1" s="1"/>
  <c r="S234" i="1" s="1"/>
  <c r="N233" i="1"/>
  <c r="P233" i="1" s="1"/>
  <c r="R233" i="1" s="1"/>
  <c r="S233" i="1" s="1"/>
  <c r="R232" i="1"/>
  <c r="S232" i="1" s="1"/>
  <c r="P232" i="1"/>
  <c r="P231" i="1"/>
  <c r="R231" i="1" s="1"/>
  <c r="S231" i="1" s="1"/>
  <c r="P230" i="1"/>
  <c r="J230" i="1"/>
  <c r="P227" i="1"/>
  <c r="J227" i="1"/>
  <c r="P226" i="1"/>
  <c r="J226" i="1"/>
  <c r="R225" i="1"/>
  <c r="S225" i="1" s="1"/>
  <c r="P225" i="1"/>
  <c r="J225" i="1"/>
  <c r="N224" i="1"/>
  <c r="P224" i="1" s="1"/>
  <c r="R224" i="1" s="1"/>
  <c r="S224" i="1" s="1"/>
  <c r="J224" i="1"/>
  <c r="P223" i="1"/>
  <c r="R223" i="1" s="1"/>
  <c r="S223" i="1" s="1"/>
  <c r="N222" i="1"/>
  <c r="P222" i="1" s="1"/>
  <c r="R222" i="1" s="1"/>
  <c r="S222" i="1" s="1"/>
  <c r="J222" i="1"/>
  <c r="P221" i="1"/>
  <c r="R221" i="1" s="1"/>
  <c r="S221" i="1" s="1"/>
  <c r="P217" i="1"/>
  <c r="R217" i="1" s="1"/>
  <c r="S217" i="1" s="1"/>
  <c r="P215" i="1"/>
  <c r="R215" i="1" s="1"/>
  <c r="S215" i="1" s="1"/>
  <c r="P211" i="1"/>
  <c r="J211" i="1"/>
  <c r="P210" i="1"/>
  <c r="J210" i="1"/>
  <c r="R210" i="1" s="1"/>
  <c r="S210" i="1" s="1"/>
  <c r="P209" i="1"/>
  <c r="R209" i="1" s="1"/>
  <c r="S209" i="1" s="1"/>
  <c r="R208" i="1"/>
  <c r="S208" i="1" s="1"/>
  <c r="P208" i="1"/>
  <c r="P205" i="1"/>
  <c r="J205" i="1"/>
  <c r="R204" i="1"/>
  <c r="S204" i="1" s="1"/>
  <c r="P204" i="1"/>
  <c r="J204" i="1"/>
  <c r="P203" i="1"/>
  <c r="J203" i="1"/>
  <c r="P202" i="1"/>
  <c r="R202" i="1" s="1"/>
  <c r="S202" i="1" s="1"/>
  <c r="P201" i="1"/>
  <c r="R201" i="1" s="1"/>
  <c r="S201" i="1" s="1"/>
  <c r="R200" i="1"/>
  <c r="S200" i="1" s="1"/>
  <c r="P200" i="1"/>
  <c r="N198" i="1"/>
  <c r="J198" i="1"/>
  <c r="E198" i="1"/>
  <c r="P198" i="1" s="1"/>
  <c r="R198" i="1" s="1"/>
  <c r="S198" i="1" s="1"/>
  <c r="N197" i="1"/>
  <c r="P197" i="1" s="1"/>
  <c r="R197" i="1" s="1"/>
  <c r="S197" i="1" s="1"/>
  <c r="J197" i="1"/>
  <c r="P196" i="1"/>
  <c r="R196" i="1" s="1"/>
  <c r="S196" i="1" s="1"/>
  <c r="E195" i="1"/>
  <c r="P195" i="1" s="1"/>
  <c r="R195" i="1" s="1"/>
  <c r="S195" i="1" s="1"/>
  <c r="N194" i="1"/>
  <c r="P194" i="1" s="1"/>
  <c r="R194" i="1" s="1"/>
  <c r="S194" i="1" s="1"/>
  <c r="N192" i="1"/>
  <c r="J192" i="1"/>
  <c r="E192" i="1"/>
  <c r="P192" i="1" s="1"/>
  <c r="P191" i="1"/>
  <c r="N191" i="1"/>
  <c r="J191" i="1"/>
  <c r="N190" i="1"/>
  <c r="P190" i="1" s="1"/>
  <c r="R190" i="1" s="1"/>
  <c r="S190" i="1" s="1"/>
  <c r="J190" i="1"/>
  <c r="N189" i="1"/>
  <c r="P189" i="1" s="1"/>
  <c r="R189" i="1" s="1"/>
  <c r="S189" i="1" s="1"/>
  <c r="S188" i="1"/>
  <c r="P188" i="1"/>
  <c r="R188" i="1" s="1"/>
  <c r="P187" i="1"/>
  <c r="R187" i="1" s="1"/>
  <c r="S187" i="1" s="1"/>
  <c r="P186" i="1"/>
  <c r="R186" i="1" s="1"/>
  <c r="S186" i="1" s="1"/>
  <c r="P182" i="1"/>
  <c r="R182" i="1" s="1"/>
  <c r="S182" i="1" s="1"/>
  <c r="P181" i="1"/>
  <c r="R181" i="1" s="1"/>
  <c r="S181" i="1" s="1"/>
  <c r="P180" i="1"/>
  <c r="R180" i="1" s="1"/>
  <c r="S180" i="1" s="1"/>
  <c r="S178" i="1"/>
  <c r="R178" i="1"/>
  <c r="P178" i="1"/>
  <c r="P177" i="1"/>
  <c r="J177" i="1"/>
  <c r="P176" i="1"/>
  <c r="R176" i="1" s="1"/>
  <c r="S176" i="1" s="1"/>
  <c r="P175" i="1"/>
  <c r="J175" i="1"/>
  <c r="P174" i="1"/>
  <c r="R174" i="1" s="1"/>
  <c r="S174" i="1" s="1"/>
  <c r="P173" i="1"/>
  <c r="R173" i="1" s="1"/>
  <c r="S173" i="1" s="1"/>
  <c r="R172" i="1"/>
  <c r="S172" i="1" s="1"/>
  <c r="P172" i="1"/>
  <c r="P171" i="1"/>
  <c r="R171" i="1" s="1"/>
  <c r="S171" i="1" s="1"/>
  <c r="P169" i="1"/>
  <c r="J169" i="1"/>
  <c r="P168" i="1"/>
  <c r="R168" i="1" s="1"/>
  <c r="S168" i="1" s="1"/>
  <c r="J168" i="1"/>
  <c r="P167" i="1"/>
  <c r="J167" i="1"/>
  <c r="P166" i="1"/>
  <c r="J166" i="1"/>
  <c r="P165" i="1"/>
  <c r="J165" i="1"/>
  <c r="P164" i="1"/>
  <c r="R164" i="1" s="1"/>
  <c r="S164" i="1" s="1"/>
  <c r="J164" i="1"/>
  <c r="P163" i="1"/>
  <c r="R163" i="1" s="1"/>
  <c r="S163" i="1" s="1"/>
  <c r="S162" i="1"/>
  <c r="R162" i="1"/>
  <c r="P162" i="1"/>
  <c r="P161" i="1"/>
  <c r="R161" i="1" s="1"/>
  <c r="S161" i="1" s="1"/>
  <c r="J161" i="1"/>
  <c r="P160" i="1"/>
  <c r="R160" i="1" s="1"/>
  <c r="S160" i="1" s="1"/>
  <c r="J160" i="1"/>
  <c r="R159" i="1"/>
  <c r="S159" i="1" s="1"/>
  <c r="P159" i="1"/>
  <c r="P158" i="1"/>
  <c r="R158" i="1" s="1"/>
  <c r="S158" i="1" s="1"/>
  <c r="N157" i="1"/>
  <c r="E157" i="1"/>
  <c r="N156" i="1"/>
  <c r="E156" i="1"/>
  <c r="P155" i="1"/>
  <c r="R155" i="1" s="1"/>
  <c r="S155" i="1" s="1"/>
  <c r="N155" i="1"/>
  <c r="N154" i="1"/>
  <c r="E154" i="1"/>
  <c r="P154" i="1" s="1"/>
  <c r="R154" i="1" s="1"/>
  <c r="S154" i="1" s="1"/>
  <c r="N153" i="1"/>
  <c r="E153" i="1"/>
  <c r="E152" i="1"/>
  <c r="P152" i="1" s="1"/>
  <c r="R152" i="1" s="1"/>
  <c r="S152" i="1" s="1"/>
  <c r="N151" i="1"/>
  <c r="E151" i="1"/>
  <c r="P150" i="1"/>
  <c r="R150" i="1" s="1"/>
  <c r="S150" i="1" s="1"/>
  <c r="N149" i="1"/>
  <c r="P149" i="1" s="1"/>
  <c r="R149" i="1" s="1"/>
  <c r="S149" i="1" s="1"/>
  <c r="E149" i="1"/>
  <c r="P146" i="1"/>
  <c r="J146" i="1"/>
  <c r="P145" i="1"/>
  <c r="J145" i="1"/>
  <c r="N144" i="1"/>
  <c r="P144" i="1" s="1"/>
  <c r="J144" i="1"/>
  <c r="P143" i="1"/>
  <c r="R143" i="1" s="1"/>
  <c r="S143" i="1" s="1"/>
  <c r="J143" i="1"/>
  <c r="N142" i="1"/>
  <c r="P142" i="1" s="1"/>
  <c r="J142" i="1"/>
  <c r="P141" i="1"/>
  <c r="J141" i="1"/>
  <c r="P140" i="1"/>
  <c r="R140" i="1" s="1"/>
  <c r="S140" i="1" s="1"/>
  <c r="J140" i="1"/>
  <c r="P139" i="1"/>
  <c r="R139" i="1" s="1"/>
  <c r="S139" i="1" s="1"/>
  <c r="J139" i="1"/>
  <c r="P138" i="1"/>
  <c r="J138" i="1"/>
  <c r="P137" i="1"/>
  <c r="J137" i="1"/>
  <c r="R137" i="1" s="1"/>
  <c r="S137" i="1" s="1"/>
  <c r="R136" i="1"/>
  <c r="S136" i="1" s="1"/>
  <c r="P136" i="1"/>
  <c r="J136" i="1"/>
  <c r="R135" i="1"/>
  <c r="S135" i="1" s="1"/>
  <c r="P135" i="1"/>
  <c r="J135" i="1"/>
  <c r="P134" i="1"/>
  <c r="J134" i="1"/>
  <c r="R134" i="1" s="1"/>
  <c r="S134" i="1" s="1"/>
  <c r="P133" i="1"/>
  <c r="J133" i="1"/>
  <c r="P132" i="1"/>
  <c r="R132" i="1" s="1"/>
  <c r="S132" i="1" s="1"/>
  <c r="J132" i="1"/>
  <c r="N131" i="1"/>
  <c r="P131" i="1" s="1"/>
  <c r="J131" i="1"/>
  <c r="P130" i="1"/>
  <c r="J130" i="1"/>
  <c r="P129" i="1"/>
  <c r="J129" i="1"/>
  <c r="P128" i="1"/>
  <c r="R128" i="1" s="1"/>
  <c r="S128" i="1" s="1"/>
  <c r="J128" i="1"/>
  <c r="P127" i="1"/>
  <c r="J127" i="1"/>
  <c r="N126" i="1"/>
  <c r="P126" i="1" s="1"/>
  <c r="R126" i="1" s="1"/>
  <c r="S126" i="1" s="1"/>
  <c r="J126" i="1"/>
  <c r="E126" i="1"/>
  <c r="P125" i="1"/>
  <c r="J125" i="1"/>
  <c r="P124" i="1"/>
  <c r="R124" i="1" s="1"/>
  <c r="S124" i="1" s="1"/>
  <c r="J124" i="1"/>
  <c r="N123" i="1"/>
  <c r="P123" i="1" s="1"/>
  <c r="R123" i="1" s="1"/>
  <c r="S123" i="1" s="1"/>
  <c r="J123" i="1"/>
  <c r="E123" i="1"/>
  <c r="P121" i="1"/>
  <c r="J121" i="1"/>
  <c r="P120" i="1"/>
  <c r="R120" i="1" s="1"/>
  <c r="S120" i="1" s="1"/>
  <c r="N120" i="1"/>
  <c r="J120" i="1"/>
  <c r="P119" i="1"/>
  <c r="R119" i="1" s="1"/>
  <c r="S119" i="1" s="1"/>
  <c r="J119" i="1"/>
  <c r="N118" i="1"/>
  <c r="J118" i="1"/>
  <c r="E118" i="1"/>
  <c r="R117" i="1"/>
  <c r="S117" i="1" s="1"/>
  <c r="N117" i="1"/>
  <c r="P117" i="1" s="1"/>
  <c r="J117" i="1"/>
  <c r="P116" i="1"/>
  <c r="R116" i="1" s="1"/>
  <c r="S116" i="1" s="1"/>
  <c r="N116" i="1"/>
  <c r="J116" i="1"/>
  <c r="E116" i="1"/>
  <c r="P115" i="1"/>
  <c r="R115" i="1" s="1"/>
  <c r="S115" i="1" s="1"/>
  <c r="J115" i="1"/>
  <c r="P114" i="1"/>
  <c r="J114" i="1"/>
  <c r="P113" i="1"/>
  <c r="R113" i="1" s="1"/>
  <c r="S113" i="1" s="1"/>
  <c r="P112" i="1"/>
  <c r="R112" i="1" s="1"/>
  <c r="S112" i="1" s="1"/>
  <c r="J112" i="1"/>
  <c r="P111" i="1"/>
  <c r="R111" i="1" s="1"/>
  <c r="S111" i="1" s="1"/>
  <c r="P110" i="1"/>
  <c r="J110" i="1"/>
  <c r="P109" i="1"/>
  <c r="J109" i="1"/>
  <c r="P108" i="1"/>
  <c r="R108" i="1" s="1"/>
  <c r="S108" i="1" s="1"/>
  <c r="P107" i="1"/>
  <c r="R107" i="1" s="1"/>
  <c r="S107" i="1" s="1"/>
  <c r="R106" i="1"/>
  <c r="S106" i="1" s="1"/>
  <c r="P106" i="1"/>
  <c r="P105" i="1"/>
  <c r="R105" i="1" s="1"/>
  <c r="S105" i="1" s="1"/>
  <c r="P104" i="1"/>
  <c r="R104" i="1" s="1"/>
  <c r="S104" i="1" s="1"/>
  <c r="R103" i="1"/>
  <c r="S103" i="1" s="1"/>
  <c r="P103" i="1"/>
  <c r="N102" i="1"/>
  <c r="E102" i="1"/>
  <c r="P102" i="1" s="1"/>
  <c r="R102" i="1" s="1"/>
  <c r="S102" i="1" s="1"/>
  <c r="P101" i="1"/>
  <c r="R101" i="1" s="1"/>
  <c r="S101" i="1" s="1"/>
  <c r="R97" i="1"/>
  <c r="S97" i="1" s="1"/>
  <c r="P97" i="1"/>
  <c r="N97" i="1"/>
  <c r="J97" i="1"/>
  <c r="N96" i="1"/>
  <c r="J96" i="1"/>
  <c r="E96" i="1"/>
  <c r="P95" i="1"/>
  <c r="J95" i="1"/>
  <c r="R94" i="1"/>
  <c r="S94" i="1" s="1"/>
  <c r="P94" i="1"/>
  <c r="J94" i="1"/>
  <c r="P93" i="1"/>
  <c r="R93" i="1" s="1"/>
  <c r="S93" i="1" s="1"/>
  <c r="S92" i="1"/>
  <c r="P92" i="1"/>
  <c r="R92" i="1" s="1"/>
  <c r="P91" i="1"/>
  <c r="R91" i="1" s="1"/>
  <c r="S91" i="1" s="1"/>
  <c r="S90" i="1"/>
  <c r="P90" i="1"/>
  <c r="R90" i="1" s="1"/>
  <c r="P88" i="1"/>
  <c r="J88" i="1"/>
  <c r="N87" i="1"/>
  <c r="P87" i="1" s="1"/>
  <c r="R87" i="1" s="1"/>
  <c r="S87" i="1" s="1"/>
  <c r="J87" i="1"/>
  <c r="E87" i="1"/>
  <c r="R86" i="1"/>
  <c r="S86" i="1" s="1"/>
  <c r="P86" i="1"/>
  <c r="J86" i="1"/>
  <c r="N85" i="1"/>
  <c r="J85" i="1"/>
  <c r="E85" i="1"/>
  <c r="N84" i="1"/>
  <c r="P84" i="1" s="1"/>
  <c r="J84" i="1"/>
  <c r="P83" i="1"/>
  <c r="R83" i="1" s="1"/>
  <c r="S83" i="1" s="1"/>
  <c r="N83" i="1"/>
  <c r="J83" i="1"/>
  <c r="P82" i="1"/>
  <c r="J82" i="1"/>
  <c r="P81" i="1"/>
  <c r="J81" i="1"/>
  <c r="R81" i="1" s="1"/>
  <c r="S81" i="1" s="1"/>
  <c r="R80" i="1"/>
  <c r="S80" i="1" s="1"/>
  <c r="N80" i="1"/>
  <c r="P80" i="1" s="1"/>
  <c r="J80" i="1"/>
  <c r="P79" i="1"/>
  <c r="R79" i="1" s="1"/>
  <c r="S79" i="1" s="1"/>
  <c r="S78" i="1"/>
  <c r="R78" i="1"/>
  <c r="N78" i="1"/>
  <c r="P78" i="1" s="1"/>
  <c r="P77" i="1"/>
  <c r="R77" i="1" s="1"/>
  <c r="S77" i="1" s="1"/>
  <c r="P76" i="1"/>
  <c r="R76" i="1" s="1"/>
  <c r="S76" i="1" s="1"/>
  <c r="P75" i="1"/>
  <c r="R75" i="1" s="1"/>
  <c r="S75" i="1" s="1"/>
  <c r="N74" i="1"/>
  <c r="P74" i="1" s="1"/>
  <c r="R74" i="1" s="1"/>
  <c r="S74" i="1" s="1"/>
  <c r="P73" i="1"/>
  <c r="R73" i="1" s="1"/>
  <c r="S73" i="1" s="1"/>
  <c r="P72" i="1"/>
  <c r="R72" i="1" s="1"/>
  <c r="S72" i="1" s="1"/>
  <c r="P71" i="1"/>
  <c r="R71" i="1" s="1"/>
  <c r="S71" i="1" s="1"/>
  <c r="P70" i="1"/>
  <c r="R70" i="1" s="1"/>
  <c r="S70" i="1" s="1"/>
  <c r="P69" i="1"/>
  <c r="R69" i="1" s="1"/>
  <c r="S69" i="1" s="1"/>
  <c r="P68" i="1"/>
  <c r="R68" i="1" s="1"/>
  <c r="S68" i="1" s="1"/>
  <c r="P67" i="1"/>
  <c r="R67" i="1" s="1"/>
  <c r="S67" i="1" s="1"/>
  <c r="P63" i="1"/>
  <c r="R63" i="1" s="1"/>
  <c r="S63" i="1" s="1"/>
  <c r="P62" i="1"/>
  <c r="R62" i="1" s="1"/>
  <c r="S62" i="1" s="1"/>
  <c r="S61" i="1"/>
  <c r="N59" i="1"/>
  <c r="P59" i="1" s="1"/>
  <c r="R59" i="1" s="1"/>
  <c r="S59" i="1" s="1"/>
  <c r="P58" i="1"/>
  <c r="R58" i="1" s="1"/>
  <c r="S58" i="1" s="1"/>
  <c r="N57" i="1"/>
  <c r="P57" i="1" s="1"/>
  <c r="R57" i="1" s="1"/>
  <c r="S57" i="1" s="1"/>
  <c r="S56" i="1"/>
  <c r="R56" i="1"/>
  <c r="P56" i="1"/>
  <c r="P55" i="1"/>
  <c r="R55" i="1" s="1"/>
  <c r="S55" i="1" s="1"/>
  <c r="P54" i="1"/>
  <c r="R54" i="1" s="1"/>
  <c r="S54" i="1" s="1"/>
  <c r="P53" i="1"/>
  <c r="R53" i="1" s="1"/>
  <c r="S53" i="1" s="1"/>
  <c r="N52" i="1"/>
  <c r="P52" i="1" s="1"/>
  <c r="R52" i="1" s="1"/>
  <c r="S52" i="1" s="1"/>
  <c r="N51" i="1"/>
  <c r="P51" i="1" s="1"/>
  <c r="R51" i="1" s="1"/>
  <c r="S51" i="1" s="1"/>
  <c r="N50" i="1"/>
  <c r="E50" i="1"/>
  <c r="P50" i="1" s="1"/>
  <c r="R50" i="1" s="1"/>
  <c r="S50" i="1" s="1"/>
  <c r="N49" i="1"/>
  <c r="P49" i="1" s="1"/>
  <c r="R49" i="1" s="1"/>
  <c r="S49" i="1" s="1"/>
  <c r="P48" i="1"/>
  <c r="R48" i="1" s="1"/>
  <c r="S48" i="1" s="1"/>
  <c r="P47" i="1"/>
  <c r="R47" i="1" s="1"/>
  <c r="S47" i="1" s="1"/>
  <c r="P46" i="1"/>
  <c r="R46" i="1" s="1"/>
  <c r="S46" i="1" s="1"/>
  <c r="P45" i="1"/>
  <c r="R45" i="1" s="1"/>
  <c r="S45" i="1" s="1"/>
  <c r="P44" i="1"/>
  <c r="R44" i="1" s="1"/>
  <c r="S44" i="1" s="1"/>
  <c r="P43" i="1"/>
  <c r="R43" i="1" s="1"/>
  <c r="S43" i="1" s="1"/>
  <c r="P42" i="1"/>
  <c r="R42" i="1" s="1"/>
  <c r="S42" i="1" s="1"/>
  <c r="P41" i="1"/>
  <c r="R41" i="1" s="1"/>
  <c r="S41" i="1" s="1"/>
  <c r="P40" i="1"/>
  <c r="R40" i="1" s="1"/>
  <c r="S40" i="1" s="1"/>
  <c r="R39" i="1"/>
  <c r="S39" i="1" s="1"/>
  <c r="P39" i="1"/>
  <c r="P38" i="1"/>
  <c r="R38" i="1" s="1"/>
  <c r="S38" i="1" s="1"/>
  <c r="P37" i="1"/>
  <c r="R37" i="1" s="1"/>
  <c r="S37" i="1" s="1"/>
  <c r="P36" i="1"/>
  <c r="R36" i="1" s="1"/>
  <c r="S36" i="1" s="1"/>
  <c r="R35" i="1"/>
  <c r="S35" i="1" s="1"/>
  <c r="P35" i="1"/>
  <c r="P32" i="1"/>
  <c r="J32" i="1"/>
  <c r="P31" i="1"/>
  <c r="R31" i="1" s="1"/>
  <c r="S31" i="1" s="1"/>
  <c r="J31" i="1"/>
  <c r="P30" i="1"/>
  <c r="J30" i="1"/>
  <c r="P29" i="1"/>
  <c r="R29" i="1" s="1"/>
  <c r="S29" i="1" s="1"/>
  <c r="J29" i="1"/>
  <c r="P28" i="1"/>
  <c r="J28" i="1"/>
  <c r="P27" i="1"/>
  <c r="R27" i="1" s="1"/>
  <c r="S27" i="1" s="1"/>
  <c r="J27" i="1"/>
  <c r="P26" i="1"/>
  <c r="J26" i="1"/>
  <c r="P25" i="1"/>
  <c r="R25" i="1" s="1"/>
  <c r="S25" i="1" s="1"/>
  <c r="P21" i="1"/>
  <c r="R21" i="1" s="1"/>
  <c r="S21" i="1" s="1"/>
  <c r="P20" i="1"/>
  <c r="R20" i="1" s="1"/>
  <c r="S20" i="1" s="1"/>
  <c r="R19" i="1"/>
  <c r="S19" i="1" s="1"/>
  <c r="P19" i="1"/>
  <c r="P18" i="1"/>
  <c r="R18" i="1" s="1"/>
  <c r="S18" i="1" s="1"/>
  <c r="P17" i="1"/>
  <c r="R17" i="1" s="1"/>
  <c r="S17" i="1" s="1"/>
  <c r="P15" i="1"/>
  <c r="R15" i="1" s="1"/>
  <c r="S15" i="1" s="1"/>
  <c r="R14" i="1"/>
  <c r="S14" i="1" s="1"/>
  <c r="P14" i="1"/>
  <c r="P13" i="1"/>
  <c r="R13" i="1" s="1"/>
  <c r="S13" i="1" s="1"/>
  <c r="P12" i="1"/>
  <c r="R12" i="1" s="1"/>
  <c r="S12" i="1" s="1"/>
  <c r="P11" i="1"/>
  <c r="R11" i="1" s="1"/>
  <c r="S11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26" i="1" l="1"/>
  <c r="S26" i="1" s="1"/>
  <c r="R30" i="1"/>
  <c r="S30" i="1" s="1"/>
  <c r="R84" i="1"/>
  <c r="S84" i="1" s="1"/>
  <c r="R88" i="1"/>
  <c r="S88" i="1" s="1"/>
  <c r="R95" i="1"/>
  <c r="S95" i="1" s="1"/>
  <c r="R125" i="1"/>
  <c r="S125" i="1" s="1"/>
  <c r="R177" i="1"/>
  <c r="S177" i="1" s="1"/>
  <c r="R203" i="1"/>
  <c r="S203" i="1" s="1"/>
  <c r="R226" i="1"/>
  <c r="S226" i="1" s="1"/>
  <c r="R230" i="1"/>
  <c r="S230" i="1" s="1"/>
  <c r="R244" i="1"/>
  <c r="S244" i="1" s="1"/>
  <c r="R270" i="1"/>
  <c r="S270" i="1" s="1"/>
  <c r="R318" i="1"/>
  <c r="S318" i="1" s="1"/>
  <c r="R329" i="1"/>
  <c r="S329" i="1" s="1"/>
  <c r="R345" i="1"/>
  <c r="S345" i="1" s="1"/>
  <c r="R28" i="1"/>
  <c r="S28" i="1" s="1"/>
  <c r="R32" i="1"/>
  <c r="S32" i="1" s="1"/>
  <c r="P85" i="1"/>
  <c r="R85" i="1" s="1"/>
  <c r="S85" i="1" s="1"/>
  <c r="P96" i="1"/>
  <c r="R96" i="1" s="1"/>
  <c r="S96" i="1" s="1"/>
  <c r="R109" i="1"/>
  <c r="S109" i="1" s="1"/>
  <c r="R114" i="1"/>
  <c r="S114" i="1" s="1"/>
  <c r="P118" i="1"/>
  <c r="R118" i="1" s="1"/>
  <c r="S118" i="1" s="1"/>
  <c r="R131" i="1"/>
  <c r="S131" i="1" s="1"/>
  <c r="R133" i="1"/>
  <c r="S133" i="1" s="1"/>
  <c r="R138" i="1"/>
  <c r="S138" i="1" s="1"/>
  <c r="R141" i="1"/>
  <c r="S141" i="1" s="1"/>
  <c r="R144" i="1"/>
  <c r="S144" i="1" s="1"/>
  <c r="R146" i="1"/>
  <c r="S146" i="1" s="1"/>
  <c r="P153" i="1"/>
  <c r="R153" i="1" s="1"/>
  <c r="S153" i="1" s="1"/>
  <c r="P156" i="1"/>
  <c r="R156" i="1" s="1"/>
  <c r="S156" i="1" s="1"/>
  <c r="R175" i="1"/>
  <c r="S175" i="1" s="1"/>
  <c r="R211" i="1"/>
  <c r="S211" i="1" s="1"/>
  <c r="R227" i="1"/>
  <c r="S227" i="1" s="1"/>
  <c r="R368" i="1"/>
  <c r="S368" i="1" s="1"/>
  <c r="P417" i="1"/>
  <c r="R417" i="1" s="1"/>
  <c r="S417" i="1" s="1"/>
  <c r="P424" i="1"/>
  <c r="R424" i="1" s="1"/>
  <c r="S424" i="1" s="1"/>
  <c r="R82" i="1"/>
  <c r="S82" i="1" s="1"/>
  <c r="P151" i="1"/>
  <c r="R151" i="1" s="1"/>
  <c r="S151" i="1" s="1"/>
  <c r="P425" i="1"/>
  <c r="R425" i="1" s="1"/>
  <c r="S425" i="1" s="1"/>
  <c r="R325" i="1"/>
  <c r="S325" i="1" s="1"/>
  <c r="R330" i="1"/>
  <c r="S330" i="1" s="1"/>
  <c r="R344" i="1"/>
  <c r="S344" i="1" s="1"/>
  <c r="R365" i="1"/>
  <c r="S365" i="1" s="1"/>
  <c r="R418" i="1"/>
  <c r="S418" i="1" s="1"/>
  <c r="R440" i="1"/>
  <c r="S440" i="1" s="1"/>
  <c r="R444" i="1"/>
  <c r="S444" i="1" s="1"/>
  <c r="R446" i="1"/>
  <c r="S446" i="1" s="1"/>
  <c r="R486" i="1"/>
  <c r="S486" i="1" s="1"/>
  <c r="R491" i="1"/>
  <c r="S491" i="1" s="1"/>
  <c r="R498" i="1"/>
  <c r="S498" i="1" s="1"/>
  <c r="R515" i="1"/>
  <c r="S515" i="1" s="1"/>
  <c r="R519" i="1"/>
  <c r="S519" i="1" s="1"/>
  <c r="R553" i="1"/>
  <c r="S553" i="1" s="1"/>
  <c r="R555" i="1"/>
  <c r="S555" i="1" s="1"/>
  <c r="R579" i="1"/>
  <c r="S579" i="1" s="1"/>
  <c r="R580" i="1"/>
  <c r="S580" i="1" s="1"/>
  <c r="R582" i="1"/>
  <c r="S582" i="1" s="1"/>
  <c r="R591" i="1"/>
  <c r="S591" i="1" s="1"/>
  <c r="R626" i="1"/>
  <c r="S626" i="1" s="1"/>
  <c r="R631" i="1"/>
  <c r="S631" i="1" s="1"/>
  <c r="R647" i="1"/>
  <c r="S647" i="1" s="1"/>
  <c r="R656" i="1"/>
  <c r="S656" i="1" s="1"/>
  <c r="R695" i="1"/>
  <c r="S695" i="1" s="1"/>
  <c r="R714" i="1"/>
  <c r="S714" i="1" s="1"/>
  <c r="R717" i="1"/>
  <c r="S717" i="1" s="1"/>
  <c r="R660" i="1"/>
  <c r="S660" i="1" s="1"/>
  <c r="P291" i="1"/>
  <c r="R291" i="1" s="1"/>
  <c r="S291" i="1" s="1"/>
  <c r="P316" i="1"/>
  <c r="R316" i="1" s="1"/>
  <c r="S316" i="1" s="1"/>
  <c r="R415" i="1"/>
  <c r="S415" i="1" s="1"/>
  <c r="R419" i="1"/>
  <c r="S419" i="1" s="1"/>
  <c r="R439" i="1"/>
  <c r="S439" i="1" s="1"/>
  <c r="P481" i="1"/>
  <c r="R481" i="1" s="1"/>
  <c r="S481" i="1" s="1"/>
  <c r="R487" i="1"/>
  <c r="S487" i="1" s="1"/>
  <c r="R492" i="1"/>
  <c r="S492" i="1" s="1"/>
  <c r="R497" i="1"/>
  <c r="S497" i="1" s="1"/>
  <c r="R518" i="1"/>
  <c r="S518" i="1" s="1"/>
  <c r="P538" i="1"/>
  <c r="R538" i="1" s="1"/>
  <c r="S538" i="1" s="1"/>
  <c r="R549" i="1"/>
  <c r="S549" i="1" s="1"/>
  <c r="R556" i="1"/>
  <c r="S556" i="1" s="1"/>
  <c r="R625" i="1"/>
  <c r="S625" i="1" s="1"/>
  <c r="R648" i="1"/>
  <c r="S648" i="1" s="1"/>
  <c r="R657" i="1"/>
  <c r="S657" i="1" s="1"/>
  <c r="R659" i="1"/>
  <c r="S659" i="1" s="1"/>
  <c r="P671" i="1"/>
  <c r="R671" i="1" s="1"/>
  <c r="S671" i="1" s="1"/>
  <c r="R705" i="1"/>
  <c r="S705" i="1" s="1"/>
  <c r="R769" i="2"/>
  <c r="R772" i="2" s="1"/>
  <c r="S769" i="2"/>
  <c r="R242" i="1"/>
  <c r="S242" i="1" s="1"/>
  <c r="R142" i="1"/>
  <c r="S142" i="1" s="1"/>
  <c r="R205" i="1"/>
  <c r="S205" i="1" s="1"/>
  <c r="R266" i="1"/>
  <c r="S266" i="1" s="1"/>
  <c r="R127" i="1"/>
  <c r="S127" i="1" s="1"/>
  <c r="R167" i="1"/>
  <c r="S167" i="1" s="1"/>
  <c r="R130" i="1"/>
  <c r="S130" i="1" s="1"/>
  <c r="R191" i="1"/>
  <c r="S191" i="1" s="1"/>
  <c r="R306" i="1"/>
  <c r="S306" i="1" s="1"/>
  <c r="R145" i="1"/>
  <c r="S145" i="1" s="1"/>
  <c r="P157" i="1"/>
  <c r="R157" i="1" s="1"/>
  <c r="S157" i="1" s="1"/>
  <c r="R166" i="1"/>
  <c r="S166" i="1" s="1"/>
  <c r="R192" i="1"/>
  <c r="S192" i="1" s="1"/>
  <c r="R416" i="1"/>
  <c r="S416" i="1" s="1"/>
  <c r="R110" i="1"/>
  <c r="S110" i="1" s="1"/>
  <c r="R121" i="1"/>
  <c r="S121" i="1" s="1"/>
  <c r="R129" i="1"/>
  <c r="S129" i="1" s="1"/>
  <c r="R165" i="1"/>
  <c r="S165" i="1" s="1"/>
  <c r="R169" i="1"/>
  <c r="S169" i="1" s="1"/>
  <c r="R265" i="1"/>
  <c r="S265" i="1" s="1"/>
  <c r="R438" i="1"/>
  <c r="S438" i="1" s="1"/>
  <c r="R443" i="1"/>
  <c r="S443" i="1" s="1"/>
  <c r="R445" i="1"/>
  <c r="S445" i="1" s="1"/>
  <c r="R447" i="1"/>
  <c r="S447" i="1" s="1"/>
  <c r="R305" i="1"/>
  <c r="S305" i="1" s="1"/>
  <c r="R366" i="1"/>
  <c r="S366" i="1" s="1"/>
  <c r="R375" i="1"/>
  <c r="S375" i="1" s="1"/>
  <c r="R426" i="1"/>
  <c r="S426" i="1" s="1"/>
  <c r="R437" i="1"/>
  <c r="S437" i="1" s="1"/>
  <c r="R548" i="1"/>
  <c r="S548" i="1" s="1"/>
  <c r="R619" i="1"/>
  <c r="S619" i="1" s="1"/>
  <c r="R653" i="1"/>
  <c r="S653" i="1" s="1"/>
  <c r="R674" i="1"/>
  <c r="S674" i="1" s="1"/>
  <c r="R690" i="1"/>
  <c r="S690" i="1" s="1"/>
  <c r="R731" i="1"/>
  <c r="S731" i="1" s="1"/>
  <c r="R733" i="1"/>
  <c r="S733" i="1" s="1"/>
  <c r="R704" i="1"/>
  <c r="S704" i="1" s="1"/>
  <c r="R730" i="1"/>
  <c r="S730" i="1" s="1"/>
  <c r="R564" i="1"/>
  <c r="S564" i="1" s="1"/>
  <c r="R571" i="1"/>
  <c r="S571" i="1" s="1"/>
  <c r="R622" i="1"/>
  <c r="S622" i="1" s="1"/>
  <c r="R636" i="1"/>
  <c r="S636" i="1" s="1"/>
  <c r="R675" i="1"/>
  <c r="S675" i="1" s="1"/>
  <c r="P687" i="1"/>
  <c r="R687" i="1" s="1"/>
  <c r="S687" i="1" s="1"/>
  <c r="P724" i="1"/>
  <c r="R724" i="1" s="1"/>
  <c r="S724" i="1" s="1"/>
  <c r="S740" i="1" l="1"/>
  <c r="S743" i="1" s="1"/>
  <c r="S772" i="2"/>
  <c r="R740" i="1"/>
  <c r="R743" i="1" s="1"/>
</calcChain>
</file>

<file path=xl/sharedStrings.xml><?xml version="1.0" encoding="utf-8"?>
<sst xmlns="http://schemas.openxmlformats.org/spreadsheetml/2006/main" count="32714" uniqueCount="869">
  <si>
    <t>NAMA BARANG</t>
  </si>
  <si>
    <t>SUPLIER</t>
  </si>
  <si>
    <t>STOCK AWAL</t>
  </si>
  <si>
    <t>CL/ KRT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</si>
  <si>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</si>
  <si>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</si>
  <si>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</si>
  <si>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</si>
  <si>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</si>
  <si>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</si>
  <si>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</si>
  <si>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</si>
  <si>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</si>
  <si>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</si>
  <si>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</si>
  <si>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</si>
  <si>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</si>
  <si>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</si>
  <si>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</si>
  <si>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</si>
  <si>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</si>
  <si>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</si>
  <si>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</si>
  <si>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</si>
  <si>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</si>
  <si>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</si>
  <si>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</si>
  <si>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</si>
  <si>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</si>
  <si>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</si>
  <si>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</si>
  <si>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</si>
  <si>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</si>
  <si>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</si>
  <si>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</si>
  <si>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B-24 (isi 12 pc)</t>
  </si>
  <si>
    <t>ASAHAN JOYKO B-72 (isi 24 pc)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</si>
  <si>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</si>
  <si>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</si>
  <si>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</si>
  <si>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</si>
  <si>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</si>
  <si>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</si>
  <si>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</si>
  <si>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</si>
  <si>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</si>
  <si>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</si>
  <si>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</si>
  <si>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</si>
  <si>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</si>
  <si>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</si>
  <si>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</si>
  <si>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</si>
  <si>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</si>
  <si>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</si>
  <si>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</si>
  <si>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</si>
  <si>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</si>
  <si>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</si>
  <si>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</si>
  <si>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</si>
  <si>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</si>
  <si>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</si>
  <si>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</si>
  <si>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</si>
  <si>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</si>
  <si>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</si>
  <si>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</si>
  <si>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</si>
  <si>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</si>
  <si>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</si>
  <si>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</si>
  <si>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</si>
  <si>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</si>
  <si>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</si>
  <si>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</si>
  <si>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</si>
  <si>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</si>
  <si>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</si>
  <si>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</si>
  <si>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</si>
  <si>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</si>
  <si>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</si>
  <si>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</si>
  <si>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</si>
  <si>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</si>
  <si>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NO. 107 FC1 (isi 40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</si>
  <si>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</si>
  <si>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</si>
  <si>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</si>
  <si>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</si>
  <si>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</si>
  <si>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</si>
  <si>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</si>
  <si>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</si>
  <si>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</si>
  <si>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</si>
  <si>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</si>
  <si>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</si>
  <si>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</si>
  <si>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</si>
  <si>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BINDER CLIP KENKO NO. 280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</si>
  <si>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</si>
  <si>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</si>
  <si>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</si>
  <si>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</si>
  <si>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</si>
  <si>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</si>
  <si>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</si>
  <si>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</si>
  <si>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</si>
  <si>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</si>
  <si>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</si>
  <si>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</si>
  <si>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</si>
  <si>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</si>
  <si>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</si>
  <si>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JK-101A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</si>
  <si>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</si>
  <si>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</si>
  <si>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</si>
  <si>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</si>
  <si>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</si>
  <si>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</si>
  <si>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</si>
  <si>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</si>
  <si>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</si>
  <si>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</si>
  <si>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</si>
  <si>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</si>
  <si>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</si>
  <si>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</si>
  <si>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</si>
  <si>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</si>
  <si>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</si>
  <si>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</si>
  <si>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</si>
  <si>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</si>
  <si>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</si>
  <si>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</si>
  <si>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</si>
  <si>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</si>
  <si>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</si>
  <si>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</si>
  <si>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</si>
  <si>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</si>
  <si>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</si>
  <si>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</si>
  <si>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</si>
  <si>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</si>
  <si>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</si>
  <si>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</si>
  <si>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</si>
  <si>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</si>
  <si>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</si>
  <si>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</si>
  <si>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</si>
  <si>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</si>
  <si>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</si>
  <si>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</si>
  <si>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</si>
  <si>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</si>
  <si>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</si>
  <si>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</si>
  <si>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</si>
  <si>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</si>
  <si>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</si>
  <si>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</si>
  <si>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</si>
  <si>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</si>
  <si>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</si>
  <si>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</si>
  <si>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</si>
  <si>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</si>
  <si>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</si>
  <si>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</si>
  <si>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</si>
  <si>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</si>
  <si>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</si>
  <si>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</si>
  <si>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</si>
  <si>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</si>
  <si>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</si>
  <si>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</si>
  <si>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</si>
  <si>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</si>
  <si>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</si>
  <si>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</si>
  <si>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</si>
  <si>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</si>
  <si>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</si>
  <si>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</si>
  <si>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</si>
  <si>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AIR / WATER COLOR TITI WAC-6ML-12C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</si>
  <si>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</si>
  <si>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</si>
  <si>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</si>
  <si>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</si>
  <si>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</si>
  <si>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</si>
  <si>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</si>
  <si>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</si>
  <si>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</si>
  <si>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</si>
  <si>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</si>
  <si>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</si>
  <si>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18 MM JOYKO L-150 MH (BESAR)</t>
  </si>
  <si>
    <t>ISI CUTTER 18 MM JOYKO L-150 AM (BESAR) bonus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</si>
  <si>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</si>
  <si>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</si>
  <si>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</si>
  <si>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</si>
  <si>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</si>
  <si>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</si>
  <si>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</si>
  <si>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</si>
  <si>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</si>
  <si>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</si>
  <si>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</si>
  <si>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</si>
  <si>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</si>
  <si>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</si>
  <si>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</si>
  <si>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</si>
  <si>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</si>
  <si>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</si>
  <si>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MAP TAS / BAG JOYKO B-2637-3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</si>
  <si>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</si>
  <si>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</si>
  <si>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</si>
  <si>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</si>
  <si>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</si>
  <si>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</si>
  <si>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</si>
  <si>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</si>
  <si>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</si>
  <si>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</si>
  <si>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</si>
  <si>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</si>
  <si>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</si>
  <si>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</si>
  <si>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</si>
  <si>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</si>
  <si>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</si>
  <si>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</si>
  <si>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</si>
  <si>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</si>
  <si>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</si>
  <si>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</si>
  <si>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</si>
  <si>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</si>
  <si>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</si>
  <si>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</si>
  <si>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</si>
  <si>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</si>
  <si>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</si>
  <si>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</si>
  <si>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</si>
  <si>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</si>
  <si>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</si>
  <si>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</si>
  <si>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</si>
  <si>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</si>
  <si>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</si>
  <si>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</si>
  <si>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</si>
  <si>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</si>
  <si>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</si>
  <si>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</si>
  <si>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</si>
  <si>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</si>
  <si>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</si>
  <si>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</si>
  <si>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</si>
  <si>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</si>
  <si>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</si>
  <si>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</si>
  <si>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</si>
  <si>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</si>
  <si>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</si>
  <si>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</si>
  <si>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</si>
  <si>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</si>
  <si>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</si>
  <si>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</si>
  <si>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</si>
  <si>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</si>
  <si>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</si>
  <si>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</si>
  <si>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</si>
  <si>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</si>
  <si>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</si>
  <si>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</si>
  <si>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</si>
  <si>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</si>
  <si>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</si>
  <si>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</si>
  <si>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</si>
  <si>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</si>
  <si>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</si>
  <si>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</si>
  <si>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</si>
  <si>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</si>
  <si>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</si>
  <si>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</si>
  <si>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</si>
  <si>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</si>
  <si>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</si>
  <si>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</si>
  <si>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</si>
  <si>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</si>
  <si>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</si>
  <si>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</si>
  <si>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</si>
  <si>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</si>
  <si>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</si>
  <si>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</si>
  <si>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</si>
  <si>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</si>
  <si>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</si>
  <si>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</si>
  <si>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</si>
  <si>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</si>
  <si>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</si>
  <si>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</si>
  <si>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JOYART GS-108 isi 12 pc</t>
  </si>
  <si>
    <t>LEM STICK JOYKO 8 GR GS-103 BATIK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</si>
  <si>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</si>
  <si>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</si>
  <si>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</si>
  <si>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</si>
  <si>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TUBE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</si>
  <si>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</si>
  <si>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</si>
  <si>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</si>
  <si>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</si>
  <si>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</si>
  <si>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</si>
  <si>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</si>
  <si>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</si>
  <si>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</si>
  <si>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</si>
  <si>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</si>
  <si>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</si>
  <si>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</si>
  <si>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</si>
  <si>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</si>
  <si>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MAP BAG JOYKO B-2637-3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</si>
  <si>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</si>
  <si>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</si>
  <si>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</si>
  <si>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</si>
  <si>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</si>
  <si>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</si>
  <si>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</si>
  <si>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</si>
  <si>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</si>
  <si>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</si>
  <si>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</si>
  <si>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</si>
  <si>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</si>
  <si>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</si>
  <si>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</si>
  <si>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</si>
  <si>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</si>
  <si>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</si>
  <si>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</si>
  <si>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</si>
  <si>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</si>
  <si>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</si>
  <si>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</si>
  <si>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</si>
  <si>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</si>
  <si>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</si>
  <si>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</si>
  <si>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r>
      <t xml:space="preserve">BALLPEN JOYKO BP-249 LINO </t>
    </r>
    <r>
      <rPr>
        <sz val="10"/>
        <color rgb="FFFF0000"/>
        <rFont val="Arial Narrow"/>
        <family val="2"/>
      </rPr>
      <t>(bonus)</t>
    </r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</si>
  <si>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</si>
  <si>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</si>
  <si>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</si>
  <si>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</si>
  <si>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</si>
  <si>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</si>
  <si>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</si>
  <si>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</si>
  <si>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</si>
  <si>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</si>
  <si>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</si>
  <si>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</si>
  <si>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</si>
  <si>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</si>
  <si>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</si>
  <si>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</si>
  <si>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</si>
  <si>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</si>
  <si>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</si>
  <si>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</si>
  <si>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</si>
  <si>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</si>
  <si>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</si>
  <si>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</si>
  <si>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</si>
  <si>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</si>
  <si>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</si>
  <si>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</si>
  <si>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</si>
  <si>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</si>
  <si>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</si>
  <si>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</si>
  <si>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</si>
  <si>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</si>
  <si>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</si>
  <si>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</si>
  <si>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</si>
  <si>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</si>
  <si>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</si>
  <si>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</si>
  <si>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</si>
  <si>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</si>
  <si>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</si>
  <si>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</si>
  <si>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</si>
  <si>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</si>
  <si>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</si>
  <si>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</si>
  <si>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</si>
  <si>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TIZO TG-30103-A</t>
  </si>
  <si>
    <t>GEL PEN TIZO TG-30541-D</t>
  </si>
  <si>
    <t>GEL PEN TIZO TG-30542-D</t>
  </si>
  <si>
    <t>GEL PEN TIZO TG-30600-D</t>
  </si>
  <si>
    <t>GEL PEN TIZO TG-30601-D</t>
  </si>
  <si>
    <t>GEL PEN TIZO TG-30605-D</t>
  </si>
  <si>
    <t>GEL PEN TIZO TG-30606-D</t>
  </si>
  <si>
    <t>GEL PEN TIZO TG-30734-D</t>
  </si>
  <si>
    <t>GEL PEN TIZO TG-30801-D</t>
  </si>
  <si>
    <t>GEL PEN TIZO TG-30802-D</t>
  </si>
  <si>
    <t>GEL PEN TIZO TG-30900-D</t>
  </si>
  <si>
    <t>GEL PEN TIZO TG-30901-D</t>
  </si>
  <si>
    <t>GEL PEN TIZO TG-31035-D</t>
  </si>
  <si>
    <t>GEL PEN TIZO TG-31037-D</t>
  </si>
  <si>
    <t>GEL PEN TIZO TG-31475-D</t>
  </si>
  <si>
    <t>GEL PEN TIZO TG-31590-D</t>
  </si>
  <si>
    <t>GEL PEN TIZO TG-31762-D</t>
  </si>
  <si>
    <t>GEL PEN TIZO TG-31763-D</t>
  </si>
  <si>
    <t>GEL PEN TIZO TG-31763-DL</t>
  </si>
  <si>
    <t>GEL PEN TIZO TG-31780-D</t>
  </si>
  <si>
    <t>GEL PEN TIZO TG-31810-D</t>
  </si>
  <si>
    <t>GEL PEN TIZO TG-31831-D</t>
  </si>
  <si>
    <t>GEL PEN TIZO TG-31975-D</t>
  </si>
  <si>
    <t>GEL PEN TIZO TG-348-D</t>
  </si>
  <si>
    <t>GEL PEN TIZO TG-3481-D</t>
  </si>
  <si>
    <t>GEL PEN ZUI ZHUA HY-1020</t>
  </si>
  <si>
    <t>PEN SET</t>
  </si>
  <si>
    <t>GEL PEN SET JOYKO GPC-296 (isi 8 pc)</t>
  </si>
  <si>
    <r>
      <t xml:space="preserve">GEL PEN SET JOYKO GPC-296 (isi 8 pc) </t>
    </r>
    <r>
      <rPr>
        <sz val="10"/>
        <color rgb="FFFF0000"/>
        <rFont val="Arial Narrow"/>
        <family val="2"/>
      </rPr>
      <t>BONUS</t>
    </r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</si>
  <si>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</si>
  <si>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</si>
  <si>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</si>
  <si>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</si>
  <si>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</si>
  <si>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</si>
  <si>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KENKO STP-18M2 SMILE</t>
  </si>
  <si>
    <t>STAND PEN KENKO STP-300SG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</si>
  <si>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</si>
  <si>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</si>
  <si>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</si>
  <si>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</si>
  <si>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</si>
  <si>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</si>
  <si>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</si>
  <si>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</si>
  <si>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</si>
  <si>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</si>
  <si>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</si>
  <si>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</si>
  <si>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</si>
  <si>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</si>
  <si>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</si>
  <si>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</si>
  <si>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</si>
  <si>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</si>
  <si>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</si>
  <si>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</si>
  <si>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</si>
  <si>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</si>
  <si>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</si>
  <si>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</si>
  <si>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</si>
  <si>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</si>
  <si>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</si>
  <si>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</si>
  <si>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</si>
  <si>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</si>
  <si>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</si>
  <si>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</si>
  <si>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</si>
  <si>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</si>
  <si>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</si>
  <si>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</si>
  <si>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</si>
  <si>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</si>
  <si>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</si>
  <si>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</si>
  <si>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</si>
  <si>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</si>
  <si>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</si>
  <si>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</si>
  <si>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</si>
  <si>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</si>
  <si>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</si>
  <si>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</si>
  <si>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</si>
  <si>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</si>
  <si>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</si>
  <si>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LEAD (ISI MECH PEN)</t>
  </si>
  <si>
    <t>ISI MECH PEN 2B 0.5 MM JOYKO PL-05</t>
  </si>
  <si>
    <t>ISI MECH PEN 2B 0.7 MM JOYKO PL-07</t>
  </si>
  <si>
    <t>ISI MECH PEN 2B 2.0 MM JOYKO PL-10</t>
  </si>
  <si>
    <t>ISI MECH PEN 2B 2.0 MM JOYKO PL-11</t>
  </si>
  <si>
    <t>ISI MECH PEN 2B 2.0 MM JOYKO PL-16</t>
  </si>
  <si>
    <t>ISI MECH PEN 2B 0.5 MM KENKO PL-05 HI-POLYMER</t>
  </si>
  <si>
    <t>ISI MECH PEN 2,0 MM 2B KENKO PL-209</t>
  </si>
  <si>
    <t>ISI MECH PEN 2,0 MM 2B KENKO PL-212 (12 TUBE)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</si>
  <si>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</si>
  <si>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</si>
  <si>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</si>
  <si>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</si>
  <si>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</si>
  <si>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</si>
  <si>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</si>
  <si>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</si>
  <si>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</si>
  <si>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</si>
  <si>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CP-104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</si>
  <si>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</si>
  <si>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</si>
  <si>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</si>
  <si>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</si>
  <si>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</si>
  <si>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</si>
  <si>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</si>
  <si>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</si>
  <si>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</si>
  <si>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</si>
  <si>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</si>
  <si>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KALENG KENKO CP-36F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</si>
  <si>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</si>
  <si>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</si>
  <si>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</si>
  <si>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</si>
  <si>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</si>
  <si>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</si>
  <si>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</si>
  <si>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</si>
  <si>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</si>
  <si>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</si>
  <si>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</si>
  <si>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</si>
  <si>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PUSH PIN JOYKO PP-30 WARNA</t>
  </si>
  <si>
    <t>PUSH PIN KENKO PN-30 WARNA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</si>
  <si>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</si>
  <si>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</si>
  <si>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</si>
  <si>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</si>
  <si>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</si>
  <si>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</si>
  <si>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</si>
  <si>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</si>
  <si>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</si>
  <si>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</si>
  <si>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</si>
  <si>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</si>
  <si>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</si>
  <si>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</si>
  <si>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/ MARKER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</si>
  <si>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</si>
  <si>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</si>
  <si>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</si>
  <si>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</si>
  <si>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</si>
  <si>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</si>
  <si>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</si>
  <si>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</si>
  <si>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</si>
  <si>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</si>
  <si>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</si>
  <si>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</si>
  <si>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</si>
  <si>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</si>
  <si>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</si>
  <si>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</si>
  <si>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</si>
  <si>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</si>
  <si>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</si>
  <si>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</si>
  <si>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</si>
  <si>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</si>
  <si>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</si>
  <si>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</si>
  <si>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</si>
  <si>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</si>
  <si>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</si>
  <si>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</si>
  <si>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</si>
  <si>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</si>
  <si>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</si>
  <si>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</si>
  <si>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</si>
  <si>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</si>
  <si>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</si>
  <si>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</si>
  <si>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</si>
  <si>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</si>
  <si>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</si>
  <si>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</si>
  <si>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</si>
  <si>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</si>
  <si>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</si>
  <si>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</si>
  <si>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</si>
  <si>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</si>
  <si>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</si>
  <si>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</si>
  <si>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</si>
  <si>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</si>
  <si>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</si>
  <si>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</si>
  <si>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</si>
  <si>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</si>
  <si>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</si>
  <si>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</si>
  <si>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</si>
  <si>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</si>
  <si>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</si>
  <si>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</si>
  <si>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</si>
  <si>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</si>
  <si>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</si>
  <si>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</si>
  <si>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</si>
  <si>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</si>
  <si>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</si>
  <si>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</si>
  <si>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</si>
  <si>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</si>
  <si>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</si>
  <si>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</si>
  <si>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</si>
  <si>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</si>
  <si>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</si>
  <si>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</si>
  <si>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</si>
  <si>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</si>
  <si>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</si>
  <si>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</si>
  <si>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</si>
  <si>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</si>
  <si>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</si>
  <si>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</si>
  <si>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</si>
  <si>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</si>
  <si>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</si>
  <si>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</si>
  <si>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</si>
  <si>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</si>
  <si>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</si>
  <si>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</si>
  <si>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</si>
  <si>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</si>
  <si>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</si>
  <si>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</si>
  <si>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</si>
  <si>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</si>
  <si>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</si>
  <si>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</si>
  <si>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ER-30BTK BATIK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</si>
  <si>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</si>
  <si>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</si>
  <si>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</si>
  <si>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</si>
  <si>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</si>
  <si>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</si>
  <si>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</si>
  <si>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</si>
  <si>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</si>
  <si>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</si>
  <si>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</si>
  <si>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</si>
  <si>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</si>
  <si>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</si>
  <si>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</si>
  <si>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r>
      <t xml:space="preserve">PLAKBAND BENING 80 M KENKO 48 MM </t>
    </r>
    <r>
      <rPr>
        <sz val="10"/>
        <color rgb="FFFF0000"/>
        <rFont val="Arial Narrow"/>
        <family val="2"/>
      </rPr>
      <t>RED</t>
    </r>
    <r>
      <rPr>
        <sz val="10"/>
        <color theme="1"/>
        <rFont val="Arial Narrow"/>
        <family val="2"/>
      </rPr>
      <t xml:space="preserve"> CORE</t>
    </r>
  </si>
  <si>
    <t>PLAKBAND COKLAT 80 M KENKO 48 MM RED CORE</t>
  </si>
  <si>
    <r>
      <t xml:space="preserve">PLAKBAND BENING KENKO 45 MM x 100 Y </t>
    </r>
    <r>
      <rPr>
        <sz val="10"/>
        <color rgb="FF00B050"/>
        <rFont val="Arial Narrow"/>
        <family val="2"/>
      </rPr>
      <t>GREEN</t>
    </r>
    <r>
      <rPr>
        <sz val="10"/>
        <rFont val="Arial Narrow"/>
        <family val="2"/>
      </rPr>
      <t xml:space="preserve"> CORE</t>
    </r>
  </si>
  <si>
    <r>
      <t xml:space="preserve">PLAKBAND COKLAT KENKO 45 MM x 100 Y </t>
    </r>
    <r>
      <rPr>
        <sz val="10"/>
        <color rgb="FF00B050"/>
        <rFont val="Arial Narrow"/>
        <family val="2"/>
      </rPr>
      <t>GREEN</t>
    </r>
    <r>
      <rPr>
        <sz val="10"/>
        <rFont val="Arial Narrow"/>
        <family val="2"/>
      </rPr>
      <t xml:space="preserve"> CORE</t>
    </r>
  </si>
  <si>
    <t>PLAKBAND KAIN / CLOTH TAPE</t>
  </si>
  <si>
    <r>
      <t xml:space="preserve">PLAKBAND KAIN HITAM KENKO 24 MM (1") </t>
    </r>
    <r>
      <rPr>
        <sz val="10"/>
        <color rgb="FF0070C0"/>
        <rFont val="Arial Narrow"/>
        <family val="2"/>
      </rPr>
      <t>BLUE</t>
    </r>
    <r>
      <rPr>
        <sz val="10"/>
        <color theme="1"/>
        <rFont val="Arial Narrow"/>
        <family val="2"/>
      </rPr>
      <t xml:space="preserve"> CORE</t>
    </r>
  </si>
  <si>
    <t>PLAKBAND KAIN HITAM KENKO 36 MM (1,5") BLUE CORE</t>
  </si>
  <si>
    <r>
      <t xml:space="preserve">PLAKBAND KAIN HITAM KENKO 48 MM (2") </t>
    </r>
    <r>
      <rPr>
        <sz val="10"/>
        <color rgb="FF0070C0"/>
        <rFont val="Arial Narrow"/>
        <family val="2"/>
      </rPr>
      <t>BLUE</t>
    </r>
    <r>
      <rPr>
        <sz val="10"/>
        <rFont val="Arial Narrow"/>
        <family val="2"/>
      </rPr>
      <t xml:space="preserve"> CORE</t>
    </r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</si>
  <si>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</si>
  <si>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</si>
  <si>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</si>
  <si>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</si>
  <si>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</si>
  <si>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</si>
  <si>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</si>
  <si>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JOYKO TD-113</t>
  </si>
  <si>
    <t>TAPE CUTTER 2" JOYKO TD-2 PLASTIK</t>
  </si>
  <si>
    <t>TAPE CUTTER 2" JOYKO TD-2H HANDLE</t>
  </si>
  <si>
    <t>TAPE CUTTER 2" JOYKO TD-2S BESI</t>
  </si>
  <si>
    <t>HANDY TAPE DISPENSER KENKO TDB-2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</si>
  <si>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</si>
  <si>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</si>
  <si>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</si>
  <si>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</si>
  <si>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</si>
  <si>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</si>
  <si>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</si>
  <si>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Stok April 2022</t>
  </si>
  <si>
    <t>Stok Mei 2022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</si>
  <si>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</si>
  <si>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</si>
  <si>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</si>
  <si>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</si>
  <si>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</si>
  <si>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</si>
  <si>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</si>
  <si>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</si>
  <si>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CRAYON / OIL PASTEL JOYKO OP-12CHC COMPACT/HEXAGONAL</t>
  </si>
  <si>
    <t>JANGKA (MATH SET) JOYKO MS-28</t>
  </si>
  <si>
    <t>GEL PEN TIZO TG-30735-D</t>
  </si>
  <si>
    <t>HANDY TAPE DISPENSER KENKO TDB-2 (BESI)</t>
  </si>
  <si>
    <t>PENSIL KENKO 2B-3030 TRIANGULAR</t>
  </si>
  <si>
    <t>GEL PEN JOYKO GP-147</t>
  </si>
  <si>
    <t>BALLPEN JOYKO BP-249 LINO (bonus)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</si>
  <si>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</si>
  <si>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</si>
  <si>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</si>
  <si>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</si>
  <si>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</si>
  <si>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</si>
  <si>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GARISAN MIKA VC-084 OFFICE 30 CM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</si>
  <si>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</si>
  <si>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</si>
  <si>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</si>
  <si>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</si>
  <si>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</si>
  <si>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</si>
  <si>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</si>
  <si>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</si>
  <si>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</si>
  <si>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Stok Juni 2022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</si>
  <si>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</si>
  <si>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</si>
  <si>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</si>
  <si>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</si>
  <si>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</si>
  <si>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r>
      <t xml:space="preserve">PLAKBAND COKLAT 80 M KENKO 48 MM </t>
    </r>
    <r>
      <rPr>
        <sz val="10"/>
        <color rgb="FFFF0000"/>
        <rFont val="Arial Narrow"/>
        <family val="2"/>
      </rPr>
      <t>RED</t>
    </r>
    <r>
      <rPr>
        <sz val="10"/>
        <rFont val="Arial Narrow"/>
        <family val="2"/>
      </rPr>
      <t xml:space="preserve"> CORE</t>
    </r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</si>
  <si>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</si>
  <si>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</si>
  <si>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</si>
  <si>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</si>
  <si>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</si>
  <si>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</si>
  <si>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</si>
  <si>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</si>
  <si>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</si>
  <si>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</si>
  <si>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</si>
  <si>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</si>
  <si>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</si>
  <si>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</si>
  <si>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</si>
  <si>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</si>
  <si>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r>
      <t xml:space="preserve">ISI CUTTER 18 MM JOYKO L-150 AM (BESAR) </t>
    </r>
    <r>
      <rPr>
        <sz val="10"/>
        <color rgb="FFFF0000"/>
        <rFont val="Arial Narrow"/>
        <family val="2"/>
      </rPr>
      <t>bonus</t>
    </r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</si>
  <si>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</si>
  <si>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</si>
  <si>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</si>
  <si>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</si>
  <si>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</si>
  <si>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</si>
  <si>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</si>
  <si>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</si>
  <si>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</si>
  <si>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</si>
  <si>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</si>
  <si>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Stok Juli 2022</t>
  </si>
  <si>
    <t>ASAHAN MEJA KENKO A-5</t>
  </si>
  <si>
    <t>BINDER CLIP KENKO NO. 280 (isi 6 pc)</t>
  </si>
  <si>
    <t>TAPE DISPENSER KENKO TD-323 NC (1" &amp; 3" CORE)</t>
  </si>
  <si>
    <t>GEL PEN KENKO KS-97 SIGN PEN HITAM</t>
  </si>
  <si>
    <r>
      <t xml:space="preserve">PLAKBAND KAIN HITAM KENKO 36 MM (1,5") </t>
    </r>
    <r>
      <rPr>
        <sz val="10"/>
        <color rgb="FF0070C0"/>
        <rFont val="Arial Narrow"/>
        <family val="2"/>
      </rPr>
      <t>BLUE</t>
    </r>
    <r>
      <rPr>
        <sz val="10"/>
        <rFont val="Arial Narrow"/>
        <family val="2"/>
      </rPr>
      <t xml:space="preserve"> CORE</t>
    </r>
  </si>
  <si>
    <t>BINDER NOTE KENKO A5 (CAMPUS/CLASSIC/POLOS)</t>
  </si>
  <si>
    <t>BINDER NOTE KENKO A5-BNPP (BASIC/POLOS)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</si>
  <si>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</si>
  <si>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</si>
  <si>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</si>
  <si>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</si>
  <si>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</si>
  <si>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</si>
  <si>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GEL PEN TIZO TG-30541</t>
  </si>
  <si>
    <t>GEL PEN TIZO TG-30542</t>
  </si>
  <si>
    <t>GEL PEN TIZO TG-30600</t>
  </si>
  <si>
    <t>GEL PEN TIZO TG-30601</t>
  </si>
  <si>
    <t>GEL PEN TIZO TG-30605</t>
  </si>
  <si>
    <t>GEL PEN TIZO TG-30606</t>
  </si>
  <si>
    <t>GEL PEN TIZO TG-30734</t>
  </si>
  <si>
    <t>GEL PEN TIZO TG-30735</t>
  </si>
  <si>
    <t>GEL PEN TIZO TG-30801</t>
  </si>
  <si>
    <t>GEL PEN TIZO TG-30802</t>
  </si>
  <si>
    <t>GEL PEN TIZO TG-30900</t>
  </si>
  <si>
    <t>GEL PEN TIZO TG-30901</t>
  </si>
  <si>
    <t>GEL PEN TIZO TG-31035</t>
  </si>
  <si>
    <t>GEL PEN TIZO TG-31037</t>
  </si>
  <si>
    <t>GEL PEN TIZO TG-31475</t>
  </si>
  <si>
    <t>GEL PEN TIZO TG-31590</t>
  </si>
  <si>
    <t>GEL PEN TIZO TG-31762</t>
  </si>
  <si>
    <t>GEL PEN TIZO TG-31780</t>
  </si>
  <si>
    <t>GEL PEN TIZO TG-31810</t>
  </si>
  <si>
    <t>GEL PEN TIZO TG-31831</t>
  </si>
  <si>
    <t>GEL PEN TIZO TG-31975</t>
  </si>
  <si>
    <t>GEL PEN TIZO TG-348</t>
  </si>
  <si>
    <t>GEL PEN TIZO TG-3481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</si>
  <si>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</si>
  <si>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</si>
  <si>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</si>
  <si>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</si>
  <si>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</si>
  <si>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</si>
  <si>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</si>
  <si>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</si>
  <si>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</si>
  <si>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Stok Agustus 2022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</si>
  <si>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</si>
  <si>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</si>
  <si>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</si>
  <si>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</si>
  <si>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</si>
  <si>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</si>
  <si>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</si>
  <si>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</si>
  <si>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</si>
  <si>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</si>
  <si>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</si>
  <si>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</si>
  <si>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</si>
  <si>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</si>
  <si>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</si>
  <si>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</si>
  <si>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</si>
  <si>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</si>
  <si>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</si>
  <si>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VANCO GP-559 HI-TOUCH</t>
  </si>
  <si>
    <t>Stok September 2022</t>
  </si>
  <si>
    <t>STAND PEN KENKO STP-100SG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</si>
  <si>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</si>
  <si>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</si>
  <si>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</si>
  <si>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</si>
  <si>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</si>
  <si>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</si>
  <si>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</si>
  <si>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</si>
  <si>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</si>
  <si>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</si>
  <si>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</si>
  <si>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</si>
  <si>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</si>
  <si>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TALI CANTOL PLASTIK 1.0 (Mr, Br, Hj)</t>
  </si>
  <si>
    <t>BUKU KAS 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</si>
</sst>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sz val="10"/>
      <color rgb="FF0070C0"/>
      <name val="Arial Narrow"/>
      <family val="2"/>
    </font>
    <font>
      <b/>
      <sz val="11"/>
      <color rgb="FFFF0000"/>
      <name val="Arial Narrow"/>
      <family val="2"/>
    </font>
    <font>
      <b/>
      <sz val="12"/>
      <color rgb="FFFF0000"/>
      <name val="Arial Narrow"/>
      <family val="2"/>
    </font>
    <font>
      <sz val="12"/>
      <name val="Arial Narrow"/>
      <family val="2"/>
    </font>
    <font>
      <sz val="11"/>
      <color rgb="FFFF0000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4" fillId="0" borderId="0"/>
  </cellStyleXfs>
  <cellXfs count="330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1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4" fontId="10" fillId="0" borderId="0" xfId="0" applyNumberFormat="1" applyFont="1"/>
    <xf numFmtId="10" fontId="10" fillId="0" borderId="0" xfId="0" applyNumberFormat="1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3" fontId="12" fillId="0" borderId="0" xfId="0" applyNumberFormat="1" applyFont="1"/>
    <xf numFmtId="0" fontId="12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2" fillId="0" borderId="0" xfId="0" applyNumberFormat="1" applyFont="1" applyAlignment="1"/>
    <xf numFmtId="0" fontId="12" fillId="0" borderId="0" xfId="0" applyFont="1" applyAlignment="1"/>
    <xf numFmtId="4" fontId="12" fillId="0" borderId="0" xfId="0" applyNumberFormat="1" applyFont="1"/>
    <xf numFmtId="10" fontId="12" fillId="0" borderId="0" xfId="0" applyNumberFormat="1" applyFont="1" applyAlignment="1">
      <alignment horizontal="center"/>
    </xf>
    <xf numFmtId="0" fontId="3" fillId="0" borderId="0" xfId="0" applyFont="1" applyBorder="1"/>
    <xf numFmtId="0" fontId="12" fillId="3" borderId="0" xfId="0" applyFont="1" applyFill="1" applyBorder="1"/>
    <xf numFmtId="0" fontId="12" fillId="3" borderId="0" xfId="0" applyFont="1" applyFill="1"/>
    <xf numFmtId="3" fontId="12" fillId="3" borderId="0" xfId="0" applyNumberFormat="1" applyFont="1" applyFill="1"/>
    <xf numFmtId="0" fontId="12" fillId="3" borderId="0" xfId="0" applyFont="1" applyFill="1" applyAlignment="1">
      <alignment horizontal="center"/>
    </xf>
    <xf numFmtId="3" fontId="13" fillId="3" borderId="0" xfId="0" applyNumberFormat="1" applyFont="1" applyFill="1" applyAlignment="1">
      <alignment horizontal="center"/>
    </xf>
    <xf numFmtId="3" fontId="12" fillId="3" borderId="0" xfId="0" applyNumberFormat="1" applyFont="1" applyFill="1" applyAlignment="1"/>
    <xf numFmtId="0" fontId="12" fillId="3" borderId="0" xfId="0" applyFont="1" applyFill="1" applyAlignment="1"/>
    <xf numFmtId="4" fontId="12" fillId="3" borderId="0" xfId="0" applyNumberFormat="1" applyFont="1" applyFill="1"/>
    <xf numFmtId="10" fontId="12" fillId="3" borderId="0" xfId="0" applyNumberFormat="1" applyFont="1" applyFill="1" applyAlignment="1">
      <alignment horizontal="center"/>
    </xf>
    <xf numFmtId="0" fontId="12" fillId="0" borderId="0" xfId="0" applyFont="1" applyFill="1" applyBorder="1"/>
    <xf numFmtId="0" fontId="12" fillId="0" borderId="0" xfId="0" applyFont="1" applyFill="1"/>
    <xf numFmtId="3" fontId="12" fillId="0" borderId="0" xfId="0" applyNumberFormat="1" applyFont="1" applyFill="1"/>
    <xf numFmtId="0" fontId="12" fillId="0" borderId="0" xfId="0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3" fontId="12" fillId="0" borderId="0" xfId="0" applyNumberFormat="1" applyFont="1" applyFill="1" applyAlignment="1"/>
    <xf numFmtId="0" fontId="12" fillId="0" borderId="0" xfId="0" applyFont="1" applyFill="1" applyAlignment="1"/>
    <xf numFmtId="4" fontId="12" fillId="0" borderId="0" xfId="0" applyNumberFormat="1" applyFont="1" applyFill="1"/>
    <xf numFmtId="10" fontId="12" fillId="0" borderId="0" xfId="0" applyNumberFormat="1" applyFont="1" applyFill="1" applyAlignment="1">
      <alignment horizontal="center"/>
    </xf>
    <xf numFmtId="0" fontId="12" fillId="4" borderId="0" xfId="0" applyFont="1" applyFill="1" applyBorder="1"/>
    <xf numFmtId="0" fontId="12" fillId="4" borderId="0" xfId="0" applyFont="1" applyFill="1"/>
    <xf numFmtId="3" fontId="12" fillId="4" borderId="0" xfId="0" applyNumberFormat="1" applyFont="1" applyFill="1"/>
    <xf numFmtId="0" fontId="12" fillId="4" borderId="0" xfId="0" applyFont="1" applyFill="1" applyAlignment="1">
      <alignment horizontal="center"/>
    </xf>
    <xf numFmtId="3" fontId="13" fillId="4" borderId="0" xfId="0" applyNumberFormat="1" applyFont="1" applyFill="1" applyAlignment="1">
      <alignment horizontal="center"/>
    </xf>
    <xf numFmtId="3" fontId="12" fillId="4" borderId="0" xfId="0" applyNumberFormat="1" applyFont="1" applyFill="1" applyAlignment="1"/>
    <xf numFmtId="0" fontId="12" fillId="4" borderId="0" xfId="0" applyFont="1" applyFill="1" applyAlignment="1"/>
    <xf numFmtId="4" fontId="12" fillId="4" borderId="0" xfId="0" applyNumberFormat="1" applyFont="1" applyFill="1"/>
    <xf numFmtId="10" fontId="12" fillId="4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/>
    <xf numFmtId="3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3" fontId="11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 applyFill="1" applyBorder="1"/>
    <xf numFmtId="0" fontId="10" fillId="4" borderId="0" xfId="0" applyFont="1" applyFill="1" applyBorder="1"/>
    <xf numFmtId="0" fontId="10" fillId="4" borderId="0" xfId="0" applyFont="1" applyFill="1"/>
    <xf numFmtId="3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3" fontId="11" fillId="4" borderId="0" xfId="0" applyNumberFormat="1" applyFont="1" applyFill="1" applyAlignment="1">
      <alignment horizontal="center"/>
    </xf>
    <xf numFmtId="3" fontId="10" fillId="4" borderId="0" xfId="0" applyNumberFormat="1" applyFont="1" applyFill="1" applyAlignment="1"/>
    <xf numFmtId="0" fontId="10" fillId="4" borderId="0" xfId="0" applyFont="1" applyFill="1" applyAlignment="1"/>
    <xf numFmtId="4" fontId="10" fillId="4" borderId="0" xfId="0" applyNumberFormat="1" applyFont="1" applyFill="1"/>
    <xf numFmtId="10" fontId="10" fillId="4" borderId="0" xfId="0" applyNumberFormat="1" applyFont="1" applyFill="1" applyAlignment="1">
      <alignment horizontal="center"/>
    </xf>
    <xf numFmtId="1" fontId="12" fillId="0" borderId="0" xfId="0" applyNumberFormat="1" applyFont="1" applyFill="1"/>
    <xf numFmtId="165" fontId="12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10" fillId="0" borderId="0" xfId="2" applyFont="1" applyFill="1" applyBorder="1"/>
    <xf numFmtId="0" fontId="12" fillId="0" borderId="0" xfId="2" applyFont="1" applyFill="1" applyBorder="1"/>
    <xf numFmtId="0" fontId="10" fillId="3" borderId="0" xfId="0" applyFont="1" applyFill="1" applyBorder="1"/>
    <xf numFmtId="0" fontId="10" fillId="3" borderId="0" xfId="0" applyFont="1" applyFill="1"/>
    <xf numFmtId="3" fontId="10" fillId="3" borderId="0" xfId="0" applyNumberFormat="1" applyFont="1" applyFill="1"/>
    <xf numFmtId="0" fontId="10" fillId="3" borderId="0" xfId="0" applyFont="1" applyFill="1" applyAlignment="1">
      <alignment horizontal="center"/>
    </xf>
    <xf numFmtId="0" fontId="11" fillId="3" borderId="0" xfId="0" applyNumberFormat="1" applyFont="1" applyFill="1" applyAlignment="1">
      <alignment horizontal="center"/>
    </xf>
    <xf numFmtId="3" fontId="10" fillId="3" borderId="0" xfId="0" applyNumberFormat="1" applyFont="1" applyFill="1" applyAlignment="1"/>
    <xf numFmtId="0" fontId="10" fillId="3" borderId="0" xfId="0" applyFont="1" applyFill="1" applyAlignment="1"/>
    <xf numFmtId="4" fontId="10" fillId="3" borderId="0" xfId="0" applyNumberFormat="1" applyFont="1" applyFill="1"/>
    <xf numFmtId="10" fontId="10" fillId="3" borderId="0" xfId="0" applyNumberFormat="1" applyFont="1" applyFill="1" applyAlignment="1">
      <alignment horizontal="center"/>
    </xf>
    <xf numFmtId="0" fontId="13" fillId="3" borderId="0" xfId="0" applyNumberFormat="1" applyFont="1" applyFill="1" applyAlignment="1">
      <alignment horizontal="center"/>
    </xf>
    <xf numFmtId="3" fontId="11" fillId="3" borderId="0" xfId="0" applyNumberFormat="1" applyFont="1" applyFill="1" applyAlignment="1">
      <alignment horizontal="center"/>
    </xf>
    <xf numFmtId="0" fontId="15" fillId="0" borderId="0" xfId="0" applyFont="1" applyBorder="1"/>
    <xf numFmtId="0" fontId="12" fillId="0" borderId="9" xfId="2" applyFont="1" applyFill="1" applyBorder="1"/>
    <xf numFmtId="0" fontId="12" fillId="0" borderId="9" xfId="0" applyFont="1" applyFill="1" applyBorder="1" applyAlignment="1"/>
    <xf numFmtId="0" fontId="10" fillId="0" borderId="9" xfId="0" applyFont="1" applyFill="1" applyBorder="1" applyAlignment="1"/>
    <xf numFmtId="0" fontId="12" fillId="0" borderId="0" xfId="0" applyFont="1" applyFill="1" applyBorder="1" applyAlignment="1"/>
    <xf numFmtId="0" fontId="10" fillId="0" borderId="9" xfId="2" applyFont="1" applyFill="1" applyBorder="1"/>
    <xf numFmtId="4" fontId="3" fillId="0" borderId="0" xfId="0" applyNumberFormat="1" applyFont="1" applyAlignment="1">
      <alignment horizontal="center"/>
    </xf>
    <xf numFmtId="0" fontId="12" fillId="3" borderId="0" xfId="0" applyNumberFormat="1" applyFont="1" applyFill="1"/>
    <xf numFmtId="0" fontId="10" fillId="3" borderId="0" xfId="0" applyNumberFormat="1" applyFont="1" applyFill="1"/>
    <xf numFmtId="3" fontId="13" fillId="0" borderId="0" xfId="0" applyNumberFormat="1" applyFont="1"/>
    <xf numFmtId="1" fontId="12" fillId="0" borderId="0" xfId="0" applyNumberFormat="1" applyFont="1" applyFill="1" applyAlignment="1"/>
    <xf numFmtId="3" fontId="4" fillId="0" borderId="0" xfId="0" applyNumberFormat="1" applyFont="1"/>
    <xf numFmtId="0" fontId="10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3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/>
    <xf numFmtId="0" fontId="12" fillId="0" borderId="0" xfId="0" applyFont="1" applyBorder="1" applyAlignment="1"/>
    <xf numFmtId="4" fontId="12" fillId="0" borderId="0" xfId="0" applyNumberFormat="1" applyFont="1" applyBorder="1"/>
    <xf numFmtId="10" fontId="12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165" fontId="12" fillId="0" borderId="0" xfId="0" applyNumberFormat="1" applyFont="1" applyBorder="1"/>
    <xf numFmtId="0" fontId="10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3" fontId="13" fillId="0" borderId="0" xfId="0" applyNumberFormat="1" applyFont="1" applyFill="1"/>
    <xf numFmtId="0" fontId="10" fillId="0" borderId="0" xfId="0" applyNumberFormat="1" applyFont="1"/>
    <xf numFmtId="165" fontId="12" fillId="0" borderId="0" xfId="0" applyNumberFormat="1" applyFont="1"/>
    <xf numFmtId="165" fontId="12" fillId="0" borderId="0" xfId="0" applyNumberFormat="1" applyFont="1" applyFill="1" applyAlignment="1"/>
    <xf numFmtId="1" fontId="10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/>
    <xf numFmtId="4" fontId="18" fillId="3" borderId="0" xfId="0" applyNumberFormat="1" applyFont="1" applyFill="1"/>
    <xf numFmtId="4" fontId="16" fillId="0" borderId="0" xfId="0" applyNumberFormat="1" applyFont="1"/>
    <xf numFmtId="43" fontId="12" fillId="0" borderId="0" xfId="1" applyNumberFormat="1" applyFont="1" applyFill="1" applyBorder="1" applyAlignment="1">
      <alignment vertical="center"/>
    </xf>
    <xf numFmtId="4" fontId="19" fillId="3" borderId="10" xfId="0" applyNumberFormat="1" applyFont="1" applyFill="1" applyBorder="1"/>
    <xf numFmtId="4" fontId="3" fillId="0" borderId="0" xfId="0" applyNumberFormat="1" applyFont="1" applyFill="1" applyBorder="1"/>
    <xf numFmtId="43" fontId="20" fillId="0" borderId="0" xfId="1" applyNumberFormat="1" applyFont="1" applyFill="1" applyBorder="1" applyAlignment="1">
      <alignment vertical="center"/>
    </xf>
    <xf numFmtId="4" fontId="20" fillId="0" borderId="10" xfId="0" applyNumberFormat="1" applyFont="1" applyFill="1" applyBorder="1"/>
    <xf numFmtId="4" fontId="19" fillId="0" borderId="0" xfId="0" applyNumberFormat="1" applyFont="1" applyFill="1" applyBorder="1"/>
    <xf numFmtId="4" fontId="20" fillId="0" borderId="0" xfId="0" applyNumberFormat="1" applyFont="1" applyFill="1" applyBorder="1" applyAlignment="1"/>
    <xf numFmtId="4" fontId="10" fillId="0" borderId="11" xfId="0" applyNumberFormat="1" applyFont="1" applyFill="1" applyBorder="1"/>
    <xf numFmtId="4" fontId="16" fillId="0" borderId="0" xfId="0" applyNumberFormat="1" applyFont="1" applyFill="1" applyBorder="1"/>
    <xf numFmtId="4" fontId="20" fillId="0" borderId="0" xfId="0" applyNumberFormat="1" applyFont="1" applyFill="1" applyBorder="1"/>
    <xf numFmtId="3" fontId="11" fillId="0" borderId="0" xfId="0" applyNumberFormat="1" applyFont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66" fontId="12" fillId="0" borderId="0" xfId="0" applyNumberFormat="1" applyFont="1" applyFill="1"/>
    <xf numFmtId="166" fontId="12" fillId="0" borderId="0" xfId="0" applyNumberFormat="1" applyFont="1" applyFill="1" applyAlignment="1"/>
    <xf numFmtId="0" fontId="12" fillId="5" borderId="0" xfId="0" applyFont="1" applyFill="1" applyBorder="1"/>
    <xf numFmtId="0" fontId="12" fillId="5" borderId="0" xfId="0" applyFont="1" applyFill="1"/>
    <xf numFmtId="3" fontId="12" fillId="5" borderId="0" xfId="0" applyNumberFormat="1" applyFont="1" applyFill="1"/>
    <xf numFmtId="0" fontId="12" fillId="5" borderId="0" xfId="0" applyFont="1" applyFill="1" applyAlignment="1">
      <alignment horizontal="center"/>
    </xf>
    <xf numFmtId="3" fontId="13" fillId="5" borderId="0" xfId="0" applyNumberFormat="1" applyFont="1" applyFill="1" applyAlignment="1">
      <alignment horizontal="center"/>
    </xf>
    <xf numFmtId="3" fontId="12" fillId="5" borderId="0" xfId="0" applyNumberFormat="1" applyFont="1" applyFill="1" applyAlignment="1"/>
    <xf numFmtId="0" fontId="12" fillId="5" borderId="0" xfId="0" applyFont="1" applyFill="1" applyAlignment="1"/>
    <xf numFmtId="4" fontId="12" fillId="5" borderId="0" xfId="0" applyNumberFormat="1" applyFont="1" applyFill="1"/>
    <xf numFmtId="10" fontId="12" fillId="5" borderId="0" xfId="0" applyNumberFormat="1" applyFont="1" applyFill="1" applyAlignment="1">
      <alignment horizontal="center"/>
    </xf>
    <xf numFmtId="0" fontId="12" fillId="6" borderId="0" xfId="0" applyFont="1" applyFill="1" applyBorder="1"/>
    <xf numFmtId="0" fontId="12" fillId="6" borderId="0" xfId="0" applyFont="1" applyFill="1"/>
    <xf numFmtId="3" fontId="12" fillId="6" borderId="0" xfId="0" applyNumberFormat="1" applyFont="1" applyFill="1"/>
    <xf numFmtId="0" fontId="12" fillId="6" borderId="0" xfId="0" applyFont="1" applyFill="1" applyAlignment="1">
      <alignment horizontal="center"/>
    </xf>
    <xf numFmtId="3" fontId="13" fillId="6" borderId="0" xfId="0" applyNumberFormat="1" applyFont="1" applyFill="1" applyAlignment="1">
      <alignment horizontal="center"/>
    </xf>
    <xf numFmtId="3" fontId="12" fillId="6" borderId="0" xfId="0" applyNumberFormat="1" applyFont="1" applyFill="1" applyAlignment="1"/>
    <xf numFmtId="0" fontId="12" fillId="6" borderId="0" xfId="0" applyFont="1" applyFill="1" applyAlignment="1"/>
    <xf numFmtId="4" fontId="12" fillId="6" borderId="0" xfId="0" applyNumberFormat="1" applyFont="1" applyFill="1"/>
    <xf numFmtId="10" fontId="12" fillId="6" borderId="0" xfId="0" applyNumberFormat="1" applyFont="1" applyFill="1" applyAlignment="1">
      <alignment horizontal="center"/>
    </xf>
    <xf numFmtId="0" fontId="10" fillId="6" borderId="0" xfId="0" applyFont="1" applyFill="1" applyBorder="1"/>
    <xf numFmtId="0" fontId="10" fillId="6" borderId="0" xfId="0" applyFont="1" applyFill="1"/>
    <xf numFmtId="3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3" fontId="11" fillId="6" borderId="0" xfId="0" applyNumberFormat="1" applyFont="1" applyFill="1" applyAlignment="1">
      <alignment horizontal="center"/>
    </xf>
    <xf numFmtId="3" fontId="10" fillId="6" borderId="0" xfId="0" applyNumberFormat="1" applyFont="1" applyFill="1" applyAlignment="1"/>
    <xf numFmtId="0" fontId="10" fillId="6" borderId="0" xfId="0" applyFont="1" applyFill="1" applyAlignment="1"/>
    <xf numFmtId="4" fontId="10" fillId="6" borderId="0" xfId="0" applyNumberFormat="1" applyFont="1" applyFill="1"/>
    <xf numFmtId="10" fontId="10" fillId="6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3" fontId="13" fillId="3" borderId="0" xfId="0" applyNumberFormat="1" applyFont="1" applyFill="1"/>
    <xf numFmtId="1" fontId="10" fillId="0" borderId="0" xfId="0" applyNumberFormat="1" applyFont="1" applyFill="1"/>
    <xf numFmtId="1" fontId="10" fillId="0" borderId="0" xfId="0" applyNumberFormat="1" applyFont="1" applyFill="1" applyAlignment="1"/>
    <xf numFmtId="166" fontId="12" fillId="3" borderId="0" xfId="0" applyNumberFormat="1" applyFont="1" applyFill="1"/>
    <xf numFmtId="166" fontId="12" fillId="3" borderId="0" xfId="0" applyNumberFormat="1" applyFont="1" applyFill="1" applyAlignment="1"/>
    <xf numFmtId="166" fontId="12" fillId="4" borderId="0" xfId="0" applyNumberFormat="1" applyFont="1" applyFill="1"/>
    <xf numFmtId="166" fontId="12" fillId="4" borderId="0" xfId="0" applyNumberFormat="1" applyFont="1" applyFill="1" applyAlignment="1"/>
    <xf numFmtId="166" fontId="10" fillId="4" borderId="0" xfId="0" applyNumberFormat="1" applyFont="1" applyFill="1"/>
    <xf numFmtId="166" fontId="10" fillId="4" borderId="0" xfId="0" applyNumberFormat="1" applyFont="1" applyFill="1" applyAlignment="1"/>
    <xf numFmtId="3" fontId="21" fillId="0" borderId="0" xfId="0" quotePrefix="1" applyNumberFormat="1" applyFont="1" applyFill="1"/>
    <xf numFmtId="4" fontId="22" fillId="3" borderId="10" xfId="0" applyNumberFormat="1" applyFont="1" applyFill="1" applyBorder="1"/>
    <xf numFmtId="0" fontId="12" fillId="3" borderId="9" xfId="2" applyFont="1" applyFill="1" applyBorder="1"/>
    <xf numFmtId="0" fontId="12" fillId="3" borderId="0" xfId="2" applyFont="1" applyFill="1" applyBorder="1"/>
    <xf numFmtId="3" fontId="12" fillId="3" borderId="0" xfId="0" applyNumberFormat="1" applyFont="1" applyFill="1" applyBorder="1"/>
    <xf numFmtId="0" fontId="12" fillId="3" borderId="0" xfId="0" applyFont="1" applyFill="1" applyBorder="1" applyAlignment="1">
      <alignment horizontal="center"/>
    </xf>
    <xf numFmtId="3" fontId="13" fillId="3" borderId="0" xfId="0" applyNumberFormat="1" applyFont="1" applyFill="1" applyBorder="1" applyAlignment="1">
      <alignment horizontal="center"/>
    </xf>
    <xf numFmtId="3" fontId="12" fillId="3" borderId="0" xfId="0" applyNumberFormat="1" applyFont="1" applyFill="1" applyBorder="1" applyAlignment="1"/>
    <xf numFmtId="0" fontId="12" fillId="3" borderId="0" xfId="0" applyFont="1" applyFill="1" applyBorder="1" applyAlignment="1"/>
    <xf numFmtId="4" fontId="12" fillId="3" borderId="0" xfId="0" applyNumberFormat="1" applyFont="1" applyFill="1" applyBorder="1"/>
    <xf numFmtId="10" fontId="12" fillId="3" borderId="0" xfId="0" applyNumberFormat="1" applyFont="1" applyFill="1" applyBorder="1" applyAlignment="1">
      <alignment horizontal="center"/>
    </xf>
    <xf numFmtId="0" fontId="12" fillId="6" borderId="0" xfId="2" applyFont="1" applyFill="1" applyBorder="1"/>
    <xf numFmtId="3" fontId="12" fillId="6" borderId="0" xfId="0" applyNumberFormat="1" applyFont="1" applyFill="1" applyBorder="1"/>
    <xf numFmtId="0" fontId="12" fillId="6" borderId="0" xfId="0" applyFont="1" applyFill="1" applyBorder="1" applyAlignment="1">
      <alignment horizontal="center"/>
    </xf>
    <xf numFmtId="3" fontId="13" fillId="6" borderId="0" xfId="0" applyNumberFormat="1" applyFont="1" applyFill="1" applyBorder="1" applyAlignment="1">
      <alignment horizontal="center"/>
    </xf>
    <xf numFmtId="3" fontId="12" fillId="6" borderId="0" xfId="0" applyNumberFormat="1" applyFont="1" applyFill="1" applyBorder="1" applyAlignment="1"/>
    <xf numFmtId="0" fontId="12" fillId="6" borderId="0" xfId="0" applyFont="1" applyFill="1" applyBorder="1" applyAlignment="1"/>
    <xf numFmtId="4" fontId="12" fillId="6" borderId="0" xfId="0" applyNumberFormat="1" applyFont="1" applyFill="1" applyBorder="1"/>
    <xf numFmtId="10" fontId="12" fillId="6" borderId="0" xfId="0" applyNumberFormat="1" applyFont="1" applyFill="1" applyBorder="1" applyAlignment="1">
      <alignment horizontal="center"/>
    </xf>
    <xf numFmtId="0" fontId="12" fillId="3" borderId="9" xfId="0" applyFont="1" applyFill="1" applyBorder="1" applyAlignment="1"/>
    <xf numFmtId="10" fontId="3" fillId="0" borderId="0" xfId="0" applyNumberFormat="1" applyFont="1" applyBorder="1"/>
    <xf numFmtId="1" fontId="12" fillId="0" borderId="0" xfId="0" applyNumberFormat="1" applyFont="1" applyAlignment="1"/>
    <xf numFmtId="0" fontId="12" fillId="0" borderId="0" xfId="2" applyFont="1" applyFill="1" applyBorder="1" applyAlignment="1">
      <alignment horizontal="left"/>
    </xf>
    <xf numFmtId="0" fontId="10" fillId="3" borderId="9" xfId="0" applyFont="1" applyFill="1" applyBorder="1" applyAlignment="1"/>
    <xf numFmtId="3" fontId="11" fillId="0" borderId="0" xfId="0" applyNumberFormat="1" applyFont="1" applyFill="1"/>
    <xf numFmtId="166" fontId="10" fillId="0" borderId="0" xfId="0" applyNumberFormat="1" applyFont="1" applyFill="1" applyAlignment="1"/>
    <xf numFmtId="0" fontId="10" fillId="5" borderId="0" xfId="0" applyFont="1" applyFill="1" applyBorder="1"/>
    <xf numFmtId="0" fontId="10" fillId="5" borderId="0" xfId="0" applyFont="1" applyFill="1"/>
    <xf numFmtId="3" fontId="10" fillId="5" borderId="0" xfId="0" applyNumberFormat="1" applyFont="1" applyFill="1"/>
    <xf numFmtId="0" fontId="10" fillId="5" borderId="0" xfId="0" applyFont="1" applyFill="1" applyAlignment="1">
      <alignment horizontal="center"/>
    </xf>
    <xf numFmtId="3" fontId="11" fillId="5" borderId="0" xfId="0" applyNumberFormat="1" applyFont="1" applyFill="1" applyAlignment="1">
      <alignment horizontal="center"/>
    </xf>
    <xf numFmtId="3" fontId="10" fillId="5" borderId="0" xfId="0" applyNumberFormat="1" applyFont="1" applyFill="1" applyAlignment="1"/>
    <xf numFmtId="0" fontId="10" fillId="5" borderId="0" xfId="0" applyFont="1" applyFill="1" applyAlignment="1"/>
    <xf numFmtId="4" fontId="10" fillId="5" borderId="0" xfId="0" applyNumberFormat="1" applyFont="1" applyFill="1"/>
    <xf numFmtId="10" fontId="10" fillId="5" borderId="0" xfId="0" applyNumberFormat="1" applyFont="1" applyFill="1" applyAlignment="1">
      <alignment horizontal="center"/>
    </xf>
    <xf numFmtId="0" fontId="10" fillId="3" borderId="9" xfId="2" applyFont="1" applyFill="1" applyBorder="1"/>
    <xf numFmtId="166" fontId="10" fillId="3" borderId="0" xfId="0" applyNumberFormat="1" applyFont="1" applyFill="1" applyAlignment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164" fontId="10" fillId="0" borderId="0" xfId="0" applyNumberFormat="1" applyFont="1"/>
    <xf numFmtId="0" fontId="9" fillId="0" borderId="0" xfId="0" applyFont="1" applyFill="1" applyBorder="1"/>
    <xf numFmtId="0" fontId="12" fillId="7" borderId="0" xfId="0" applyFont="1" applyFill="1" applyBorder="1"/>
    <xf numFmtId="0" fontId="12" fillId="7" borderId="0" xfId="0" applyFont="1" applyFill="1"/>
    <xf numFmtId="3" fontId="12" fillId="7" borderId="0" xfId="0" applyNumberFormat="1" applyFont="1" applyFill="1"/>
    <xf numFmtId="0" fontId="12" fillId="7" borderId="0" xfId="0" applyFont="1" applyFill="1" applyAlignment="1">
      <alignment horizontal="center"/>
    </xf>
    <xf numFmtId="0" fontId="12" fillId="8" borderId="0" xfId="0" applyFont="1" applyFill="1" applyBorder="1"/>
    <xf numFmtId="0" fontId="12" fillId="8" borderId="0" xfId="0" applyFont="1" applyFill="1"/>
    <xf numFmtId="3" fontId="12" fillId="8" borderId="0" xfId="0" applyNumberFormat="1" applyFont="1" applyFill="1"/>
    <xf numFmtId="0" fontId="12" fillId="8" borderId="0" xfId="0" applyFont="1" applyFill="1" applyAlignment="1">
      <alignment horizontal="center"/>
    </xf>
    <xf numFmtId="3" fontId="13" fillId="8" borderId="0" xfId="0" applyNumberFormat="1" applyFont="1" applyFill="1" applyAlignment="1">
      <alignment horizontal="center"/>
    </xf>
    <xf numFmtId="3" fontId="12" fillId="8" borderId="0" xfId="0" applyNumberFormat="1" applyFont="1" applyFill="1" applyAlignment="1"/>
    <xf numFmtId="0" fontId="12" fillId="8" borderId="0" xfId="0" applyFont="1" applyFill="1" applyAlignment="1"/>
    <xf numFmtId="4" fontId="12" fillId="8" borderId="0" xfId="0" applyNumberFormat="1" applyFont="1" applyFill="1"/>
    <xf numFmtId="10" fontId="12" fillId="8" borderId="0" xfId="0" applyNumberFormat="1" applyFont="1" applyFill="1" applyAlignment="1">
      <alignment horizontal="center"/>
    </xf>
    <xf numFmtId="3" fontId="13" fillId="7" borderId="0" xfId="0" applyNumberFormat="1" applyFont="1" applyFill="1" applyAlignment="1">
      <alignment horizontal="center"/>
    </xf>
    <xf numFmtId="3" fontId="12" fillId="7" borderId="0" xfId="0" applyNumberFormat="1" applyFont="1" applyFill="1" applyAlignment="1"/>
    <xf numFmtId="0" fontId="12" fillId="7" borderId="0" xfId="0" applyFont="1" applyFill="1" applyAlignment="1"/>
    <xf numFmtId="4" fontId="12" fillId="7" borderId="0" xfId="0" applyNumberFormat="1" applyFont="1" applyFill="1"/>
    <xf numFmtId="10" fontId="12" fillId="7" borderId="0" xfId="0" applyNumberFormat="1" applyFont="1" applyFill="1" applyAlignment="1">
      <alignment horizontal="center"/>
    </xf>
    <xf numFmtId="166" fontId="12" fillId="7" borderId="0" xfId="0" applyNumberFormat="1" applyFont="1" applyFill="1" applyAlignment="1"/>
    <xf numFmtId="0" fontId="10" fillId="6" borderId="0" xfId="2" applyFont="1" applyFill="1" applyBorder="1"/>
    <xf numFmtId="3" fontId="10" fillId="6" borderId="0" xfId="0" applyNumberFormat="1" applyFont="1" applyFill="1" applyBorder="1"/>
    <xf numFmtId="0" fontId="10" fillId="6" borderId="0" xfId="0" applyFont="1" applyFill="1" applyBorder="1" applyAlignment="1">
      <alignment horizontal="center"/>
    </xf>
    <xf numFmtId="3" fontId="11" fillId="6" borderId="0" xfId="0" applyNumberFormat="1" applyFont="1" applyFill="1" applyBorder="1" applyAlignment="1">
      <alignment horizontal="center"/>
    </xf>
    <xf numFmtId="3" fontId="10" fillId="6" borderId="0" xfId="0" applyNumberFormat="1" applyFont="1" applyFill="1" applyBorder="1" applyAlignment="1"/>
    <xf numFmtId="0" fontId="10" fillId="6" borderId="0" xfId="0" applyFont="1" applyFill="1" applyBorder="1" applyAlignment="1"/>
    <xf numFmtId="4" fontId="10" fillId="6" borderId="0" xfId="0" applyNumberFormat="1" applyFont="1" applyFill="1" applyBorder="1"/>
    <xf numFmtId="10" fontId="10" fillId="6" borderId="0" xfId="0" applyNumberFormat="1" applyFont="1" applyFill="1" applyBorder="1" applyAlignment="1">
      <alignment horizontal="center"/>
    </xf>
    <xf numFmtId="3" fontId="11" fillId="3" borderId="0" xfId="0" applyNumberFormat="1" applyFont="1" applyFill="1"/>
    <xf numFmtId="0" fontId="10" fillId="8" borderId="0" xfId="0" applyFont="1" applyFill="1" applyBorder="1"/>
    <xf numFmtId="0" fontId="10" fillId="8" borderId="0" xfId="0" applyFont="1" applyFill="1"/>
    <xf numFmtId="3" fontId="10" fillId="8" borderId="0" xfId="0" applyNumberFormat="1" applyFont="1" applyFill="1"/>
    <xf numFmtId="0" fontId="10" fillId="8" borderId="0" xfId="0" applyFont="1" applyFill="1" applyAlignment="1">
      <alignment horizontal="center"/>
    </xf>
    <xf numFmtId="3" fontId="11" fillId="8" borderId="0" xfId="0" applyNumberFormat="1" applyFont="1" applyFill="1" applyAlignment="1">
      <alignment horizontal="center"/>
    </xf>
    <xf numFmtId="3" fontId="10" fillId="8" borderId="0" xfId="0" applyNumberFormat="1" applyFont="1" applyFill="1" applyAlignment="1"/>
    <xf numFmtId="0" fontId="10" fillId="8" borderId="0" xfId="0" applyFont="1" applyFill="1" applyAlignment="1"/>
    <xf numFmtId="4" fontId="10" fillId="8" borderId="0" xfId="0" applyNumberFormat="1" applyFont="1" applyFill="1"/>
    <xf numFmtId="10" fontId="10" fillId="8" borderId="0" xfId="0" applyNumberFormat="1" applyFont="1" applyFill="1" applyAlignment="1">
      <alignment horizontal="center"/>
    </xf>
    <xf numFmtId="0" fontId="10" fillId="3" borderId="0" xfId="2" applyFont="1" applyFill="1" applyBorder="1"/>
    <xf numFmtId="3" fontId="10" fillId="3" borderId="0" xfId="0" applyNumberFormat="1" applyFont="1" applyFill="1" applyBorder="1"/>
    <xf numFmtId="0" fontId="10" fillId="3" borderId="0" xfId="0" applyFont="1" applyFill="1" applyBorder="1" applyAlignment="1">
      <alignment horizontal="center"/>
    </xf>
    <xf numFmtId="3" fontId="11" fillId="3" borderId="0" xfId="0" applyNumberFormat="1" applyFont="1" applyFill="1" applyBorder="1" applyAlignment="1">
      <alignment horizontal="center"/>
    </xf>
    <xf numFmtId="3" fontId="10" fillId="3" borderId="0" xfId="0" applyNumberFormat="1" applyFont="1" applyFill="1" applyBorder="1" applyAlignment="1"/>
    <xf numFmtId="0" fontId="10" fillId="3" borderId="0" xfId="0" applyFont="1" applyFill="1" applyBorder="1" applyAlignment="1"/>
    <xf numFmtId="4" fontId="10" fillId="3" borderId="0" xfId="0" applyNumberFormat="1" applyFont="1" applyFill="1" applyBorder="1"/>
    <xf numFmtId="10" fontId="10" fillId="3" borderId="0" xfId="0" applyNumberFormat="1" applyFont="1" applyFill="1" applyBorder="1" applyAlignment="1">
      <alignment horizontal="center"/>
    </xf>
    <xf numFmtId="43" fontId="23" fillId="0" borderId="0" xfId="1" applyNumberFormat="1" applyFont="1" applyFill="1" applyBorder="1" applyAlignment="1">
      <alignment vertical="center"/>
    </xf>
    <xf numFmtId="3" fontId="12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/>
    <xf numFmtId="4" fontId="12" fillId="0" borderId="0" xfId="0" applyNumberFormat="1" applyFont="1" applyFill="1" applyBorder="1"/>
    <xf numFmtId="10" fontId="12" fillId="0" borderId="0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vertical="center"/>
    </xf>
    <xf numFmtId="0" fontId="12" fillId="8" borderId="0" xfId="2" applyFont="1" applyFill="1" applyBorder="1"/>
    <xf numFmtId="1" fontId="12" fillId="8" borderId="0" xfId="0" applyNumberFormat="1" applyFont="1" applyFill="1" applyAlignment="1"/>
    <xf numFmtId="0" fontId="10" fillId="7" borderId="0" xfId="0" applyFont="1" applyFill="1" applyBorder="1"/>
    <xf numFmtId="0" fontId="10" fillId="7" borderId="0" xfId="0" applyFont="1" applyFill="1"/>
    <xf numFmtId="3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3" fontId="11" fillId="7" borderId="0" xfId="0" applyNumberFormat="1" applyFont="1" applyFill="1" applyAlignment="1">
      <alignment horizontal="center"/>
    </xf>
    <xf numFmtId="3" fontId="10" fillId="7" borderId="0" xfId="0" applyNumberFormat="1" applyFont="1" applyFill="1" applyAlignment="1"/>
    <xf numFmtId="0" fontId="10" fillId="7" borderId="0" xfId="0" applyFont="1" applyFill="1" applyAlignment="1"/>
    <xf numFmtId="4" fontId="10" fillId="7" borderId="0" xfId="0" applyNumberFormat="1" applyFont="1" applyFill="1"/>
    <xf numFmtId="10" fontId="10" fillId="7" borderId="0" xfId="0" applyNumberFormat="1" applyFont="1" applyFill="1" applyAlignment="1">
      <alignment horizontal="center"/>
    </xf>
    <xf numFmtId="165" fontId="10" fillId="0" borderId="0" xfId="0" applyNumberFormat="1" applyFont="1" applyFill="1" applyAlignment="1"/>
    <xf numFmtId="0" fontId="10" fillId="3" borderId="0" xfId="0" applyFont="1" applyFill="1" applyBorder="1" applyAlignment="1">
      <alignment vertical="center"/>
    </xf>
    <xf numFmtId="165" fontId="10" fillId="0" borderId="0" xfId="0" applyNumberFormat="1" applyFont="1" applyBorder="1" applyAlignment="1"/>
    <xf numFmtId="43" fontId="24" fillId="0" borderId="0" xfId="1" applyNumberFormat="1" applyFont="1" applyFill="1" applyAlignment="1">
      <alignment vertical="center"/>
    </xf>
    <xf numFmtId="1" fontId="12" fillId="3" borderId="0" xfId="0" applyNumberFormat="1" applyFont="1" applyFill="1" applyAlignme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6"/>
  <sheetViews>
    <sheetView topLeftCell="A713" workbookViewId="0">
      <selection activeCell="A730" sqref="A730:XFD730"/>
    </sheetView>
  </sheetViews>
  <sheetFormatPr defaultRowHeight="12.75"/>
  <cols>
    <col min="1" max="1" width="51.28515625" style="34" customWidth="1"/>
    <col min="2" max="2" width="31.7109375" style="2" customWidth="1"/>
    <col min="3" max="3" width="4.85546875" style="3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3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16384" width="9.140625" style="2"/>
  </cols>
  <sheetData>
    <row r="1" spans="1:19" ht="30">
      <c r="A1" s="1" t="s">
        <v>717</v>
      </c>
    </row>
    <row r="2" spans="1:19" s="10" customFormat="1">
      <c r="A2" s="328" t="s">
        <v>0</v>
      </c>
      <c r="B2" s="327" t="s">
        <v>1</v>
      </c>
      <c r="C2" s="322" t="s">
        <v>2</v>
      </c>
      <c r="D2" s="322"/>
      <c r="E2" s="329" t="s">
        <v>3</v>
      </c>
      <c r="F2" s="324" t="s">
        <v>4</v>
      </c>
      <c r="G2" s="324"/>
      <c r="H2" s="324"/>
      <c r="I2" s="324"/>
      <c r="J2" s="325" t="s">
        <v>5</v>
      </c>
      <c r="K2" s="326"/>
      <c r="L2" s="326"/>
      <c r="M2" s="327"/>
      <c r="N2" s="318" t="s">
        <v>6</v>
      </c>
      <c r="O2" s="319"/>
      <c r="P2" s="322" t="s">
        <v>7</v>
      </c>
      <c r="Q2" s="322"/>
      <c r="R2" s="323" t="s">
        <v>8</v>
      </c>
      <c r="S2" s="323" t="s">
        <v>9</v>
      </c>
    </row>
    <row r="3" spans="1:19" s="10" customFormat="1">
      <c r="A3" s="328"/>
      <c r="B3" s="327"/>
      <c r="C3" s="322"/>
      <c r="D3" s="322"/>
      <c r="E3" s="329"/>
      <c r="F3" s="324" t="s">
        <v>10</v>
      </c>
      <c r="G3" s="324"/>
      <c r="H3" s="324" t="s">
        <v>11</v>
      </c>
      <c r="I3" s="324"/>
      <c r="J3" s="11" t="s">
        <v>12</v>
      </c>
      <c r="K3" s="12" t="s">
        <v>13</v>
      </c>
      <c r="L3" s="13" t="s">
        <v>14</v>
      </c>
      <c r="M3" s="13" t="s">
        <v>15</v>
      </c>
      <c r="N3" s="320"/>
      <c r="O3" s="321"/>
      <c r="P3" s="322"/>
      <c r="Q3" s="322"/>
      <c r="R3" s="323"/>
      <c r="S3" s="323"/>
    </row>
    <row r="4" spans="1:19" ht="15.75">
      <c r="A4" s="14" t="s">
        <v>16</v>
      </c>
    </row>
    <row r="5" spans="1:19">
      <c r="A5" s="15" t="s">
        <v>17</v>
      </c>
    </row>
    <row r="6" spans="1:19" s="17" customFormat="1">
      <c r="A6" s="16" t="s">
        <v>18</v>
      </c>
      <c r="B6" s="17" t="s">
        <v>19</v>
      </c>
      <c r="C6" s="18"/>
      <c r="D6" s="19" t="s">
        <v>20</v>
      </c>
      <c r="E6" s="20"/>
      <c r="F6" s="21">
        <v>1</v>
      </c>
      <c r="G6" s="22" t="s">
        <v>21</v>
      </c>
      <c r="H6" s="21">
        <v>60</v>
      </c>
      <c r="I6" s="22" t="s">
        <v>20</v>
      </c>
      <c r="J6" s="23">
        <v>43500</v>
      </c>
      <c r="K6" s="19" t="s">
        <v>20</v>
      </c>
      <c r="L6" s="24">
        <v>0.125</v>
      </c>
      <c r="M6" s="24">
        <v>0.05</v>
      </c>
      <c r="N6" s="18"/>
      <c r="O6" s="22" t="s">
        <v>20</v>
      </c>
      <c r="P6" s="18">
        <f t="shared" ref="P6:P15" si="0">(C6+(E6*F6*H6))-N6</f>
        <v>0</v>
      </c>
      <c r="Q6" s="22" t="s">
        <v>20</v>
      </c>
      <c r="R6" s="23">
        <f t="shared" ref="R6:R15" si="1">P6*(J6-(J6*L6)-((J6-(J6*L6))*M6))</f>
        <v>0</v>
      </c>
      <c r="S6" s="23">
        <f>R6/1.11</f>
        <v>0</v>
      </c>
    </row>
    <row r="7" spans="1:19" s="17" customFormat="1">
      <c r="A7" s="16" t="s">
        <v>22</v>
      </c>
      <c r="B7" s="17" t="s">
        <v>19</v>
      </c>
      <c r="C7" s="18"/>
      <c r="D7" s="19" t="s">
        <v>20</v>
      </c>
      <c r="E7" s="20"/>
      <c r="F7" s="21">
        <v>1</v>
      </c>
      <c r="G7" s="22" t="s">
        <v>21</v>
      </c>
      <c r="H7" s="21">
        <v>48</v>
      </c>
      <c r="I7" s="22" t="s">
        <v>20</v>
      </c>
      <c r="J7" s="23">
        <v>28000</v>
      </c>
      <c r="K7" s="19" t="s">
        <v>20</v>
      </c>
      <c r="L7" s="24">
        <v>0.125</v>
      </c>
      <c r="M7" s="24">
        <v>0.05</v>
      </c>
      <c r="N7" s="18"/>
      <c r="O7" s="22" t="s">
        <v>20</v>
      </c>
      <c r="P7" s="18">
        <f t="shared" si="0"/>
        <v>0</v>
      </c>
      <c r="Q7" s="22" t="s">
        <v>20</v>
      </c>
      <c r="R7" s="23">
        <f t="shared" si="1"/>
        <v>0</v>
      </c>
      <c r="S7" s="23">
        <f t="shared" ref="S7:S72" si="2">R7/1.11</f>
        <v>0</v>
      </c>
    </row>
    <row r="8" spans="1:19" s="17" customFormat="1">
      <c r="A8" s="16" t="s">
        <v>23</v>
      </c>
      <c r="B8" s="17" t="s">
        <v>19</v>
      </c>
      <c r="C8" s="18"/>
      <c r="D8" s="19" t="s">
        <v>20</v>
      </c>
      <c r="E8" s="20"/>
      <c r="F8" s="21">
        <v>1</v>
      </c>
      <c r="G8" s="22" t="s">
        <v>21</v>
      </c>
      <c r="H8" s="21">
        <v>48</v>
      </c>
      <c r="I8" s="22" t="s">
        <v>20</v>
      </c>
      <c r="J8" s="23">
        <v>31700</v>
      </c>
      <c r="K8" s="19" t="s">
        <v>20</v>
      </c>
      <c r="L8" s="24">
        <v>0.125</v>
      </c>
      <c r="M8" s="24">
        <v>0.05</v>
      </c>
      <c r="N8" s="18"/>
      <c r="O8" s="22" t="s">
        <v>20</v>
      </c>
      <c r="P8" s="18">
        <f t="shared" si="0"/>
        <v>0</v>
      </c>
      <c r="Q8" s="22" t="s">
        <v>20</v>
      </c>
      <c r="R8" s="23">
        <f t="shared" si="1"/>
        <v>0</v>
      </c>
      <c r="S8" s="23">
        <f t="shared" si="2"/>
        <v>0</v>
      </c>
    </row>
    <row r="9" spans="1:19" s="17" customFormat="1">
      <c r="A9" s="16" t="s">
        <v>24</v>
      </c>
      <c r="B9" s="17" t="s">
        <v>19</v>
      </c>
      <c r="C9" s="18"/>
      <c r="D9" s="19" t="s">
        <v>20</v>
      </c>
      <c r="E9" s="20"/>
      <c r="F9" s="21">
        <v>1</v>
      </c>
      <c r="G9" s="22" t="s">
        <v>21</v>
      </c>
      <c r="H9" s="21">
        <v>48</v>
      </c>
      <c r="I9" s="22" t="s">
        <v>20</v>
      </c>
      <c r="J9" s="23">
        <v>25000</v>
      </c>
      <c r="K9" s="19" t="s">
        <v>20</v>
      </c>
      <c r="L9" s="24">
        <v>0.125</v>
      </c>
      <c r="M9" s="24">
        <v>0.05</v>
      </c>
      <c r="N9" s="18"/>
      <c r="O9" s="22" t="s">
        <v>20</v>
      </c>
      <c r="P9" s="18">
        <f t="shared" si="0"/>
        <v>0</v>
      </c>
      <c r="Q9" s="22" t="s">
        <v>20</v>
      </c>
      <c r="R9" s="23">
        <f t="shared" si="1"/>
        <v>0</v>
      </c>
      <c r="S9" s="23">
        <f t="shared" si="2"/>
        <v>0</v>
      </c>
    </row>
    <row r="10" spans="1:19" s="17" customFormat="1">
      <c r="A10" s="16" t="s">
        <v>25</v>
      </c>
      <c r="B10" s="17" t="s">
        <v>26</v>
      </c>
      <c r="C10" s="18"/>
      <c r="D10" s="19" t="s">
        <v>20</v>
      </c>
      <c r="E10" s="20"/>
      <c r="F10" s="21">
        <v>1</v>
      </c>
      <c r="G10" s="22" t="s">
        <v>21</v>
      </c>
      <c r="H10" s="21">
        <v>60</v>
      </c>
      <c r="I10" s="22" t="s">
        <v>20</v>
      </c>
      <c r="J10" s="23">
        <v>23800</v>
      </c>
      <c r="K10" s="19" t="s">
        <v>20</v>
      </c>
      <c r="L10" s="24"/>
      <c r="M10" s="24">
        <v>0.17</v>
      </c>
      <c r="N10" s="18"/>
      <c r="O10" s="22" t="s">
        <v>20</v>
      </c>
      <c r="P10" s="18">
        <f t="shared" si="0"/>
        <v>0</v>
      </c>
      <c r="Q10" s="22" t="s">
        <v>20</v>
      </c>
      <c r="R10" s="23">
        <f t="shared" si="1"/>
        <v>0</v>
      </c>
      <c r="S10" s="23">
        <f t="shared" si="2"/>
        <v>0</v>
      </c>
    </row>
    <row r="11" spans="1:19" s="17" customFormat="1">
      <c r="A11" s="16" t="s">
        <v>27</v>
      </c>
      <c r="B11" s="17" t="s">
        <v>26</v>
      </c>
      <c r="C11" s="18"/>
      <c r="D11" s="19" t="s">
        <v>20</v>
      </c>
      <c r="E11" s="20"/>
      <c r="F11" s="21">
        <v>1</v>
      </c>
      <c r="G11" s="22" t="s">
        <v>21</v>
      </c>
      <c r="H11" s="21">
        <v>60</v>
      </c>
      <c r="I11" s="22" t="s">
        <v>20</v>
      </c>
      <c r="J11" s="23">
        <v>23800</v>
      </c>
      <c r="K11" s="19" t="s">
        <v>20</v>
      </c>
      <c r="L11" s="24"/>
      <c r="M11" s="24">
        <v>0.17</v>
      </c>
      <c r="N11" s="18"/>
      <c r="O11" s="22" t="s">
        <v>20</v>
      </c>
      <c r="P11" s="18">
        <f t="shared" si="0"/>
        <v>0</v>
      </c>
      <c r="Q11" s="22" t="s">
        <v>20</v>
      </c>
      <c r="R11" s="23">
        <f t="shared" si="1"/>
        <v>0</v>
      </c>
      <c r="S11" s="23">
        <f t="shared" si="2"/>
        <v>0</v>
      </c>
    </row>
    <row r="12" spans="1:19" s="17" customFormat="1">
      <c r="A12" s="16" t="s">
        <v>28</v>
      </c>
      <c r="B12" s="17" t="s">
        <v>26</v>
      </c>
      <c r="C12" s="18"/>
      <c r="D12" s="19" t="s">
        <v>20</v>
      </c>
      <c r="E12" s="20"/>
      <c r="F12" s="21">
        <v>1</v>
      </c>
      <c r="G12" s="22" t="s">
        <v>21</v>
      </c>
      <c r="H12" s="21">
        <v>60</v>
      </c>
      <c r="I12" s="22" t="s">
        <v>20</v>
      </c>
      <c r="J12" s="23">
        <v>27500</v>
      </c>
      <c r="K12" s="19" t="s">
        <v>20</v>
      </c>
      <c r="L12" s="24"/>
      <c r="M12" s="24">
        <v>0.17</v>
      </c>
      <c r="N12" s="18"/>
      <c r="O12" s="22" t="s">
        <v>20</v>
      </c>
      <c r="P12" s="18">
        <f t="shared" si="0"/>
        <v>0</v>
      </c>
      <c r="Q12" s="22" t="s">
        <v>20</v>
      </c>
      <c r="R12" s="23">
        <f t="shared" si="1"/>
        <v>0</v>
      </c>
      <c r="S12" s="23">
        <f t="shared" si="2"/>
        <v>0</v>
      </c>
    </row>
    <row r="13" spans="1:19" s="17" customFormat="1">
      <c r="A13" s="16" t="s">
        <v>29</v>
      </c>
      <c r="B13" s="17" t="s">
        <v>26</v>
      </c>
      <c r="C13" s="18"/>
      <c r="D13" s="19" t="s">
        <v>20</v>
      </c>
      <c r="E13" s="20"/>
      <c r="F13" s="21">
        <v>1</v>
      </c>
      <c r="G13" s="22" t="s">
        <v>21</v>
      </c>
      <c r="H13" s="21">
        <v>36</v>
      </c>
      <c r="I13" s="22" t="s">
        <v>20</v>
      </c>
      <c r="J13" s="23">
        <v>50500</v>
      </c>
      <c r="K13" s="19" t="s">
        <v>20</v>
      </c>
      <c r="L13" s="24"/>
      <c r="M13" s="24">
        <v>0.17</v>
      </c>
      <c r="N13" s="18"/>
      <c r="O13" s="22" t="s">
        <v>20</v>
      </c>
      <c r="P13" s="18">
        <f t="shared" si="0"/>
        <v>0</v>
      </c>
      <c r="Q13" s="22" t="s">
        <v>20</v>
      </c>
      <c r="R13" s="23">
        <f t="shared" si="1"/>
        <v>0</v>
      </c>
      <c r="S13" s="23">
        <f t="shared" si="2"/>
        <v>0</v>
      </c>
    </row>
    <row r="14" spans="1:19" s="17" customFormat="1">
      <c r="A14" s="16" t="s">
        <v>30</v>
      </c>
      <c r="B14" s="17" t="s">
        <v>26</v>
      </c>
      <c r="C14" s="18"/>
      <c r="D14" s="19" t="s">
        <v>20</v>
      </c>
      <c r="E14" s="20"/>
      <c r="F14" s="21">
        <v>1</v>
      </c>
      <c r="G14" s="22" t="s">
        <v>21</v>
      </c>
      <c r="H14" s="21">
        <v>72</v>
      </c>
      <c r="I14" s="22" t="s">
        <v>20</v>
      </c>
      <c r="J14" s="23">
        <v>37000</v>
      </c>
      <c r="K14" s="19" t="s">
        <v>20</v>
      </c>
      <c r="L14" s="24"/>
      <c r="M14" s="24">
        <v>0.17</v>
      </c>
      <c r="N14" s="18"/>
      <c r="O14" s="22" t="s">
        <v>20</v>
      </c>
      <c r="P14" s="18">
        <f t="shared" si="0"/>
        <v>0</v>
      </c>
      <c r="Q14" s="22" t="s">
        <v>20</v>
      </c>
      <c r="R14" s="23">
        <f t="shared" si="1"/>
        <v>0</v>
      </c>
      <c r="S14" s="23">
        <f t="shared" si="2"/>
        <v>0</v>
      </c>
    </row>
    <row r="15" spans="1:19" s="17" customFormat="1">
      <c r="A15" s="16" t="s">
        <v>31</v>
      </c>
      <c r="B15" s="17" t="s">
        <v>26</v>
      </c>
      <c r="C15" s="18"/>
      <c r="D15" s="19" t="s">
        <v>20</v>
      </c>
      <c r="E15" s="20"/>
      <c r="F15" s="21">
        <v>1</v>
      </c>
      <c r="G15" s="22" t="s">
        <v>21</v>
      </c>
      <c r="H15" s="21">
        <v>72</v>
      </c>
      <c r="I15" s="22" t="s">
        <v>20</v>
      </c>
      <c r="J15" s="23">
        <v>30000</v>
      </c>
      <c r="K15" s="19" t="s">
        <v>20</v>
      </c>
      <c r="L15" s="24"/>
      <c r="M15" s="24">
        <v>0.17</v>
      </c>
      <c r="N15" s="18"/>
      <c r="O15" s="22" t="s">
        <v>20</v>
      </c>
      <c r="P15" s="18">
        <f t="shared" si="0"/>
        <v>0</v>
      </c>
      <c r="Q15" s="22" t="s">
        <v>20</v>
      </c>
      <c r="R15" s="23">
        <f t="shared" si="1"/>
        <v>0</v>
      </c>
      <c r="S15" s="23">
        <f t="shared" si="2"/>
        <v>0</v>
      </c>
    </row>
    <row r="16" spans="1:19">
      <c r="A16" s="15" t="s">
        <v>32</v>
      </c>
      <c r="S16" s="23"/>
    </row>
    <row r="17" spans="1:19" s="26" customFormat="1">
      <c r="A17" s="25" t="s">
        <v>33</v>
      </c>
      <c r="B17" s="26" t="s">
        <v>19</v>
      </c>
      <c r="C17" s="27">
        <v>60</v>
      </c>
      <c r="D17" s="28" t="s">
        <v>34</v>
      </c>
      <c r="E17" s="29"/>
      <c r="F17" s="30">
        <v>1</v>
      </c>
      <c r="G17" s="31" t="s">
        <v>21</v>
      </c>
      <c r="H17" s="30">
        <v>60</v>
      </c>
      <c r="I17" s="31" t="s">
        <v>34</v>
      </c>
      <c r="J17" s="32">
        <v>22200</v>
      </c>
      <c r="K17" s="28" t="s">
        <v>34</v>
      </c>
      <c r="L17" s="33">
        <v>0.125</v>
      </c>
      <c r="M17" s="33">
        <v>0.05</v>
      </c>
      <c r="N17" s="27"/>
      <c r="O17" s="31" t="s">
        <v>34</v>
      </c>
      <c r="P17" s="27">
        <f>(C17+(E17*F17*H17))-N17</f>
        <v>60</v>
      </c>
      <c r="Q17" s="31" t="s">
        <v>34</v>
      </c>
      <c r="R17" s="32">
        <f>P17*(J17-(J17*L17)-((J17-(J17*L17))*M17))</f>
        <v>1107225</v>
      </c>
      <c r="S17" s="32">
        <f t="shared" si="2"/>
        <v>997499.99999999988</v>
      </c>
    </row>
    <row r="18" spans="1:19" s="26" customFormat="1">
      <c r="A18" s="25" t="s">
        <v>35</v>
      </c>
      <c r="B18" s="26" t="s">
        <v>19</v>
      </c>
      <c r="C18" s="27"/>
      <c r="D18" s="28" t="s">
        <v>34</v>
      </c>
      <c r="E18" s="29">
        <v>1</v>
      </c>
      <c r="F18" s="30">
        <v>1</v>
      </c>
      <c r="G18" s="31" t="s">
        <v>21</v>
      </c>
      <c r="H18" s="30">
        <v>60</v>
      </c>
      <c r="I18" s="31" t="s">
        <v>34</v>
      </c>
      <c r="J18" s="32">
        <v>31500</v>
      </c>
      <c r="K18" s="28" t="s">
        <v>34</v>
      </c>
      <c r="L18" s="33">
        <v>0.125</v>
      </c>
      <c r="M18" s="33">
        <v>0.05</v>
      </c>
      <c r="N18" s="27"/>
      <c r="O18" s="31" t="s">
        <v>34</v>
      </c>
      <c r="P18" s="27">
        <f>(C18+(E18*F18*H18))-N18</f>
        <v>60</v>
      </c>
      <c r="Q18" s="31" t="s">
        <v>34</v>
      </c>
      <c r="R18" s="32">
        <f>P18*(J18-(J18*L18)-((J18-(J18*L18))*M18))</f>
        <v>1571062.5</v>
      </c>
      <c r="S18" s="32">
        <f t="shared" si="2"/>
        <v>1415371.6216216215</v>
      </c>
    </row>
    <row r="19" spans="1:19" s="26" customFormat="1">
      <c r="A19" s="25" t="s">
        <v>36</v>
      </c>
      <c r="B19" s="26" t="s">
        <v>19</v>
      </c>
      <c r="C19" s="27"/>
      <c r="D19" s="28" t="s">
        <v>34</v>
      </c>
      <c r="E19" s="29">
        <v>1</v>
      </c>
      <c r="F19" s="30">
        <v>1</v>
      </c>
      <c r="G19" s="31" t="s">
        <v>21</v>
      </c>
      <c r="H19" s="30">
        <v>60</v>
      </c>
      <c r="I19" s="31" t="s">
        <v>34</v>
      </c>
      <c r="J19" s="32">
        <v>31200</v>
      </c>
      <c r="K19" s="28" t="s">
        <v>34</v>
      </c>
      <c r="L19" s="33">
        <v>0.125</v>
      </c>
      <c r="M19" s="33">
        <v>0.05</v>
      </c>
      <c r="N19" s="27"/>
      <c r="O19" s="31" t="s">
        <v>34</v>
      </c>
      <c r="P19" s="27">
        <f>(C19+(E19*F19*H19))-N19</f>
        <v>60</v>
      </c>
      <c r="Q19" s="31" t="s">
        <v>34</v>
      </c>
      <c r="R19" s="32">
        <f>P19*(J19-(J19*L19)-((J19-(J19*L19))*M19))</f>
        <v>1556100</v>
      </c>
      <c r="S19" s="32">
        <f t="shared" si="2"/>
        <v>1401891.8918918918</v>
      </c>
    </row>
    <row r="20" spans="1:19" s="26" customFormat="1">
      <c r="A20" s="25" t="s">
        <v>37</v>
      </c>
      <c r="B20" s="26" t="s">
        <v>19</v>
      </c>
      <c r="C20" s="27"/>
      <c r="D20" s="28" t="s">
        <v>34</v>
      </c>
      <c r="E20" s="29">
        <v>1</v>
      </c>
      <c r="F20" s="30">
        <v>1</v>
      </c>
      <c r="G20" s="31" t="s">
        <v>21</v>
      </c>
      <c r="H20" s="30">
        <v>180</v>
      </c>
      <c r="I20" s="31" t="s">
        <v>34</v>
      </c>
      <c r="J20" s="32">
        <v>9120</v>
      </c>
      <c r="K20" s="28" t="s">
        <v>34</v>
      </c>
      <c r="L20" s="33">
        <v>0.125</v>
      </c>
      <c r="M20" s="33">
        <v>0.05</v>
      </c>
      <c r="N20" s="27"/>
      <c r="O20" s="31" t="s">
        <v>34</v>
      </c>
      <c r="P20" s="27">
        <f>(C20+(E20*F20*H20))-N20</f>
        <v>180</v>
      </c>
      <c r="Q20" s="31" t="s">
        <v>34</v>
      </c>
      <c r="R20" s="32">
        <f>P20*(J20-(J20*L20)-((J20-(J20*L20))*M20))</f>
        <v>1364580</v>
      </c>
      <c r="S20" s="32">
        <f t="shared" si="2"/>
        <v>1229351.3513513512</v>
      </c>
    </row>
    <row r="21" spans="1:19" s="17" customFormat="1">
      <c r="A21" s="16" t="s">
        <v>38</v>
      </c>
      <c r="B21" s="17" t="s">
        <v>19</v>
      </c>
      <c r="C21" s="18"/>
      <c r="D21" s="19" t="s">
        <v>34</v>
      </c>
      <c r="E21" s="20"/>
      <c r="F21" s="21">
        <v>1</v>
      </c>
      <c r="G21" s="22" t="s">
        <v>21</v>
      </c>
      <c r="H21" s="21">
        <v>32</v>
      </c>
      <c r="I21" s="22" t="s">
        <v>34</v>
      </c>
      <c r="J21" s="23">
        <v>64800</v>
      </c>
      <c r="K21" s="19" t="s">
        <v>34</v>
      </c>
      <c r="L21" s="24">
        <v>0.125</v>
      </c>
      <c r="M21" s="24">
        <v>0.05</v>
      </c>
      <c r="N21" s="18"/>
      <c r="O21" s="22" t="s">
        <v>34</v>
      </c>
      <c r="P21" s="18">
        <f>(C21+(E21*F21*H21))-N21</f>
        <v>0</v>
      </c>
      <c r="Q21" s="22" t="s">
        <v>34</v>
      </c>
      <c r="R21" s="23">
        <f>P21*(J21-(J21*L21)-((J21-(J21*L21))*M21))</f>
        <v>0</v>
      </c>
      <c r="S21" s="23">
        <f t="shared" si="2"/>
        <v>0</v>
      </c>
    </row>
    <row r="22" spans="1:19">
      <c r="S22" s="23"/>
    </row>
    <row r="23" spans="1:19" ht="15.75">
      <c r="A23" s="14" t="s">
        <v>39</v>
      </c>
      <c r="S23" s="23"/>
    </row>
    <row r="24" spans="1:19">
      <c r="A24" s="15" t="s">
        <v>40</v>
      </c>
      <c r="S24" s="23"/>
    </row>
    <row r="25" spans="1:19" s="17" customFormat="1">
      <c r="A25" s="16" t="s">
        <v>41</v>
      </c>
      <c r="B25" s="17" t="s">
        <v>19</v>
      </c>
      <c r="C25" s="18"/>
      <c r="D25" s="19" t="s">
        <v>20</v>
      </c>
      <c r="E25" s="20"/>
      <c r="F25" s="21">
        <v>1</v>
      </c>
      <c r="G25" s="22" t="s">
        <v>21</v>
      </c>
      <c r="H25" s="21">
        <v>60</v>
      </c>
      <c r="I25" s="22" t="s">
        <v>20</v>
      </c>
      <c r="J25" s="23">
        <v>18500</v>
      </c>
      <c r="K25" s="19" t="s">
        <v>20</v>
      </c>
      <c r="L25" s="24">
        <v>0.125</v>
      </c>
      <c r="M25" s="24">
        <v>0.05</v>
      </c>
      <c r="N25" s="18"/>
      <c r="O25" s="22" t="s">
        <v>20</v>
      </c>
      <c r="P25" s="18">
        <f t="shared" ref="P25:P32" si="3">(C25+(E25*F25*H25))-N25</f>
        <v>0</v>
      </c>
      <c r="Q25" s="22" t="s">
        <v>20</v>
      </c>
      <c r="R25" s="23">
        <f t="shared" ref="R25:R32" si="4">P25*(J25-(J25*L25)-((J25-(J25*L25))*M25))</f>
        <v>0</v>
      </c>
      <c r="S25" s="23">
        <f t="shared" si="2"/>
        <v>0</v>
      </c>
    </row>
    <row r="26" spans="1:19" s="26" customFormat="1">
      <c r="A26" s="35" t="s">
        <v>42</v>
      </c>
      <c r="B26" s="36" t="s">
        <v>26</v>
      </c>
      <c r="C26" s="37">
        <v>10</v>
      </c>
      <c r="D26" s="38" t="s">
        <v>43</v>
      </c>
      <c r="E26" s="39"/>
      <c r="F26" s="40">
        <v>1</v>
      </c>
      <c r="G26" s="41" t="s">
        <v>21</v>
      </c>
      <c r="H26" s="40">
        <v>5</v>
      </c>
      <c r="I26" s="41" t="s">
        <v>43</v>
      </c>
      <c r="J26" s="42">
        <f>660000/5</f>
        <v>132000</v>
      </c>
      <c r="K26" s="38" t="s">
        <v>43</v>
      </c>
      <c r="L26" s="43"/>
      <c r="M26" s="43">
        <v>0.17</v>
      </c>
      <c r="N26" s="37"/>
      <c r="O26" s="41" t="s">
        <v>43</v>
      </c>
      <c r="P26" s="37">
        <f t="shared" si="3"/>
        <v>10</v>
      </c>
      <c r="Q26" s="41" t="s">
        <v>43</v>
      </c>
      <c r="R26" s="42">
        <f t="shared" si="4"/>
        <v>1095600</v>
      </c>
      <c r="S26" s="42">
        <f t="shared" si="2"/>
        <v>987027.02702702698</v>
      </c>
    </row>
    <row r="27" spans="1:19" s="26" customFormat="1">
      <c r="A27" s="35" t="s">
        <v>42</v>
      </c>
      <c r="B27" s="36" t="s">
        <v>26</v>
      </c>
      <c r="C27" s="37">
        <v>10</v>
      </c>
      <c r="D27" s="38" t="s">
        <v>43</v>
      </c>
      <c r="E27" s="39"/>
      <c r="F27" s="40">
        <v>1</v>
      </c>
      <c r="G27" s="41" t="s">
        <v>21</v>
      </c>
      <c r="H27" s="40">
        <v>5</v>
      </c>
      <c r="I27" s="41" t="s">
        <v>43</v>
      </c>
      <c r="J27" s="42">
        <f>720000/5</f>
        <v>144000</v>
      </c>
      <c r="K27" s="38" t="s">
        <v>43</v>
      </c>
      <c r="L27" s="43"/>
      <c r="M27" s="43">
        <v>0.17</v>
      </c>
      <c r="N27" s="37"/>
      <c r="O27" s="41" t="s">
        <v>43</v>
      </c>
      <c r="P27" s="37">
        <f t="shared" si="3"/>
        <v>10</v>
      </c>
      <c r="Q27" s="41" t="s">
        <v>43</v>
      </c>
      <c r="R27" s="42">
        <f t="shared" si="4"/>
        <v>1195200</v>
      </c>
      <c r="S27" s="42">
        <f t="shared" si="2"/>
        <v>1076756.7567567567</v>
      </c>
    </row>
    <row r="28" spans="1:19" s="45" customFormat="1">
      <c r="A28" s="44" t="s">
        <v>44</v>
      </c>
      <c r="B28" s="45" t="s">
        <v>26</v>
      </c>
      <c r="C28" s="46">
        <v>10</v>
      </c>
      <c r="D28" s="47" t="s">
        <v>43</v>
      </c>
      <c r="E28" s="48"/>
      <c r="F28" s="49">
        <v>1</v>
      </c>
      <c r="G28" s="50" t="s">
        <v>21</v>
      </c>
      <c r="H28" s="49">
        <v>5</v>
      </c>
      <c r="I28" s="50" t="s">
        <v>43</v>
      </c>
      <c r="J28" s="51">
        <f>708000/5</f>
        <v>141600</v>
      </c>
      <c r="K28" s="47" t="s">
        <v>43</v>
      </c>
      <c r="L28" s="52"/>
      <c r="M28" s="52">
        <v>0.17</v>
      </c>
      <c r="N28" s="46"/>
      <c r="O28" s="50" t="s">
        <v>43</v>
      </c>
      <c r="P28" s="46">
        <f t="shared" si="3"/>
        <v>10</v>
      </c>
      <c r="Q28" s="50" t="s">
        <v>43</v>
      </c>
      <c r="R28" s="51">
        <f t="shared" si="4"/>
        <v>1175280</v>
      </c>
      <c r="S28" s="32">
        <f t="shared" si="2"/>
        <v>1058810.8108108107</v>
      </c>
    </row>
    <row r="29" spans="1:19" s="26" customFormat="1">
      <c r="A29" s="35" t="s">
        <v>45</v>
      </c>
      <c r="B29" s="36" t="s">
        <v>26</v>
      </c>
      <c r="C29" s="37">
        <v>21</v>
      </c>
      <c r="D29" s="38" t="s">
        <v>43</v>
      </c>
      <c r="E29" s="39"/>
      <c r="F29" s="40">
        <v>1</v>
      </c>
      <c r="G29" s="41" t="s">
        <v>21</v>
      </c>
      <c r="H29" s="40">
        <v>5</v>
      </c>
      <c r="I29" s="41" t="s">
        <v>43</v>
      </c>
      <c r="J29" s="42">
        <f>840000/5</f>
        <v>168000</v>
      </c>
      <c r="K29" s="38" t="s">
        <v>43</v>
      </c>
      <c r="L29" s="43"/>
      <c r="M29" s="43">
        <v>0.17</v>
      </c>
      <c r="N29" s="37"/>
      <c r="O29" s="41" t="s">
        <v>43</v>
      </c>
      <c r="P29" s="37">
        <f t="shared" si="3"/>
        <v>21</v>
      </c>
      <c r="Q29" s="41" t="s">
        <v>43</v>
      </c>
      <c r="R29" s="42">
        <f t="shared" si="4"/>
        <v>2928240</v>
      </c>
      <c r="S29" s="42">
        <f t="shared" si="2"/>
        <v>2638054.054054054</v>
      </c>
    </row>
    <row r="30" spans="1:19" s="26" customFormat="1">
      <c r="A30" s="35" t="s">
        <v>45</v>
      </c>
      <c r="B30" s="36" t="s">
        <v>26</v>
      </c>
      <c r="C30" s="37">
        <v>5</v>
      </c>
      <c r="D30" s="38" t="s">
        <v>43</v>
      </c>
      <c r="E30" s="39"/>
      <c r="F30" s="40">
        <v>1</v>
      </c>
      <c r="G30" s="41" t="s">
        <v>21</v>
      </c>
      <c r="H30" s="40">
        <v>5</v>
      </c>
      <c r="I30" s="41" t="s">
        <v>43</v>
      </c>
      <c r="J30" s="42">
        <f>915000/5</f>
        <v>183000</v>
      </c>
      <c r="K30" s="38" t="s">
        <v>43</v>
      </c>
      <c r="L30" s="43"/>
      <c r="M30" s="43">
        <v>0.17</v>
      </c>
      <c r="N30" s="37"/>
      <c r="O30" s="41" t="s">
        <v>43</v>
      </c>
      <c r="P30" s="37">
        <f t="shared" si="3"/>
        <v>5</v>
      </c>
      <c r="Q30" s="41" t="s">
        <v>43</v>
      </c>
      <c r="R30" s="42">
        <f t="shared" si="4"/>
        <v>759450</v>
      </c>
      <c r="S30" s="42">
        <f t="shared" si="2"/>
        <v>684189.18918918911</v>
      </c>
    </row>
    <row r="31" spans="1:19" s="45" customFormat="1">
      <c r="A31" s="53" t="s">
        <v>46</v>
      </c>
      <c r="B31" s="54" t="s">
        <v>26</v>
      </c>
      <c r="C31" s="55">
        <v>5</v>
      </c>
      <c r="D31" s="56" t="s">
        <v>43</v>
      </c>
      <c r="E31" s="57"/>
      <c r="F31" s="58">
        <v>1</v>
      </c>
      <c r="G31" s="59" t="s">
        <v>21</v>
      </c>
      <c r="H31" s="58">
        <v>5</v>
      </c>
      <c r="I31" s="59" t="s">
        <v>43</v>
      </c>
      <c r="J31" s="60">
        <f>810000/5</f>
        <v>162000</v>
      </c>
      <c r="K31" s="56" t="s">
        <v>43</v>
      </c>
      <c r="L31" s="61"/>
      <c r="M31" s="61">
        <v>0.17</v>
      </c>
      <c r="N31" s="55"/>
      <c r="O31" s="59" t="s">
        <v>43</v>
      </c>
      <c r="P31" s="55">
        <f t="shared" si="3"/>
        <v>5</v>
      </c>
      <c r="Q31" s="59" t="s">
        <v>43</v>
      </c>
      <c r="R31" s="60">
        <f t="shared" si="4"/>
        <v>672300</v>
      </c>
      <c r="S31" s="60">
        <f t="shared" si="2"/>
        <v>605675.67567567562</v>
      </c>
    </row>
    <row r="32" spans="1:19" s="45" customFormat="1">
      <c r="A32" s="53" t="s">
        <v>46</v>
      </c>
      <c r="B32" s="54" t="s">
        <v>26</v>
      </c>
      <c r="C32" s="55">
        <v>7</v>
      </c>
      <c r="D32" s="56" t="s">
        <v>20</v>
      </c>
      <c r="E32" s="57"/>
      <c r="F32" s="58">
        <v>5</v>
      </c>
      <c r="G32" s="59" t="s">
        <v>43</v>
      </c>
      <c r="H32" s="58">
        <v>12</v>
      </c>
      <c r="I32" s="59" t="s">
        <v>20</v>
      </c>
      <c r="J32" s="60">
        <f>810000/5/12</f>
        <v>13500</v>
      </c>
      <c r="K32" s="56" t="s">
        <v>20</v>
      </c>
      <c r="L32" s="61"/>
      <c r="M32" s="61">
        <v>0.17</v>
      </c>
      <c r="N32" s="55"/>
      <c r="O32" s="59" t="s">
        <v>20</v>
      </c>
      <c r="P32" s="55">
        <f t="shared" si="3"/>
        <v>7</v>
      </c>
      <c r="Q32" s="59" t="s">
        <v>20</v>
      </c>
      <c r="R32" s="60">
        <f t="shared" si="4"/>
        <v>78435</v>
      </c>
      <c r="S32" s="60">
        <f t="shared" si="2"/>
        <v>70662.16216216216</v>
      </c>
    </row>
    <row r="33" spans="1:19">
      <c r="S33" s="23"/>
    </row>
    <row r="34" spans="1:19" ht="15.75">
      <c r="A34" s="14" t="s">
        <v>47</v>
      </c>
      <c r="S34" s="23"/>
    </row>
    <row r="35" spans="1:19" s="17" customFormat="1">
      <c r="A35" s="16" t="s">
        <v>48</v>
      </c>
      <c r="B35" s="17" t="s">
        <v>49</v>
      </c>
      <c r="C35" s="18"/>
      <c r="D35" s="19" t="s">
        <v>20</v>
      </c>
      <c r="E35" s="20"/>
      <c r="F35" s="21">
        <v>2</v>
      </c>
      <c r="G35" s="22" t="s">
        <v>34</v>
      </c>
      <c r="H35" s="21">
        <v>20</v>
      </c>
      <c r="I35" s="22" t="s">
        <v>20</v>
      </c>
      <c r="J35" s="23">
        <v>64000</v>
      </c>
      <c r="K35" s="19" t="s">
        <v>20</v>
      </c>
      <c r="L35" s="24">
        <v>0.125</v>
      </c>
      <c r="M35" s="24">
        <v>0.05</v>
      </c>
      <c r="N35" s="18"/>
      <c r="O35" s="22" t="s">
        <v>20</v>
      </c>
      <c r="P35" s="18">
        <f t="shared" ref="P35:P59" si="5">(C35+(E35*F35*H35))-N35</f>
        <v>0</v>
      </c>
      <c r="Q35" s="22" t="s">
        <v>20</v>
      </c>
      <c r="R35" s="23">
        <f t="shared" ref="R35:R59" si="6">P35*(J35-(J35*L35)-((J35-(J35*L35))*M35))</f>
        <v>0</v>
      </c>
      <c r="S35" s="23">
        <f t="shared" si="2"/>
        <v>0</v>
      </c>
    </row>
    <row r="36" spans="1:19" s="45" customFormat="1">
      <c r="A36" s="44" t="s">
        <v>50</v>
      </c>
      <c r="B36" s="45" t="s">
        <v>49</v>
      </c>
      <c r="C36" s="46">
        <v>5</v>
      </c>
      <c r="D36" s="47" t="s">
        <v>20</v>
      </c>
      <c r="E36" s="48">
        <v>1</v>
      </c>
      <c r="F36" s="49">
        <v>6</v>
      </c>
      <c r="G36" s="50" t="s">
        <v>34</v>
      </c>
      <c r="H36" s="49">
        <v>20</v>
      </c>
      <c r="I36" s="50" t="s">
        <v>20</v>
      </c>
      <c r="J36" s="51">
        <v>47000</v>
      </c>
      <c r="K36" s="47" t="s">
        <v>20</v>
      </c>
      <c r="L36" s="52">
        <v>0.125</v>
      </c>
      <c r="M36" s="52">
        <v>0.05</v>
      </c>
      <c r="N36" s="46">
        <v>120</v>
      </c>
      <c r="O36" s="50" t="s">
        <v>20</v>
      </c>
      <c r="P36" s="46">
        <f t="shared" si="5"/>
        <v>5</v>
      </c>
      <c r="Q36" s="50" t="s">
        <v>20</v>
      </c>
      <c r="R36" s="51">
        <f t="shared" si="6"/>
        <v>195343.75</v>
      </c>
      <c r="S36" s="51">
        <f t="shared" si="2"/>
        <v>175985.36036036036</v>
      </c>
    </row>
    <row r="37" spans="1:19" s="17" customFormat="1">
      <c r="A37" s="16" t="s">
        <v>51</v>
      </c>
      <c r="B37" s="17" t="s">
        <v>49</v>
      </c>
      <c r="C37" s="18"/>
      <c r="D37" s="19" t="s">
        <v>20</v>
      </c>
      <c r="E37" s="20">
        <v>1</v>
      </c>
      <c r="F37" s="21">
        <v>6</v>
      </c>
      <c r="G37" s="22" t="s">
        <v>34</v>
      </c>
      <c r="H37" s="21">
        <v>20</v>
      </c>
      <c r="I37" s="22" t="s">
        <v>20</v>
      </c>
      <c r="J37" s="23">
        <v>47000</v>
      </c>
      <c r="K37" s="19" t="s">
        <v>20</v>
      </c>
      <c r="L37" s="24">
        <v>0.125</v>
      </c>
      <c r="M37" s="24">
        <v>0.05</v>
      </c>
      <c r="N37" s="18">
        <v>120</v>
      </c>
      <c r="O37" s="22" t="s">
        <v>20</v>
      </c>
      <c r="P37" s="18">
        <f t="shared" si="5"/>
        <v>0</v>
      </c>
      <c r="Q37" s="22" t="s">
        <v>20</v>
      </c>
      <c r="R37" s="23">
        <f t="shared" si="6"/>
        <v>0</v>
      </c>
      <c r="S37" s="23">
        <f t="shared" si="2"/>
        <v>0</v>
      </c>
    </row>
    <row r="38" spans="1:19" s="17" customFormat="1">
      <c r="A38" s="16" t="s">
        <v>52</v>
      </c>
      <c r="B38" s="17" t="s">
        <v>49</v>
      </c>
      <c r="C38" s="18"/>
      <c r="D38" s="19" t="s">
        <v>20</v>
      </c>
      <c r="E38" s="20"/>
      <c r="F38" s="21">
        <v>6</v>
      </c>
      <c r="G38" s="22" t="s">
        <v>34</v>
      </c>
      <c r="H38" s="21">
        <v>20</v>
      </c>
      <c r="I38" s="22" t="s">
        <v>20</v>
      </c>
      <c r="J38" s="23">
        <v>48000</v>
      </c>
      <c r="K38" s="19" t="s">
        <v>20</v>
      </c>
      <c r="L38" s="24">
        <v>0.125</v>
      </c>
      <c r="M38" s="24">
        <v>0.05</v>
      </c>
      <c r="N38" s="18"/>
      <c r="O38" s="22" t="s">
        <v>20</v>
      </c>
      <c r="P38" s="18">
        <f t="shared" si="5"/>
        <v>0</v>
      </c>
      <c r="Q38" s="22" t="s">
        <v>20</v>
      </c>
      <c r="R38" s="23">
        <f t="shared" si="6"/>
        <v>0</v>
      </c>
      <c r="S38" s="23">
        <f t="shared" si="2"/>
        <v>0</v>
      </c>
    </row>
    <row r="39" spans="1:19" s="17" customFormat="1">
      <c r="A39" s="16" t="s">
        <v>53</v>
      </c>
      <c r="B39" s="17" t="s">
        <v>49</v>
      </c>
      <c r="C39" s="18"/>
      <c r="D39" s="19" t="s">
        <v>20</v>
      </c>
      <c r="E39" s="20"/>
      <c r="F39" s="21">
        <v>4</v>
      </c>
      <c r="G39" s="22" t="s">
        <v>34</v>
      </c>
      <c r="H39" s="21">
        <v>20</v>
      </c>
      <c r="I39" s="22" t="s">
        <v>20</v>
      </c>
      <c r="J39" s="23">
        <v>47000</v>
      </c>
      <c r="K39" s="19" t="s">
        <v>20</v>
      </c>
      <c r="L39" s="24">
        <v>0.125</v>
      </c>
      <c r="M39" s="24">
        <v>0.1</v>
      </c>
      <c r="N39" s="18"/>
      <c r="O39" s="22" t="s">
        <v>20</v>
      </c>
      <c r="P39" s="18">
        <f t="shared" si="5"/>
        <v>0</v>
      </c>
      <c r="Q39" s="22" t="s">
        <v>20</v>
      </c>
      <c r="R39" s="23">
        <f t="shared" si="6"/>
        <v>0</v>
      </c>
      <c r="S39" s="23">
        <f t="shared" si="2"/>
        <v>0</v>
      </c>
    </row>
    <row r="40" spans="1:19" s="45" customFormat="1">
      <c r="A40" s="44" t="s">
        <v>54</v>
      </c>
      <c r="B40" s="45" t="s">
        <v>49</v>
      </c>
      <c r="C40" s="46">
        <v>2</v>
      </c>
      <c r="D40" s="47" t="s">
        <v>20</v>
      </c>
      <c r="E40" s="48"/>
      <c r="F40" s="49">
        <v>6</v>
      </c>
      <c r="G40" s="50" t="s">
        <v>34</v>
      </c>
      <c r="H40" s="49">
        <v>20</v>
      </c>
      <c r="I40" s="50" t="s">
        <v>20</v>
      </c>
      <c r="J40" s="51">
        <v>47000</v>
      </c>
      <c r="K40" s="47" t="s">
        <v>20</v>
      </c>
      <c r="L40" s="52">
        <v>0.125</v>
      </c>
      <c r="M40" s="52">
        <v>0.1</v>
      </c>
      <c r="N40" s="46"/>
      <c r="O40" s="50" t="s">
        <v>20</v>
      </c>
      <c r="P40" s="46">
        <f t="shared" si="5"/>
        <v>2</v>
      </c>
      <c r="Q40" s="50" t="s">
        <v>20</v>
      </c>
      <c r="R40" s="51">
        <f t="shared" si="6"/>
        <v>74025</v>
      </c>
      <c r="S40" s="32">
        <f t="shared" si="2"/>
        <v>66689.189189189186</v>
      </c>
    </row>
    <row r="41" spans="1:19" s="17" customFormat="1">
      <c r="A41" s="16" t="s">
        <v>55</v>
      </c>
      <c r="B41" s="17" t="s">
        <v>49</v>
      </c>
      <c r="C41" s="18"/>
      <c r="D41" s="19" t="s">
        <v>20</v>
      </c>
      <c r="E41" s="20"/>
      <c r="F41" s="21">
        <v>4</v>
      </c>
      <c r="G41" s="22" t="s">
        <v>34</v>
      </c>
      <c r="H41" s="21">
        <v>40</v>
      </c>
      <c r="I41" s="22" t="s">
        <v>20</v>
      </c>
      <c r="J41" s="23">
        <v>37000</v>
      </c>
      <c r="K41" s="19" t="s">
        <v>20</v>
      </c>
      <c r="L41" s="24">
        <v>0.125</v>
      </c>
      <c r="M41" s="24">
        <v>0.05</v>
      </c>
      <c r="N41" s="18"/>
      <c r="O41" s="22" t="s">
        <v>20</v>
      </c>
      <c r="P41" s="18">
        <f t="shared" si="5"/>
        <v>0</v>
      </c>
      <c r="Q41" s="22" t="s">
        <v>20</v>
      </c>
      <c r="R41" s="23">
        <f t="shared" si="6"/>
        <v>0</v>
      </c>
      <c r="S41" s="23">
        <f t="shared" si="2"/>
        <v>0</v>
      </c>
    </row>
    <row r="42" spans="1:19" s="26" customFormat="1">
      <c r="A42" s="25" t="s">
        <v>56</v>
      </c>
      <c r="B42" s="26" t="s">
        <v>49</v>
      </c>
      <c r="C42" s="27">
        <v>65</v>
      </c>
      <c r="D42" s="28" t="s">
        <v>20</v>
      </c>
      <c r="E42" s="29"/>
      <c r="F42" s="30">
        <v>4</v>
      </c>
      <c r="G42" s="31" t="s">
        <v>34</v>
      </c>
      <c r="H42" s="30">
        <v>20</v>
      </c>
      <c r="I42" s="31" t="s">
        <v>20</v>
      </c>
      <c r="J42" s="32">
        <v>49000</v>
      </c>
      <c r="K42" s="28" t="s">
        <v>20</v>
      </c>
      <c r="L42" s="33">
        <v>0.125</v>
      </c>
      <c r="M42" s="33">
        <v>0.1</v>
      </c>
      <c r="N42" s="27">
        <v>3</v>
      </c>
      <c r="O42" s="31" t="s">
        <v>20</v>
      </c>
      <c r="P42" s="27">
        <f t="shared" si="5"/>
        <v>62</v>
      </c>
      <c r="Q42" s="31" t="s">
        <v>20</v>
      </c>
      <c r="R42" s="32">
        <f t="shared" si="6"/>
        <v>2392425</v>
      </c>
      <c r="S42" s="32">
        <f t="shared" si="2"/>
        <v>2155337.8378378376</v>
      </c>
    </row>
    <row r="43" spans="1:19" s="26" customFormat="1">
      <c r="A43" s="25" t="s">
        <v>57</v>
      </c>
      <c r="B43" s="26" t="s">
        <v>49</v>
      </c>
      <c r="C43" s="27">
        <v>68</v>
      </c>
      <c r="D43" s="28" t="s">
        <v>20</v>
      </c>
      <c r="E43" s="29"/>
      <c r="F43" s="30">
        <v>4</v>
      </c>
      <c r="G43" s="31" t="s">
        <v>34</v>
      </c>
      <c r="H43" s="30">
        <v>20</v>
      </c>
      <c r="I43" s="31" t="s">
        <v>20</v>
      </c>
      <c r="J43" s="32">
        <v>66000</v>
      </c>
      <c r="K43" s="28" t="s">
        <v>20</v>
      </c>
      <c r="L43" s="33">
        <v>0.125</v>
      </c>
      <c r="M43" s="33">
        <v>0.1</v>
      </c>
      <c r="N43" s="27">
        <v>20</v>
      </c>
      <c r="O43" s="31" t="s">
        <v>20</v>
      </c>
      <c r="P43" s="27">
        <f t="shared" si="5"/>
        <v>48</v>
      </c>
      <c r="Q43" s="31" t="s">
        <v>20</v>
      </c>
      <c r="R43" s="32">
        <f t="shared" si="6"/>
        <v>2494800</v>
      </c>
      <c r="S43" s="32">
        <f t="shared" si="2"/>
        <v>2247567.5675675673</v>
      </c>
    </row>
    <row r="44" spans="1:19" s="17" customFormat="1">
      <c r="A44" s="16" t="s">
        <v>58</v>
      </c>
      <c r="B44" s="17" t="s">
        <v>49</v>
      </c>
      <c r="C44" s="18"/>
      <c r="D44" s="19" t="s">
        <v>20</v>
      </c>
      <c r="E44" s="20"/>
      <c r="F44" s="21">
        <v>6</v>
      </c>
      <c r="G44" s="22" t="s">
        <v>34</v>
      </c>
      <c r="H44" s="21">
        <v>10</v>
      </c>
      <c r="I44" s="22" t="s">
        <v>20</v>
      </c>
      <c r="J44" s="23">
        <v>73000</v>
      </c>
      <c r="K44" s="19" t="s">
        <v>20</v>
      </c>
      <c r="L44" s="24">
        <v>0.125</v>
      </c>
      <c r="M44" s="24">
        <v>0.05</v>
      </c>
      <c r="N44" s="18"/>
      <c r="O44" s="22" t="s">
        <v>20</v>
      </c>
      <c r="P44" s="18">
        <f t="shared" si="5"/>
        <v>0</v>
      </c>
      <c r="Q44" s="22" t="s">
        <v>20</v>
      </c>
      <c r="R44" s="23">
        <f t="shared" si="6"/>
        <v>0</v>
      </c>
      <c r="S44" s="23">
        <f t="shared" si="2"/>
        <v>0</v>
      </c>
    </row>
    <row r="45" spans="1:19" s="17" customFormat="1">
      <c r="A45" s="16" t="s">
        <v>59</v>
      </c>
      <c r="B45" s="17" t="s">
        <v>49</v>
      </c>
      <c r="C45" s="18"/>
      <c r="D45" s="19" t="s">
        <v>20</v>
      </c>
      <c r="E45" s="20"/>
      <c r="F45" s="21">
        <v>8</v>
      </c>
      <c r="G45" s="22" t="s">
        <v>34</v>
      </c>
      <c r="H45" s="21">
        <v>10</v>
      </c>
      <c r="I45" s="22" t="s">
        <v>20</v>
      </c>
      <c r="J45" s="23">
        <v>56000</v>
      </c>
      <c r="K45" s="19" t="s">
        <v>20</v>
      </c>
      <c r="L45" s="24">
        <v>0.125</v>
      </c>
      <c r="M45" s="24">
        <v>0.05</v>
      </c>
      <c r="N45" s="18"/>
      <c r="O45" s="22" t="s">
        <v>20</v>
      </c>
      <c r="P45" s="18">
        <f t="shared" si="5"/>
        <v>0</v>
      </c>
      <c r="Q45" s="22" t="s">
        <v>20</v>
      </c>
      <c r="R45" s="23">
        <f t="shared" si="6"/>
        <v>0</v>
      </c>
      <c r="S45" s="23">
        <f t="shared" si="2"/>
        <v>0</v>
      </c>
    </row>
    <row r="46" spans="1:19" s="17" customFormat="1">
      <c r="A46" s="16" t="s">
        <v>60</v>
      </c>
      <c r="B46" s="17" t="s">
        <v>49</v>
      </c>
      <c r="C46" s="18"/>
      <c r="D46" s="19" t="s">
        <v>20</v>
      </c>
      <c r="E46" s="20"/>
      <c r="F46" s="21">
        <v>6</v>
      </c>
      <c r="G46" s="22" t="s">
        <v>34</v>
      </c>
      <c r="H46" s="21">
        <v>20</v>
      </c>
      <c r="I46" s="22" t="s">
        <v>20</v>
      </c>
      <c r="J46" s="23">
        <v>45000</v>
      </c>
      <c r="K46" s="19" t="s">
        <v>20</v>
      </c>
      <c r="L46" s="24">
        <v>0.125</v>
      </c>
      <c r="M46" s="24">
        <v>0.05</v>
      </c>
      <c r="N46" s="18"/>
      <c r="O46" s="22" t="s">
        <v>20</v>
      </c>
      <c r="P46" s="18">
        <f t="shared" si="5"/>
        <v>0</v>
      </c>
      <c r="Q46" s="22" t="s">
        <v>20</v>
      </c>
      <c r="R46" s="23">
        <f t="shared" si="6"/>
        <v>0</v>
      </c>
      <c r="S46" s="23">
        <f t="shared" si="2"/>
        <v>0</v>
      </c>
    </row>
    <row r="47" spans="1:19" s="17" customFormat="1">
      <c r="A47" s="16" t="s">
        <v>61</v>
      </c>
      <c r="B47" s="17" t="s">
        <v>49</v>
      </c>
      <c r="C47" s="18"/>
      <c r="D47" s="19" t="s">
        <v>20</v>
      </c>
      <c r="E47" s="20"/>
      <c r="F47" s="21">
        <v>8</v>
      </c>
      <c r="G47" s="22" t="s">
        <v>34</v>
      </c>
      <c r="H47" s="21">
        <v>20</v>
      </c>
      <c r="I47" s="22" t="s">
        <v>20</v>
      </c>
      <c r="J47" s="23">
        <v>32000</v>
      </c>
      <c r="K47" s="19" t="s">
        <v>20</v>
      </c>
      <c r="L47" s="24">
        <v>0.125</v>
      </c>
      <c r="M47" s="24">
        <v>0.05</v>
      </c>
      <c r="N47" s="18"/>
      <c r="O47" s="22" t="s">
        <v>20</v>
      </c>
      <c r="P47" s="18">
        <f t="shared" si="5"/>
        <v>0</v>
      </c>
      <c r="Q47" s="22" t="s">
        <v>20</v>
      </c>
      <c r="R47" s="23">
        <f t="shared" si="6"/>
        <v>0</v>
      </c>
      <c r="S47" s="23">
        <f t="shared" si="2"/>
        <v>0</v>
      </c>
    </row>
    <row r="48" spans="1:19" s="17" customFormat="1">
      <c r="A48" s="16" t="s">
        <v>62</v>
      </c>
      <c r="B48" s="17" t="s">
        <v>49</v>
      </c>
      <c r="C48" s="18"/>
      <c r="D48" s="19" t="s">
        <v>20</v>
      </c>
      <c r="E48" s="20"/>
      <c r="F48" s="21">
        <v>8</v>
      </c>
      <c r="G48" s="22" t="s">
        <v>34</v>
      </c>
      <c r="H48" s="21">
        <v>20</v>
      </c>
      <c r="I48" s="22" t="s">
        <v>20</v>
      </c>
      <c r="J48" s="23">
        <v>27500</v>
      </c>
      <c r="K48" s="19" t="s">
        <v>20</v>
      </c>
      <c r="L48" s="24">
        <v>0.125</v>
      </c>
      <c r="M48" s="24">
        <v>0.05</v>
      </c>
      <c r="N48" s="18"/>
      <c r="O48" s="22" t="s">
        <v>20</v>
      </c>
      <c r="P48" s="18">
        <f t="shared" si="5"/>
        <v>0</v>
      </c>
      <c r="Q48" s="22" t="s">
        <v>20</v>
      </c>
      <c r="R48" s="23">
        <f t="shared" si="6"/>
        <v>0</v>
      </c>
      <c r="S48" s="23">
        <f t="shared" si="2"/>
        <v>0</v>
      </c>
    </row>
    <row r="49" spans="1:19" s="45" customFormat="1">
      <c r="A49" s="44" t="s">
        <v>63</v>
      </c>
      <c r="B49" s="45" t="s">
        <v>49</v>
      </c>
      <c r="C49" s="46">
        <v>4</v>
      </c>
      <c r="D49" s="47" t="s">
        <v>20</v>
      </c>
      <c r="E49" s="48">
        <v>1</v>
      </c>
      <c r="F49" s="49">
        <v>4</v>
      </c>
      <c r="G49" s="50" t="s">
        <v>34</v>
      </c>
      <c r="H49" s="49">
        <v>20</v>
      </c>
      <c r="I49" s="50" t="s">
        <v>20</v>
      </c>
      <c r="J49" s="51">
        <v>54000</v>
      </c>
      <c r="K49" s="47" t="s">
        <v>20</v>
      </c>
      <c r="L49" s="52">
        <v>0.125</v>
      </c>
      <c r="M49" s="52">
        <v>0.05</v>
      </c>
      <c r="N49" s="46">
        <f>20+10+3+20</f>
        <v>53</v>
      </c>
      <c r="O49" s="50" t="s">
        <v>20</v>
      </c>
      <c r="P49" s="46">
        <f t="shared" si="5"/>
        <v>31</v>
      </c>
      <c r="Q49" s="50" t="s">
        <v>20</v>
      </c>
      <c r="R49" s="51">
        <f t="shared" si="6"/>
        <v>1391512.5</v>
      </c>
      <c r="S49" s="51">
        <f t="shared" si="2"/>
        <v>1253614.8648648649</v>
      </c>
    </row>
    <row r="50" spans="1:19" s="45" customFormat="1">
      <c r="A50" s="44" t="s">
        <v>64</v>
      </c>
      <c r="B50" s="45" t="s">
        <v>49</v>
      </c>
      <c r="C50" s="46">
        <v>7</v>
      </c>
      <c r="D50" s="47" t="s">
        <v>20</v>
      </c>
      <c r="E50" s="48">
        <f>1+2</f>
        <v>3</v>
      </c>
      <c r="F50" s="49">
        <v>6</v>
      </c>
      <c r="G50" s="50" t="s">
        <v>34</v>
      </c>
      <c r="H50" s="49">
        <v>10</v>
      </c>
      <c r="I50" s="50" t="s">
        <v>20</v>
      </c>
      <c r="J50" s="51">
        <v>72000</v>
      </c>
      <c r="K50" s="47" t="s">
        <v>20</v>
      </c>
      <c r="L50" s="52">
        <v>0.125</v>
      </c>
      <c r="M50" s="52">
        <v>0.05</v>
      </c>
      <c r="N50" s="46">
        <f>120+20+3</f>
        <v>143</v>
      </c>
      <c r="O50" s="50" t="s">
        <v>20</v>
      </c>
      <c r="P50" s="46">
        <f>(C50+(E50*F50*H50))-N50</f>
        <v>44</v>
      </c>
      <c r="Q50" s="50" t="s">
        <v>20</v>
      </c>
      <c r="R50" s="51">
        <f>P50*(J50-(J50*L50)-((J50-(J50*L50))*M50))</f>
        <v>2633400</v>
      </c>
      <c r="S50" s="51">
        <f t="shared" si="2"/>
        <v>2372432.4324324322</v>
      </c>
    </row>
    <row r="51" spans="1:19" s="26" customFormat="1">
      <c r="A51" s="25" t="s">
        <v>65</v>
      </c>
      <c r="B51" s="26" t="s">
        <v>49</v>
      </c>
      <c r="C51" s="27"/>
      <c r="D51" s="28" t="s">
        <v>20</v>
      </c>
      <c r="E51" s="29">
        <v>1</v>
      </c>
      <c r="F51" s="30">
        <v>6</v>
      </c>
      <c r="G51" s="31" t="s">
        <v>34</v>
      </c>
      <c r="H51" s="30">
        <v>20</v>
      </c>
      <c r="I51" s="31" t="s">
        <v>20</v>
      </c>
      <c r="J51" s="32">
        <v>52000</v>
      </c>
      <c r="K51" s="28" t="s">
        <v>20</v>
      </c>
      <c r="L51" s="33">
        <v>0.125</v>
      </c>
      <c r="M51" s="33">
        <v>0.05</v>
      </c>
      <c r="N51" s="27">
        <f>20+3+20</f>
        <v>43</v>
      </c>
      <c r="O51" s="31" t="s">
        <v>20</v>
      </c>
      <c r="P51" s="27">
        <f t="shared" si="5"/>
        <v>77</v>
      </c>
      <c r="Q51" s="31" t="s">
        <v>20</v>
      </c>
      <c r="R51" s="32">
        <f t="shared" si="6"/>
        <v>3328325</v>
      </c>
      <c r="S51" s="32">
        <f t="shared" si="2"/>
        <v>2998490.9909909908</v>
      </c>
    </row>
    <row r="52" spans="1:19" s="45" customFormat="1">
      <c r="A52" s="44" t="s">
        <v>66</v>
      </c>
      <c r="B52" s="45" t="s">
        <v>49</v>
      </c>
      <c r="C52" s="46"/>
      <c r="D52" s="47" t="s">
        <v>20</v>
      </c>
      <c r="E52" s="48">
        <v>1</v>
      </c>
      <c r="F52" s="49">
        <v>6</v>
      </c>
      <c r="G52" s="50" t="s">
        <v>34</v>
      </c>
      <c r="H52" s="49">
        <v>20</v>
      </c>
      <c r="I52" s="50" t="s">
        <v>20</v>
      </c>
      <c r="J52" s="51">
        <v>37000</v>
      </c>
      <c r="K52" s="47" t="s">
        <v>20</v>
      </c>
      <c r="L52" s="52">
        <v>0.125</v>
      </c>
      <c r="M52" s="52">
        <v>0.05</v>
      </c>
      <c r="N52" s="46">
        <f>20+20</f>
        <v>40</v>
      </c>
      <c r="O52" s="50" t="s">
        <v>20</v>
      </c>
      <c r="P52" s="46">
        <f t="shared" si="5"/>
        <v>80</v>
      </c>
      <c r="Q52" s="50" t="s">
        <v>20</v>
      </c>
      <c r="R52" s="51">
        <f t="shared" si="6"/>
        <v>2460500</v>
      </c>
      <c r="S52" s="32">
        <f t="shared" si="2"/>
        <v>2216666.6666666665</v>
      </c>
    </row>
    <row r="53" spans="1:19" s="17" customFormat="1">
      <c r="A53" s="16" t="s">
        <v>67</v>
      </c>
      <c r="B53" s="17" t="s">
        <v>49</v>
      </c>
      <c r="C53" s="18"/>
      <c r="D53" s="19" t="s">
        <v>20</v>
      </c>
      <c r="E53" s="20"/>
      <c r="F53" s="21">
        <v>6</v>
      </c>
      <c r="G53" s="22" t="s">
        <v>34</v>
      </c>
      <c r="H53" s="21">
        <v>10</v>
      </c>
      <c r="I53" s="22" t="s">
        <v>20</v>
      </c>
      <c r="J53" s="23">
        <v>65000</v>
      </c>
      <c r="K53" s="19" t="s">
        <v>20</v>
      </c>
      <c r="L53" s="24">
        <v>0.125</v>
      </c>
      <c r="M53" s="24">
        <v>0.05</v>
      </c>
      <c r="N53" s="18"/>
      <c r="O53" s="22" t="s">
        <v>20</v>
      </c>
      <c r="P53" s="18">
        <f t="shared" si="5"/>
        <v>0</v>
      </c>
      <c r="Q53" s="22" t="s">
        <v>20</v>
      </c>
      <c r="R53" s="23">
        <f t="shared" si="6"/>
        <v>0</v>
      </c>
      <c r="S53" s="23">
        <f t="shared" si="2"/>
        <v>0</v>
      </c>
    </row>
    <row r="54" spans="1:19" s="26" customFormat="1">
      <c r="A54" s="25" t="s">
        <v>68</v>
      </c>
      <c r="B54" s="26" t="s">
        <v>49</v>
      </c>
      <c r="C54" s="27">
        <v>3</v>
      </c>
      <c r="D54" s="28" t="s">
        <v>20</v>
      </c>
      <c r="E54" s="29"/>
      <c r="F54" s="30">
        <v>6</v>
      </c>
      <c r="G54" s="31" t="s">
        <v>34</v>
      </c>
      <c r="H54" s="30">
        <v>10</v>
      </c>
      <c r="I54" s="31" t="s">
        <v>20</v>
      </c>
      <c r="J54" s="32">
        <v>68000</v>
      </c>
      <c r="K54" s="28" t="s">
        <v>20</v>
      </c>
      <c r="L54" s="33">
        <v>0.125</v>
      </c>
      <c r="M54" s="33">
        <v>0.1</v>
      </c>
      <c r="N54" s="27"/>
      <c r="O54" s="31" t="s">
        <v>20</v>
      </c>
      <c r="P54" s="27">
        <f t="shared" si="5"/>
        <v>3</v>
      </c>
      <c r="Q54" s="31" t="s">
        <v>20</v>
      </c>
      <c r="R54" s="32">
        <f t="shared" si="6"/>
        <v>160650</v>
      </c>
      <c r="S54" s="32">
        <f t="shared" si="2"/>
        <v>144729.7297297297</v>
      </c>
    </row>
    <row r="55" spans="1:19" s="45" customFormat="1">
      <c r="A55" s="44" t="s">
        <v>69</v>
      </c>
      <c r="B55" s="45" t="s">
        <v>49</v>
      </c>
      <c r="C55" s="46">
        <v>3</v>
      </c>
      <c r="D55" s="47" t="s">
        <v>20</v>
      </c>
      <c r="E55" s="48"/>
      <c r="F55" s="49">
        <v>6</v>
      </c>
      <c r="G55" s="50" t="s">
        <v>34</v>
      </c>
      <c r="H55" s="49">
        <v>10</v>
      </c>
      <c r="I55" s="50" t="s">
        <v>20</v>
      </c>
      <c r="J55" s="51">
        <v>75000</v>
      </c>
      <c r="K55" s="47" t="s">
        <v>20</v>
      </c>
      <c r="L55" s="52">
        <v>0.125</v>
      </c>
      <c r="M55" s="52">
        <v>0.05</v>
      </c>
      <c r="N55" s="46"/>
      <c r="O55" s="50" t="s">
        <v>20</v>
      </c>
      <c r="P55" s="46">
        <f>(C55+(E55*F55*H55))-N55</f>
        <v>3</v>
      </c>
      <c r="Q55" s="50" t="s">
        <v>20</v>
      </c>
      <c r="R55" s="51">
        <f>P55*(J55-(J55*L55)-((J55-(J55*L55))*M55))</f>
        <v>187031.25</v>
      </c>
      <c r="S55" s="32">
        <f t="shared" si="2"/>
        <v>168496.6216216216</v>
      </c>
    </row>
    <row r="56" spans="1:19" s="26" customFormat="1">
      <c r="A56" s="25" t="s">
        <v>70</v>
      </c>
      <c r="B56" s="26" t="s">
        <v>49</v>
      </c>
      <c r="C56" s="27">
        <v>14</v>
      </c>
      <c r="D56" s="28" t="s">
        <v>20</v>
      </c>
      <c r="E56" s="29"/>
      <c r="F56" s="30">
        <v>6</v>
      </c>
      <c r="G56" s="31" t="s">
        <v>34</v>
      </c>
      <c r="H56" s="30">
        <v>10</v>
      </c>
      <c r="I56" s="31" t="s">
        <v>20</v>
      </c>
      <c r="J56" s="32">
        <v>52000</v>
      </c>
      <c r="K56" s="28" t="s">
        <v>20</v>
      </c>
      <c r="L56" s="33">
        <v>0.125</v>
      </c>
      <c r="M56" s="33">
        <v>0.1</v>
      </c>
      <c r="N56" s="27">
        <v>3</v>
      </c>
      <c r="O56" s="31" t="s">
        <v>20</v>
      </c>
      <c r="P56" s="27">
        <f t="shared" si="5"/>
        <v>11</v>
      </c>
      <c r="Q56" s="31" t="s">
        <v>20</v>
      </c>
      <c r="R56" s="32">
        <f t="shared" si="6"/>
        <v>450450</v>
      </c>
      <c r="S56" s="32">
        <f t="shared" si="2"/>
        <v>405810.81081081077</v>
      </c>
    </row>
    <row r="57" spans="1:19" s="45" customFormat="1">
      <c r="A57" s="44" t="s">
        <v>71</v>
      </c>
      <c r="B57" s="45" t="s">
        <v>49</v>
      </c>
      <c r="C57" s="46"/>
      <c r="D57" s="47" t="s">
        <v>20</v>
      </c>
      <c r="E57" s="48">
        <v>1</v>
      </c>
      <c r="F57" s="49">
        <v>6</v>
      </c>
      <c r="G57" s="50" t="s">
        <v>34</v>
      </c>
      <c r="H57" s="49">
        <v>20</v>
      </c>
      <c r="I57" s="50" t="s">
        <v>20</v>
      </c>
      <c r="J57" s="51">
        <v>39000</v>
      </c>
      <c r="K57" s="47" t="s">
        <v>20</v>
      </c>
      <c r="L57" s="52">
        <v>0.125</v>
      </c>
      <c r="M57" s="52">
        <v>0.05</v>
      </c>
      <c r="N57" s="46">
        <f>20+10+3+20</f>
        <v>53</v>
      </c>
      <c r="O57" s="50" t="s">
        <v>20</v>
      </c>
      <c r="P57" s="46">
        <f>(C57+(E57*F57*H57))-N57</f>
        <v>67</v>
      </c>
      <c r="Q57" s="50" t="s">
        <v>20</v>
      </c>
      <c r="R57" s="51">
        <f>P57*(J57-(J57*L57)-((J57-(J57*L57))*M57))</f>
        <v>2172056.25</v>
      </c>
      <c r="S57" s="32">
        <f t="shared" si="2"/>
        <v>1956807.4324324322</v>
      </c>
    </row>
    <row r="58" spans="1:19" s="17" customFormat="1">
      <c r="A58" s="16" t="s">
        <v>72</v>
      </c>
      <c r="B58" s="17" t="s">
        <v>49</v>
      </c>
      <c r="C58" s="18"/>
      <c r="D58" s="19" t="s">
        <v>20</v>
      </c>
      <c r="E58" s="20"/>
      <c r="F58" s="21">
        <v>6</v>
      </c>
      <c r="G58" s="22" t="s">
        <v>34</v>
      </c>
      <c r="H58" s="21">
        <v>10</v>
      </c>
      <c r="I58" s="22" t="s">
        <v>20</v>
      </c>
      <c r="J58" s="23">
        <v>63000</v>
      </c>
      <c r="K58" s="19" t="s">
        <v>20</v>
      </c>
      <c r="L58" s="24">
        <v>0.125</v>
      </c>
      <c r="M58" s="24">
        <v>0.05</v>
      </c>
      <c r="N58" s="18"/>
      <c r="O58" s="22" t="s">
        <v>20</v>
      </c>
      <c r="P58" s="18">
        <f t="shared" si="5"/>
        <v>0</v>
      </c>
      <c r="Q58" s="22" t="s">
        <v>20</v>
      </c>
      <c r="R58" s="23">
        <f t="shared" si="6"/>
        <v>0</v>
      </c>
      <c r="S58" s="23">
        <f t="shared" si="2"/>
        <v>0</v>
      </c>
    </row>
    <row r="59" spans="1:19" s="45" customFormat="1">
      <c r="A59" s="44" t="s">
        <v>73</v>
      </c>
      <c r="B59" s="45" t="s">
        <v>49</v>
      </c>
      <c r="C59" s="46">
        <v>502</v>
      </c>
      <c r="D59" s="47" t="s">
        <v>20</v>
      </c>
      <c r="E59" s="48"/>
      <c r="F59" s="49">
        <v>4</v>
      </c>
      <c r="G59" s="50" t="s">
        <v>34</v>
      </c>
      <c r="H59" s="49">
        <v>40</v>
      </c>
      <c r="I59" s="50" t="s">
        <v>20</v>
      </c>
      <c r="J59" s="51">
        <v>26000</v>
      </c>
      <c r="K59" s="47" t="s">
        <v>20</v>
      </c>
      <c r="L59" s="52">
        <v>0.125</v>
      </c>
      <c r="M59" s="52">
        <v>0.1</v>
      </c>
      <c r="N59" s="46">
        <f>20+10+3</f>
        <v>33</v>
      </c>
      <c r="O59" s="50" t="s">
        <v>20</v>
      </c>
      <c r="P59" s="46">
        <f t="shared" si="5"/>
        <v>469</v>
      </c>
      <c r="Q59" s="50" t="s">
        <v>20</v>
      </c>
      <c r="R59" s="51">
        <f t="shared" si="6"/>
        <v>9602775</v>
      </c>
      <c r="S59" s="32">
        <f t="shared" si="2"/>
        <v>8651148.6486486476</v>
      </c>
    </row>
    <row r="60" spans="1:19">
      <c r="S60" s="23"/>
    </row>
    <row r="61" spans="1:19" ht="15.75">
      <c r="A61" s="14" t="s">
        <v>74</v>
      </c>
      <c r="S61" s="23">
        <f t="shared" si="2"/>
        <v>0</v>
      </c>
    </row>
    <row r="62" spans="1:19" s="17" customFormat="1">
      <c r="A62" s="16" t="s">
        <v>75</v>
      </c>
      <c r="B62" s="17" t="s">
        <v>19</v>
      </c>
      <c r="C62" s="18"/>
      <c r="D62" s="19" t="s">
        <v>20</v>
      </c>
      <c r="E62" s="20"/>
      <c r="F62" s="21">
        <v>1</v>
      </c>
      <c r="G62" s="22" t="s">
        <v>21</v>
      </c>
      <c r="H62" s="21">
        <v>6</v>
      </c>
      <c r="I62" s="22" t="s">
        <v>20</v>
      </c>
      <c r="J62" s="23">
        <v>390000</v>
      </c>
      <c r="K62" s="19" t="s">
        <v>20</v>
      </c>
      <c r="L62" s="24">
        <v>0.125</v>
      </c>
      <c r="M62" s="24">
        <v>0.05</v>
      </c>
      <c r="N62" s="18"/>
      <c r="O62" s="22" t="s">
        <v>20</v>
      </c>
      <c r="P62" s="18">
        <f>(C62+(E62*F62*H62))-N62</f>
        <v>0</v>
      </c>
      <c r="Q62" s="22" t="s">
        <v>20</v>
      </c>
      <c r="R62" s="23">
        <f>P62*(J62-(J62*L62)-((J62-(J62*L62))*M62))</f>
        <v>0</v>
      </c>
      <c r="S62" s="23">
        <f t="shared" si="2"/>
        <v>0</v>
      </c>
    </row>
    <row r="63" spans="1:19" s="17" customFormat="1">
      <c r="A63" s="16" t="s">
        <v>76</v>
      </c>
      <c r="B63" s="17" t="s">
        <v>19</v>
      </c>
      <c r="C63" s="18"/>
      <c r="D63" s="19" t="s">
        <v>20</v>
      </c>
      <c r="E63" s="20"/>
      <c r="F63" s="21">
        <v>1</v>
      </c>
      <c r="G63" s="22" t="s">
        <v>21</v>
      </c>
      <c r="H63" s="21">
        <v>6</v>
      </c>
      <c r="I63" s="22" t="s">
        <v>20</v>
      </c>
      <c r="J63" s="23">
        <v>500000</v>
      </c>
      <c r="K63" s="19" t="s">
        <v>20</v>
      </c>
      <c r="L63" s="24">
        <v>0.125</v>
      </c>
      <c r="M63" s="24">
        <v>0.05</v>
      </c>
      <c r="N63" s="18"/>
      <c r="O63" s="22" t="s">
        <v>20</v>
      </c>
      <c r="P63" s="18">
        <f>(C63+(E63*F63*H63))-N63</f>
        <v>0</v>
      </c>
      <c r="Q63" s="22" t="s">
        <v>20</v>
      </c>
      <c r="R63" s="23">
        <f>P63*(J63-(J63*L63)-((J63-(J63*L63))*M63))</f>
        <v>0</v>
      </c>
      <c r="S63" s="23">
        <f t="shared" si="2"/>
        <v>0</v>
      </c>
    </row>
    <row r="64" spans="1:19">
      <c r="S64" s="23"/>
    </row>
    <row r="65" spans="1:19" ht="15.75">
      <c r="A65" s="14" t="s">
        <v>77</v>
      </c>
      <c r="S65" s="23"/>
    </row>
    <row r="66" spans="1:19">
      <c r="A66" s="15" t="s">
        <v>78</v>
      </c>
      <c r="S66" s="23"/>
    </row>
    <row r="67" spans="1:19" s="63" customFormat="1">
      <c r="A67" s="62" t="s">
        <v>79</v>
      </c>
      <c r="B67" s="63" t="s">
        <v>19</v>
      </c>
      <c r="C67" s="64"/>
      <c r="D67" s="65" t="s">
        <v>80</v>
      </c>
      <c r="E67" s="66"/>
      <c r="F67" s="67">
        <v>1</v>
      </c>
      <c r="G67" s="68" t="s">
        <v>21</v>
      </c>
      <c r="H67" s="67">
        <v>48</v>
      </c>
      <c r="I67" s="68" t="s">
        <v>80</v>
      </c>
      <c r="J67" s="69">
        <v>14500</v>
      </c>
      <c r="K67" s="65" t="s">
        <v>80</v>
      </c>
      <c r="L67" s="70">
        <v>0.125</v>
      </c>
      <c r="M67" s="70">
        <v>0.05</v>
      </c>
      <c r="N67" s="64"/>
      <c r="O67" s="68" t="s">
        <v>80</v>
      </c>
      <c r="P67" s="64">
        <f t="shared" ref="P67:P88" si="7">(C67+(E67*F67*H67))-N67</f>
        <v>0</v>
      </c>
      <c r="Q67" s="68" t="s">
        <v>80</v>
      </c>
      <c r="R67" s="69">
        <f t="shared" ref="R67:R88" si="8">P67*(J67-(J67*L67)-((J67-(J67*L67))*M67))</f>
        <v>0</v>
      </c>
      <c r="S67" s="23">
        <f t="shared" si="2"/>
        <v>0</v>
      </c>
    </row>
    <row r="68" spans="1:19" s="63" customFormat="1">
      <c r="A68" s="62" t="s">
        <v>81</v>
      </c>
      <c r="B68" s="63" t="s">
        <v>19</v>
      </c>
      <c r="C68" s="64"/>
      <c r="D68" s="65" t="s">
        <v>80</v>
      </c>
      <c r="E68" s="66"/>
      <c r="F68" s="67">
        <v>1</v>
      </c>
      <c r="G68" s="68" t="s">
        <v>21</v>
      </c>
      <c r="H68" s="67">
        <v>96</v>
      </c>
      <c r="I68" s="68" t="s">
        <v>80</v>
      </c>
      <c r="J68" s="69">
        <v>12000</v>
      </c>
      <c r="K68" s="65" t="s">
        <v>80</v>
      </c>
      <c r="L68" s="70">
        <v>0.125</v>
      </c>
      <c r="M68" s="70">
        <v>0.05</v>
      </c>
      <c r="N68" s="64"/>
      <c r="O68" s="68" t="s">
        <v>80</v>
      </c>
      <c r="P68" s="64">
        <f t="shared" si="7"/>
        <v>0</v>
      </c>
      <c r="Q68" s="68" t="s">
        <v>80</v>
      </c>
      <c r="R68" s="69">
        <f t="shared" si="8"/>
        <v>0</v>
      </c>
      <c r="S68" s="23">
        <f t="shared" si="2"/>
        <v>0</v>
      </c>
    </row>
    <row r="69" spans="1:19" s="63" customFormat="1">
      <c r="A69" s="62" t="s">
        <v>82</v>
      </c>
      <c r="B69" s="63" t="s">
        <v>19</v>
      </c>
      <c r="C69" s="64"/>
      <c r="D69" s="65" t="s">
        <v>80</v>
      </c>
      <c r="E69" s="66"/>
      <c r="F69" s="67">
        <v>1</v>
      </c>
      <c r="G69" s="68" t="s">
        <v>21</v>
      </c>
      <c r="H69" s="67">
        <v>48</v>
      </c>
      <c r="I69" s="68" t="s">
        <v>80</v>
      </c>
      <c r="J69" s="69">
        <v>19500</v>
      </c>
      <c r="K69" s="65" t="s">
        <v>80</v>
      </c>
      <c r="L69" s="70">
        <v>0.125</v>
      </c>
      <c r="M69" s="70">
        <v>0.05</v>
      </c>
      <c r="N69" s="64"/>
      <c r="O69" s="68" t="s">
        <v>80</v>
      </c>
      <c r="P69" s="64">
        <f t="shared" si="7"/>
        <v>0</v>
      </c>
      <c r="Q69" s="68" t="s">
        <v>80</v>
      </c>
      <c r="R69" s="69">
        <f t="shared" si="8"/>
        <v>0</v>
      </c>
      <c r="S69" s="23">
        <f t="shared" si="2"/>
        <v>0</v>
      </c>
    </row>
    <row r="70" spans="1:19" s="63" customFormat="1">
      <c r="A70" s="62" t="s">
        <v>83</v>
      </c>
      <c r="B70" s="63" t="s">
        <v>19</v>
      </c>
      <c r="C70" s="64"/>
      <c r="D70" s="65" t="s">
        <v>80</v>
      </c>
      <c r="E70" s="66"/>
      <c r="F70" s="67">
        <v>1</v>
      </c>
      <c r="G70" s="68" t="s">
        <v>21</v>
      </c>
      <c r="H70" s="67">
        <v>48</v>
      </c>
      <c r="I70" s="68" t="s">
        <v>80</v>
      </c>
      <c r="J70" s="69">
        <v>14800</v>
      </c>
      <c r="K70" s="65" t="s">
        <v>80</v>
      </c>
      <c r="L70" s="70">
        <v>0.125</v>
      </c>
      <c r="M70" s="70">
        <v>0.05</v>
      </c>
      <c r="N70" s="64"/>
      <c r="O70" s="68" t="s">
        <v>80</v>
      </c>
      <c r="P70" s="64">
        <f t="shared" si="7"/>
        <v>0</v>
      </c>
      <c r="Q70" s="68" t="s">
        <v>80</v>
      </c>
      <c r="R70" s="69">
        <f t="shared" si="8"/>
        <v>0</v>
      </c>
      <c r="S70" s="23">
        <f t="shared" si="2"/>
        <v>0</v>
      </c>
    </row>
    <row r="71" spans="1:19" s="63" customFormat="1">
      <c r="A71" s="71" t="s">
        <v>84</v>
      </c>
      <c r="B71" s="63" t="s">
        <v>19</v>
      </c>
      <c r="C71" s="64"/>
      <c r="D71" s="65" t="s">
        <v>80</v>
      </c>
      <c r="E71" s="66"/>
      <c r="F71" s="67">
        <v>1</v>
      </c>
      <c r="G71" s="68" t="s">
        <v>21</v>
      </c>
      <c r="H71" s="67">
        <v>24</v>
      </c>
      <c r="I71" s="68" t="s">
        <v>80</v>
      </c>
      <c r="J71" s="69">
        <v>25200</v>
      </c>
      <c r="K71" s="65" t="s">
        <v>80</v>
      </c>
      <c r="L71" s="70">
        <v>0.125</v>
      </c>
      <c r="M71" s="70">
        <v>0.05</v>
      </c>
      <c r="N71" s="64"/>
      <c r="O71" s="68" t="s">
        <v>80</v>
      </c>
      <c r="P71" s="64">
        <f t="shared" si="7"/>
        <v>0</v>
      </c>
      <c r="Q71" s="68" t="s">
        <v>80</v>
      </c>
      <c r="R71" s="69">
        <f t="shared" si="8"/>
        <v>0</v>
      </c>
      <c r="S71" s="23">
        <f t="shared" si="2"/>
        <v>0</v>
      </c>
    </row>
    <row r="72" spans="1:19" s="63" customFormat="1">
      <c r="A72" s="71" t="s">
        <v>85</v>
      </c>
      <c r="B72" s="63" t="s">
        <v>19</v>
      </c>
      <c r="C72" s="64"/>
      <c r="D72" s="65" t="s">
        <v>80</v>
      </c>
      <c r="E72" s="66"/>
      <c r="F72" s="67">
        <v>1</v>
      </c>
      <c r="G72" s="68" t="s">
        <v>21</v>
      </c>
      <c r="H72" s="67">
        <v>24</v>
      </c>
      <c r="I72" s="68" t="s">
        <v>80</v>
      </c>
      <c r="J72" s="69">
        <v>20200</v>
      </c>
      <c r="K72" s="65" t="s">
        <v>80</v>
      </c>
      <c r="L72" s="70">
        <v>0.125</v>
      </c>
      <c r="M72" s="70">
        <v>0.05</v>
      </c>
      <c r="N72" s="64"/>
      <c r="O72" s="68" t="s">
        <v>80</v>
      </c>
      <c r="P72" s="64">
        <f t="shared" si="7"/>
        <v>0</v>
      </c>
      <c r="Q72" s="68" t="s">
        <v>80</v>
      </c>
      <c r="R72" s="69">
        <f t="shared" si="8"/>
        <v>0</v>
      </c>
      <c r="S72" s="23">
        <f t="shared" si="2"/>
        <v>0</v>
      </c>
    </row>
    <row r="73" spans="1:19" s="63" customFormat="1">
      <c r="A73" s="62" t="s">
        <v>86</v>
      </c>
      <c r="B73" s="63" t="s">
        <v>19</v>
      </c>
      <c r="C73" s="64"/>
      <c r="D73" s="65" t="s">
        <v>80</v>
      </c>
      <c r="E73" s="66"/>
      <c r="F73" s="67">
        <v>1</v>
      </c>
      <c r="G73" s="68" t="s">
        <v>21</v>
      </c>
      <c r="H73" s="67">
        <v>96</v>
      </c>
      <c r="I73" s="68" t="s">
        <v>80</v>
      </c>
      <c r="J73" s="69">
        <v>33000</v>
      </c>
      <c r="K73" s="65" t="s">
        <v>80</v>
      </c>
      <c r="L73" s="70">
        <v>0.125</v>
      </c>
      <c r="M73" s="70">
        <v>0.05</v>
      </c>
      <c r="N73" s="64"/>
      <c r="O73" s="68" t="s">
        <v>80</v>
      </c>
      <c r="P73" s="64">
        <f t="shared" si="7"/>
        <v>0</v>
      </c>
      <c r="Q73" s="68" t="s">
        <v>80</v>
      </c>
      <c r="R73" s="69">
        <f t="shared" si="8"/>
        <v>0</v>
      </c>
      <c r="S73" s="23">
        <f t="shared" ref="S73:S137" si="9">R73/1.11</f>
        <v>0</v>
      </c>
    </row>
    <row r="74" spans="1:19" s="45" customFormat="1">
      <c r="A74" s="44" t="s">
        <v>87</v>
      </c>
      <c r="B74" s="45" t="s">
        <v>19</v>
      </c>
      <c r="C74" s="46">
        <v>165</v>
      </c>
      <c r="D74" s="47" t="s">
        <v>88</v>
      </c>
      <c r="E74" s="48"/>
      <c r="F74" s="49">
        <v>1</v>
      </c>
      <c r="G74" s="50" t="s">
        <v>21</v>
      </c>
      <c r="H74" s="49">
        <v>60</v>
      </c>
      <c r="I74" s="50" t="s">
        <v>88</v>
      </c>
      <c r="J74" s="51">
        <v>27600</v>
      </c>
      <c r="K74" s="47" t="s">
        <v>88</v>
      </c>
      <c r="L74" s="52">
        <v>0.125</v>
      </c>
      <c r="M74" s="52">
        <v>0.05</v>
      </c>
      <c r="N74" s="46">
        <f>3+60</f>
        <v>63</v>
      </c>
      <c r="O74" s="50" t="s">
        <v>88</v>
      </c>
      <c r="P74" s="46">
        <f t="shared" si="7"/>
        <v>102</v>
      </c>
      <c r="Q74" s="50" t="s">
        <v>88</v>
      </c>
      <c r="R74" s="51">
        <f t="shared" si="8"/>
        <v>2340135</v>
      </c>
      <c r="S74" s="32">
        <f t="shared" si="9"/>
        <v>2108229.7297297297</v>
      </c>
    </row>
    <row r="75" spans="1:19" s="63" customFormat="1">
      <c r="A75" s="72" t="s">
        <v>89</v>
      </c>
      <c r="B75" s="63" t="s">
        <v>19</v>
      </c>
      <c r="C75" s="64"/>
      <c r="D75" s="65" t="s">
        <v>88</v>
      </c>
      <c r="E75" s="66"/>
      <c r="F75" s="67">
        <v>1</v>
      </c>
      <c r="G75" s="68" t="s">
        <v>21</v>
      </c>
      <c r="H75" s="67">
        <v>50</v>
      </c>
      <c r="I75" s="68" t="s">
        <v>88</v>
      </c>
      <c r="J75" s="69">
        <v>30900</v>
      </c>
      <c r="K75" s="65" t="s">
        <v>88</v>
      </c>
      <c r="L75" s="70">
        <v>0.125</v>
      </c>
      <c r="M75" s="70">
        <v>0.05</v>
      </c>
      <c r="N75" s="64"/>
      <c r="O75" s="68" t="s">
        <v>88</v>
      </c>
      <c r="P75" s="64">
        <f t="shared" si="7"/>
        <v>0</v>
      </c>
      <c r="Q75" s="68" t="s">
        <v>88</v>
      </c>
      <c r="R75" s="69">
        <f t="shared" si="8"/>
        <v>0</v>
      </c>
      <c r="S75" s="23">
        <f t="shared" si="9"/>
        <v>0</v>
      </c>
    </row>
    <row r="76" spans="1:19" s="45" customFormat="1">
      <c r="A76" s="44" t="s">
        <v>90</v>
      </c>
      <c r="B76" s="45" t="s">
        <v>19</v>
      </c>
      <c r="C76" s="46">
        <v>92</v>
      </c>
      <c r="D76" s="47" t="s">
        <v>88</v>
      </c>
      <c r="E76" s="48"/>
      <c r="F76" s="49">
        <v>1</v>
      </c>
      <c r="G76" s="50" t="s">
        <v>21</v>
      </c>
      <c r="H76" s="49">
        <v>30</v>
      </c>
      <c r="I76" s="50" t="s">
        <v>88</v>
      </c>
      <c r="J76" s="51">
        <v>48000</v>
      </c>
      <c r="K76" s="47" t="s">
        <v>88</v>
      </c>
      <c r="L76" s="52">
        <v>0.125</v>
      </c>
      <c r="M76" s="52">
        <v>0.05</v>
      </c>
      <c r="N76" s="46">
        <v>1</v>
      </c>
      <c r="O76" s="50" t="s">
        <v>88</v>
      </c>
      <c r="P76" s="46">
        <f t="shared" si="7"/>
        <v>91</v>
      </c>
      <c r="Q76" s="50" t="s">
        <v>88</v>
      </c>
      <c r="R76" s="51">
        <f t="shared" si="8"/>
        <v>3630900</v>
      </c>
      <c r="S76" s="32">
        <f t="shared" si="9"/>
        <v>3271081.0810810807</v>
      </c>
    </row>
    <row r="77" spans="1:19" s="63" customFormat="1">
      <c r="A77" s="72" t="s">
        <v>91</v>
      </c>
      <c r="B77" s="63" t="s">
        <v>19</v>
      </c>
      <c r="C77" s="64"/>
      <c r="D77" s="65" t="s">
        <v>88</v>
      </c>
      <c r="E77" s="66"/>
      <c r="F77" s="67">
        <v>1</v>
      </c>
      <c r="G77" s="68" t="s">
        <v>21</v>
      </c>
      <c r="H77" s="67">
        <v>20</v>
      </c>
      <c r="I77" s="68" t="s">
        <v>88</v>
      </c>
      <c r="J77" s="69">
        <v>66900</v>
      </c>
      <c r="K77" s="65" t="s">
        <v>88</v>
      </c>
      <c r="L77" s="70">
        <v>0.125</v>
      </c>
      <c r="M77" s="70">
        <v>0.05</v>
      </c>
      <c r="N77" s="64"/>
      <c r="O77" s="68" t="s">
        <v>88</v>
      </c>
      <c r="P77" s="64">
        <f t="shared" si="7"/>
        <v>0</v>
      </c>
      <c r="Q77" s="68" t="s">
        <v>88</v>
      </c>
      <c r="R77" s="69">
        <f t="shared" si="8"/>
        <v>0</v>
      </c>
      <c r="S77" s="23">
        <f t="shared" si="9"/>
        <v>0</v>
      </c>
    </row>
    <row r="78" spans="1:19" s="45" customFormat="1">
      <c r="A78" s="44" t="s">
        <v>92</v>
      </c>
      <c r="B78" s="45" t="s">
        <v>19</v>
      </c>
      <c r="C78" s="46">
        <v>39</v>
      </c>
      <c r="D78" s="47" t="s">
        <v>88</v>
      </c>
      <c r="E78" s="48"/>
      <c r="F78" s="49">
        <v>1</v>
      </c>
      <c r="G78" s="50" t="s">
        <v>21</v>
      </c>
      <c r="H78" s="49">
        <v>10</v>
      </c>
      <c r="I78" s="50" t="s">
        <v>88</v>
      </c>
      <c r="J78" s="51">
        <v>113700</v>
      </c>
      <c r="K78" s="47" t="s">
        <v>88</v>
      </c>
      <c r="L78" s="52">
        <v>0.125</v>
      </c>
      <c r="M78" s="52">
        <v>0.05</v>
      </c>
      <c r="N78" s="46">
        <f>1+10</f>
        <v>11</v>
      </c>
      <c r="O78" s="50" t="s">
        <v>88</v>
      </c>
      <c r="P78" s="46">
        <f t="shared" si="7"/>
        <v>28</v>
      </c>
      <c r="Q78" s="50" t="s">
        <v>88</v>
      </c>
      <c r="R78" s="51">
        <f t="shared" si="8"/>
        <v>2646367.5</v>
      </c>
      <c r="S78" s="32">
        <f t="shared" si="9"/>
        <v>2384114.8648648649</v>
      </c>
    </row>
    <row r="79" spans="1:19" s="63" customFormat="1">
      <c r="A79" s="73" t="s">
        <v>93</v>
      </c>
      <c r="B79" s="74" t="s">
        <v>19</v>
      </c>
      <c r="C79" s="75"/>
      <c r="D79" s="76" t="s">
        <v>88</v>
      </c>
      <c r="E79" s="77">
        <v>1</v>
      </c>
      <c r="F79" s="78">
        <v>1</v>
      </c>
      <c r="G79" s="79" t="s">
        <v>21</v>
      </c>
      <c r="H79" s="78">
        <v>5</v>
      </c>
      <c r="I79" s="79" t="s">
        <v>88</v>
      </c>
      <c r="J79" s="80">
        <v>174000</v>
      </c>
      <c r="K79" s="76" t="s">
        <v>88</v>
      </c>
      <c r="L79" s="81">
        <v>0.125</v>
      </c>
      <c r="M79" s="81">
        <v>0.05</v>
      </c>
      <c r="N79" s="75">
        <v>5</v>
      </c>
      <c r="O79" s="79" t="s">
        <v>88</v>
      </c>
      <c r="P79" s="75">
        <f t="shared" si="7"/>
        <v>0</v>
      </c>
      <c r="Q79" s="79" t="s">
        <v>88</v>
      </c>
      <c r="R79" s="80">
        <f t="shared" si="8"/>
        <v>0</v>
      </c>
      <c r="S79" s="80">
        <f t="shared" si="9"/>
        <v>0</v>
      </c>
    </row>
    <row r="80" spans="1:19" s="45" customFormat="1">
      <c r="A80" s="53" t="s">
        <v>93</v>
      </c>
      <c r="B80" s="54" t="s">
        <v>19</v>
      </c>
      <c r="C80" s="55"/>
      <c r="D80" s="56" t="s">
        <v>43</v>
      </c>
      <c r="E80" s="57">
        <v>1</v>
      </c>
      <c r="F80" s="58">
        <v>5</v>
      </c>
      <c r="G80" s="59" t="s">
        <v>88</v>
      </c>
      <c r="H80" s="58">
        <v>12</v>
      </c>
      <c r="I80" s="59" t="s">
        <v>43</v>
      </c>
      <c r="J80" s="60">
        <f>174000/12</f>
        <v>14500</v>
      </c>
      <c r="K80" s="56" t="s">
        <v>43</v>
      </c>
      <c r="L80" s="61">
        <v>0.125</v>
      </c>
      <c r="M80" s="61">
        <v>0.05</v>
      </c>
      <c r="N80" s="55">
        <f>35+12</f>
        <v>47</v>
      </c>
      <c r="O80" s="59" t="s">
        <v>43</v>
      </c>
      <c r="P80" s="55">
        <f t="shared" si="7"/>
        <v>13</v>
      </c>
      <c r="Q80" s="59" t="s">
        <v>43</v>
      </c>
      <c r="R80" s="60">
        <f t="shared" si="8"/>
        <v>156690.625</v>
      </c>
      <c r="S80" s="60">
        <f t="shared" si="9"/>
        <v>141162.72522522521</v>
      </c>
    </row>
    <row r="81" spans="1:19" s="63" customFormat="1">
      <c r="A81" s="72" t="s">
        <v>94</v>
      </c>
      <c r="B81" s="63" t="s">
        <v>19</v>
      </c>
      <c r="C81" s="64"/>
      <c r="D81" s="65" t="s">
        <v>43</v>
      </c>
      <c r="E81" s="66"/>
      <c r="F81" s="67">
        <v>3</v>
      </c>
      <c r="G81" s="68" t="s">
        <v>88</v>
      </c>
      <c r="H81" s="67">
        <v>12</v>
      </c>
      <c r="I81" s="68" t="s">
        <v>43</v>
      </c>
      <c r="J81" s="69">
        <f>507600/12</f>
        <v>42300</v>
      </c>
      <c r="K81" s="65" t="s">
        <v>43</v>
      </c>
      <c r="L81" s="70">
        <v>0.125</v>
      </c>
      <c r="M81" s="70">
        <v>0.05</v>
      </c>
      <c r="N81" s="64"/>
      <c r="O81" s="68" t="s">
        <v>43</v>
      </c>
      <c r="P81" s="64">
        <f t="shared" si="7"/>
        <v>0</v>
      </c>
      <c r="Q81" s="68" t="s">
        <v>43</v>
      </c>
      <c r="R81" s="69">
        <f t="shared" si="8"/>
        <v>0</v>
      </c>
      <c r="S81" s="23">
        <f t="shared" si="9"/>
        <v>0</v>
      </c>
    </row>
    <row r="82" spans="1:19" s="17" customFormat="1">
      <c r="A82" s="16" t="s">
        <v>95</v>
      </c>
      <c r="B82" s="17" t="s">
        <v>26</v>
      </c>
      <c r="C82" s="18"/>
      <c r="D82" s="19" t="s">
        <v>88</v>
      </c>
      <c r="E82" s="20">
        <v>1</v>
      </c>
      <c r="F82" s="21">
        <v>1</v>
      </c>
      <c r="G82" s="22" t="s">
        <v>21</v>
      </c>
      <c r="H82" s="21">
        <v>50</v>
      </c>
      <c r="I82" s="22" t="s">
        <v>88</v>
      </c>
      <c r="J82" s="23">
        <f>1440000/50</f>
        <v>28800</v>
      </c>
      <c r="K82" s="19" t="s">
        <v>88</v>
      </c>
      <c r="L82" s="24"/>
      <c r="M82" s="24">
        <v>0.17</v>
      </c>
      <c r="N82" s="18">
        <v>50</v>
      </c>
      <c r="O82" s="22" t="s">
        <v>88</v>
      </c>
      <c r="P82" s="18">
        <f t="shared" si="7"/>
        <v>0</v>
      </c>
      <c r="Q82" s="22" t="s">
        <v>88</v>
      </c>
      <c r="R82" s="23">
        <f t="shared" si="8"/>
        <v>0</v>
      </c>
      <c r="S82" s="23">
        <f t="shared" si="9"/>
        <v>0</v>
      </c>
    </row>
    <row r="83" spans="1:19" s="26" customFormat="1">
      <c r="A83" s="25" t="s">
        <v>96</v>
      </c>
      <c r="B83" s="26" t="s">
        <v>26</v>
      </c>
      <c r="C83" s="27">
        <v>88</v>
      </c>
      <c r="D83" s="28" t="s">
        <v>88</v>
      </c>
      <c r="E83" s="29"/>
      <c r="F83" s="30">
        <v>1</v>
      </c>
      <c r="G83" s="31" t="s">
        <v>21</v>
      </c>
      <c r="H83" s="30">
        <v>50</v>
      </c>
      <c r="I83" s="31" t="s">
        <v>88</v>
      </c>
      <c r="J83" s="32">
        <f>1590000/50</f>
        <v>31800</v>
      </c>
      <c r="K83" s="28" t="s">
        <v>88</v>
      </c>
      <c r="L83" s="33"/>
      <c r="M83" s="33">
        <v>0.17</v>
      </c>
      <c r="N83" s="27">
        <f>1+6</f>
        <v>7</v>
      </c>
      <c r="O83" s="31" t="s">
        <v>88</v>
      </c>
      <c r="P83" s="27">
        <f t="shared" si="7"/>
        <v>81</v>
      </c>
      <c r="Q83" s="31" t="s">
        <v>88</v>
      </c>
      <c r="R83" s="32">
        <f t="shared" si="8"/>
        <v>2137914</v>
      </c>
      <c r="S83" s="32">
        <f t="shared" si="9"/>
        <v>1926048.6486486485</v>
      </c>
    </row>
    <row r="84" spans="1:19">
      <c r="A84" s="34" t="s">
        <v>97</v>
      </c>
      <c r="B84" s="2" t="s">
        <v>26</v>
      </c>
      <c r="C84" s="3">
        <v>29</v>
      </c>
      <c r="D84" s="4" t="s">
        <v>88</v>
      </c>
      <c r="F84" s="6">
        <v>1</v>
      </c>
      <c r="G84" s="7" t="s">
        <v>21</v>
      </c>
      <c r="H84" s="6">
        <v>30</v>
      </c>
      <c r="I84" s="7" t="s">
        <v>88</v>
      </c>
      <c r="J84" s="8">
        <f>1476000/30</f>
        <v>49200</v>
      </c>
      <c r="K84" s="4" t="s">
        <v>88</v>
      </c>
      <c r="M84" s="9">
        <v>0.17</v>
      </c>
      <c r="N84" s="3">
        <f>1+6</f>
        <v>7</v>
      </c>
      <c r="O84" s="7" t="s">
        <v>88</v>
      </c>
      <c r="P84" s="3">
        <f t="shared" si="7"/>
        <v>22</v>
      </c>
      <c r="Q84" s="7" t="s">
        <v>88</v>
      </c>
      <c r="R84" s="8">
        <f t="shared" si="8"/>
        <v>898392</v>
      </c>
      <c r="S84" s="32">
        <f t="shared" si="9"/>
        <v>809362.16216216213</v>
      </c>
    </row>
    <row r="85" spans="1:19" s="45" customFormat="1">
      <c r="A85" s="44" t="s">
        <v>98</v>
      </c>
      <c r="B85" s="45" t="s">
        <v>26</v>
      </c>
      <c r="C85" s="46">
        <v>75</v>
      </c>
      <c r="D85" s="47" t="s">
        <v>88</v>
      </c>
      <c r="E85" s="48">
        <f>3+1</f>
        <v>4</v>
      </c>
      <c r="F85" s="49">
        <v>1</v>
      </c>
      <c r="G85" s="50" t="s">
        <v>21</v>
      </c>
      <c r="H85" s="49">
        <v>20</v>
      </c>
      <c r="I85" s="50" t="s">
        <v>88</v>
      </c>
      <c r="J85" s="51">
        <f>1380000/20</f>
        <v>69000</v>
      </c>
      <c r="K85" s="47" t="s">
        <v>88</v>
      </c>
      <c r="L85" s="52"/>
      <c r="M85" s="52">
        <v>0.17</v>
      </c>
      <c r="N85" s="46">
        <f>20+20+20+3</f>
        <v>63</v>
      </c>
      <c r="O85" s="50" t="s">
        <v>88</v>
      </c>
      <c r="P85" s="46">
        <f t="shared" si="7"/>
        <v>92</v>
      </c>
      <c r="Q85" s="50" t="s">
        <v>88</v>
      </c>
      <c r="R85" s="51">
        <f t="shared" si="8"/>
        <v>5268840</v>
      </c>
      <c r="S85" s="51">
        <f t="shared" si="9"/>
        <v>4746702.702702702</v>
      </c>
    </row>
    <row r="86" spans="1:19" s="45" customFormat="1">
      <c r="A86" s="44" t="s">
        <v>99</v>
      </c>
      <c r="B86" s="45" t="s">
        <v>26</v>
      </c>
      <c r="C86" s="46">
        <v>10</v>
      </c>
      <c r="D86" s="47" t="s">
        <v>88</v>
      </c>
      <c r="E86" s="48">
        <v>1</v>
      </c>
      <c r="F86" s="49">
        <v>1</v>
      </c>
      <c r="G86" s="50" t="s">
        <v>21</v>
      </c>
      <c r="H86" s="49">
        <v>10</v>
      </c>
      <c r="I86" s="50" t="s">
        <v>88</v>
      </c>
      <c r="J86" s="51">
        <f>1200000/10</f>
        <v>120000</v>
      </c>
      <c r="K86" s="47" t="s">
        <v>88</v>
      </c>
      <c r="L86" s="52"/>
      <c r="M86" s="52">
        <v>0.17</v>
      </c>
      <c r="N86" s="46"/>
      <c r="O86" s="50" t="s">
        <v>88</v>
      </c>
      <c r="P86" s="46">
        <f t="shared" si="7"/>
        <v>20</v>
      </c>
      <c r="Q86" s="50" t="s">
        <v>88</v>
      </c>
      <c r="R86" s="51">
        <f t="shared" si="8"/>
        <v>1992000</v>
      </c>
      <c r="S86" s="51">
        <f t="shared" si="9"/>
        <v>1794594.5945945943</v>
      </c>
    </row>
    <row r="87" spans="1:19" s="45" customFormat="1">
      <c r="A87" s="44" t="s">
        <v>100</v>
      </c>
      <c r="B87" s="45" t="s">
        <v>26</v>
      </c>
      <c r="C87" s="46">
        <v>2.5</v>
      </c>
      <c r="D87" s="47" t="s">
        <v>88</v>
      </c>
      <c r="E87" s="48">
        <f>3+2</f>
        <v>5</v>
      </c>
      <c r="F87" s="49">
        <v>1</v>
      </c>
      <c r="G87" s="50" t="s">
        <v>21</v>
      </c>
      <c r="H87" s="49">
        <v>5</v>
      </c>
      <c r="I87" s="50" t="s">
        <v>88</v>
      </c>
      <c r="J87" s="51">
        <f>900000/5</f>
        <v>180000</v>
      </c>
      <c r="K87" s="47" t="s">
        <v>88</v>
      </c>
      <c r="L87" s="52"/>
      <c r="M87" s="52">
        <v>0.17</v>
      </c>
      <c r="N87" s="82">
        <f>3+5+1+5</f>
        <v>14</v>
      </c>
      <c r="O87" s="50" t="s">
        <v>88</v>
      </c>
      <c r="P87" s="83">
        <f t="shared" si="7"/>
        <v>13.5</v>
      </c>
      <c r="Q87" s="50" t="s">
        <v>88</v>
      </c>
      <c r="R87" s="51">
        <f t="shared" si="8"/>
        <v>2016900</v>
      </c>
      <c r="S87" s="51">
        <f t="shared" si="9"/>
        <v>1817027.027027027</v>
      </c>
    </row>
    <row r="88" spans="1:19" s="17" customFormat="1">
      <c r="A88" s="16" t="s">
        <v>101</v>
      </c>
      <c r="B88" s="17" t="s">
        <v>26</v>
      </c>
      <c r="C88" s="18"/>
      <c r="D88" s="19" t="s">
        <v>20</v>
      </c>
      <c r="E88" s="20"/>
      <c r="F88" s="21">
        <v>72</v>
      </c>
      <c r="G88" s="22" t="s">
        <v>34</v>
      </c>
      <c r="H88" s="21">
        <v>6</v>
      </c>
      <c r="I88" s="22" t="s">
        <v>20</v>
      </c>
      <c r="J88" s="23">
        <f>19500/6</f>
        <v>3250</v>
      </c>
      <c r="K88" s="19" t="s">
        <v>20</v>
      </c>
      <c r="L88" s="24"/>
      <c r="M88" s="24">
        <v>0.17</v>
      </c>
      <c r="N88" s="18"/>
      <c r="O88" s="22" t="s">
        <v>20</v>
      </c>
      <c r="P88" s="18">
        <f t="shared" si="7"/>
        <v>0</v>
      </c>
      <c r="Q88" s="22" t="s">
        <v>20</v>
      </c>
      <c r="R88" s="23">
        <f t="shared" si="8"/>
        <v>0</v>
      </c>
      <c r="S88" s="23">
        <f t="shared" si="9"/>
        <v>0</v>
      </c>
    </row>
    <row r="89" spans="1:19">
      <c r="A89" s="15" t="s">
        <v>102</v>
      </c>
      <c r="S89" s="23"/>
    </row>
    <row r="90" spans="1:19" s="17" customFormat="1">
      <c r="A90" s="16" t="s">
        <v>103</v>
      </c>
      <c r="B90" s="17" t="s">
        <v>19</v>
      </c>
      <c r="C90" s="18"/>
      <c r="D90" s="19" t="s">
        <v>34</v>
      </c>
      <c r="E90" s="20"/>
      <c r="F90" s="21">
        <v>50</v>
      </c>
      <c r="G90" s="22" t="s">
        <v>104</v>
      </c>
      <c r="H90" s="21">
        <v>10</v>
      </c>
      <c r="I90" s="22" t="s">
        <v>34</v>
      </c>
      <c r="J90" s="23">
        <v>1800</v>
      </c>
      <c r="K90" s="19" t="s">
        <v>34</v>
      </c>
      <c r="L90" s="24">
        <v>0.125</v>
      </c>
      <c r="M90" s="24">
        <v>0.05</v>
      </c>
      <c r="N90" s="18"/>
      <c r="O90" s="22" t="s">
        <v>34</v>
      </c>
      <c r="P90" s="18">
        <f t="shared" ref="P90:P97" si="10">(C90+(E90*F90*H90))-N90</f>
        <v>0</v>
      </c>
      <c r="Q90" s="22" t="s">
        <v>34</v>
      </c>
      <c r="R90" s="23">
        <f t="shared" ref="R90:R97" si="11">P90*(J90-(J90*L90)-((J90-(J90*L90))*M90))</f>
        <v>0</v>
      </c>
      <c r="S90" s="23">
        <f t="shared" si="9"/>
        <v>0</v>
      </c>
    </row>
    <row r="91" spans="1:19" s="63" customFormat="1">
      <c r="A91" s="72" t="s">
        <v>105</v>
      </c>
      <c r="B91" s="63" t="s">
        <v>19</v>
      </c>
      <c r="C91" s="64"/>
      <c r="D91" s="65" t="s">
        <v>34</v>
      </c>
      <c r="E91" s="66"/>
      <c r="F91" s="67">
        <v>50</v>
      </c>
      <c r="G91" s="68" t="s">
        <v>104</v>
      </c>
      <c r="H91" s="67">
        <v>10</v>
      </c>
      <c r="I91" s="68" t="s">
        <v>34</v>
      </c>
      <c r="J91" s="69">
        <v>1625</v>
      </c>
      <c r="K91" s="65" t="s">
        <v>34</v>
      </c>
      <c r="L91" s="70">
        <v>0.125</v>
      </c>
      <c r="M91" s="70">
        <v>0.05</v>
      </c>
      <c r="N91" s="64"/>
      <c r="O91" s="68" t="s">
        <v>34</v>
      </c>
      <c r="P91" s="64">
        <f t="shared" si="10"/>
        <v>0</v>
      </c>
      <c r="Q91" s="68" t="s">
        <v>34</v>
      </c>
      <c r="R91" s="69">
        <f t="shared" si="11"/>
        <v>0</v>
      </c>
      <c r="S91" s="23">
        <f t="shared" si="9"/>
        <v>0</v>
      </c>
    </row>
    <row r="92" spans="1:19" s="17" customFormat="1">
      <c r="A92" s="16" t="s">
        <v>106</v>
      </c>
      <c r="B92" s="17" t="s">
        <v>19</v>
      </c>
      <c r="C92" s="18"/>
      <c r="D92" s="19" t="s">
        <v>34</v>
      </c>
      <c r="E92" s="20"/>
      <c r="F92" s="21">
        <v>20</v>
      </c>
      <c r="G92" s="22" t="s">
        <v>104</v>
      </c>
      <c r="H92" s="21">
        <v>10</v>
      </c>
      <c r="I92" s="22" t="s">
        <v>34</v>
      </c>
      <c r="J92" s="23">
        <v>4400</v>
      </c>
      <c r="K92" s="19" t="s">
        <v>34</v>
      </c>
      <c r="L92" s="24">
        <v>0.125</v>
      </c>
      <c r="M92" s="24">
        <v>0.05</v>
      </c>
      <c r="N92" s="18"/>
      <c r="O92" s="22" t="s">
        <v>34</v>
      </c>
      <c r="P92" s="18">
        <f t="shared" si="10"/>
        <v>0</v>
      </c>
      <c r="Q92" s="22" t="s">
        <v>34</v>
      </c>
      <c r="R92" s="23">
        <f t="shared" si="11"/>
        <v>0</v>
      </c>
      <c r="S92" s="23">
        <f t="shared" si="9"/>
        <v>0</v>
      </c>
    </row>
    <row r="93" spans="1:19" s="45" customFormat="1">
      <c r="A93" s="44" t="s">
        <v>107</v>
      </c>
      <c r="B93" s="45" t="s">
        <v>19</v>
      </c>
      <c r="C93" s="46">
        <v>288</v>
      </c>
      <c r="D93" s="47" t="s">
        <v>108</v>
      </c>
      <c r="E93" s="48">
        <v>1</v>
      </c>
      <c r="F93" s="49">
        <v>24</v>
      </c>
      <c r="G93" s="50" t="s">
        <v>34</v>
      </c>
      <c r="H93" s="49">
        <v>12</v>
      </c>
      <c r="I93" s="50" t="s">
        <v>108</v>
      </c>
      <c r="J93" s="51">
        <v>2900</v>
      </c>
      <c r="K93" s="47" t="s">
        <v>108</v>
      </c>
      <c r="L93" s="52">
        <v>0.125</v>
      </c>
      <c r="M93" s="52">
        <v>0.05</v>
      </c>
      <c r="N93" s="46"/>
      <c r="O93" s="50" t="s">
        <v>108</v>
      </c>
      <c r="P93" s="46">
        <f t="shared" si="10"/>
        <v>576</v>
      </c>
      <c r="Q93" s="50" t="s">
        <v>108</v>
      </c>
      <c r="R93" s="51">
        <f t="shared" si="11"/>
        <v>1388520</v>
      </c>
      <c r="S93" s="51">
        <f t="shared" si="9"/>
        <v>1250918.9189189188</v>
      </c>
    </row>
    <row r="94" spans="1:19" s="26" customFormat="1">
      <c r="A94" s="25" t="s">
        <v>109</v>
      </c>
      <c r="B94" s="26" t="s">
        <v>26</v>
      </c>
      <c r="C94" s="27">
        <v>500</v>
      </c>
      <c r="D94" s="28" t="s">
        <v>34</v>
      </c>
      <c r="E94" s="29"/>
      <c r="F94" s="30">
        <v>50</v>
      </c>
      <c r="G94" s="31" t="s">
        <v>104</v>
      </c>
      <c r="H94" s="30">
        <v>10</v>
      </c>
      <c r="I94" s="31" t="s">
        <v>34</v>
      </c>
      <c r="J94" s="32">
        <f>800000/50/10</f>
        <v>1600</v>
      </c>
      <c r="K94" s="28" t="s">
        <v>34</v>
      </c>
      <c r="L94" s="33"/>
      <c r="M94" s="33">
        <v>0.17</v>
      </c>
      <c r="N94" s="27">
        <v>50</v>
      </c>
      <c r="O94" s="31" t="s">
        <v>34</v>
      </c>
      <c r="P94" s="27">
        <f t="shared" si="10"/>
        <v>450</v>
      </c>
      <c r="Q94" s="31" t="s">
        <v>34</v>
      </c>
      <c r="R94" s="32">
        <f t="shared" si="11"/>
        <v>597600</v>
      </c>
      <c r="S94" s="32">
        <f t="shared" si="9"/>
        <v>538378.37837837834</v>
      </c>
    </row>
    <row r="95" spans="1:19" s="26" customFormat="1">
      <c r="A95" s="25" t="s">
        <v>110</v>
      </c>
      <c r="B95" s="26" t="s">
        <v>26</v>
      </c>
      <c r="C95" s="27">
        <v>70</v>
      </c>
      <c r="D95" s="28" t="s">
        <v>34</v>
      </c>
      <c r="E95" s="29"/>
      <c r="F95" s="30">
        <v>50</v>
      </c>
      <c r="G95" s="31" t="s">
        <v>104</v>
      </c>
      <c r="H95" s="30">
        <v>10</v>
      </c>
      <c r="I95" s="31" t="s">
        <v>34</v>
      </c>
      <c r="J95" s="32">
        <f>750000/50/10</f>
        <v>1500</v>
      </c>
      <c r="K95" s="28" t="s">
        <v>34</v>
      </c>
      <c r="L95" s="33"/>
      <c r="M95" s="33">
        <v>0.17</v>
      </c>
      <c r="N95" s="27"/>
      <c r="O95" s="31" t="s">
        <v>34</v>
      </c>
      <c r="P95" s="27">
        <f t="shared" si="10"/>
        <v>70</v>
      </c>
      <c r="Q95" s="31" t="s">
        <v>34</v>
      </c>
      <c r="R95" s="32">
        <f t="shared" si="11"/>
        <v>87150</v>
      </c>
      <c r="S95" s="32">
        <f t="shared" si="9"/>
        <v>78513.513513513506</v>
      </c>
    </row>
    <row r="96" spans="1:19" s="45" customFormat="1">
      <c r="A96" s="44" t="s">
        <v>111</v>
      </c>
      <c r="B96" s="45" t="s">
        <v>26</v>
      </c>
      <c r="C96" s="46">
        <v>670</v>
      </c>
      <c r="D96" s="47" t="s">
        <v>34</v>
      </c>
      <c r="E96" s="48">
        <f>1+1</f>
        <v>2</v>
      </c>
      <c r="F96" s="49">
        <v>20</v>
      </c>
      <c r="G96" s="50" t="s">
        <v>104</v>
      </c>
      <c r="H96" s="49">
        <v>10</v>
      </c>
      <c r="I96" s="50" t="s">
        <v>34</v>
      </c>
      <c r="J96" s="51">
        <f>800000/20/10</f>
        <v>4000</v>
      </c>
      <c r="K96" s="47" t="s">
        <v>34</v>
      </c>
      <c r="L96" s="52"/>
      <c r="M96" s="52">
        <v>0.17</v>
      </c>
      <c r="N96" s="46">
        <f>200+200</f>
        <v>400</v>
      </c>
      <c r="O96" s="50" t="s">
        <v>34</v>
      </c>
      <c r="P96" s="46">
        <f t="shared" si="10"/>
        <v>670</v>
      </c>
      <c r="Q96" s="50" t="s">
        <v>34</v>
      </c>
      <c r="R96" s="51">
        <f t="shared" si="11"/>
        <v>2224400</v>
      </c>
      <c r="S96" s="51">
        <f t="shared" si="9"/>
        <v>2003963.9639639638</v>
      </c>
    </row>
    <row r="97" spans="1:19" s="17" customFormat="1">
      <c r="A97" s="16" t="s">
        <v>112</v>
      </c>
      <c r="B97" s="17" t="s">
        <v>26</v>
      </c>
      <c r="C97" s="18"/>
      <c r="D97" s="19" t="s">
        <v>43</v>
      </c>
      <c r="E97" s="20">
        <v>2</v>
      </c>
      <c r="F97" s="21">
        <v>1</v>
      </c>
      <c r="G97" s="22" t="s">
        <v>21</v>
      </c>
      <c r="H97" s="21">
        <v>48</v>
      </c>
      <c r="I97" s="22" t="s">
        <v>43</v>
      </c>
      <c r="J97" s="23">
        <f>1843200/48</f>
        <v>38400</v>
      </c>
      <c r="K97" s="19" t="s">
        <v>43</v>
      </c>
      <c r="L97" s="24"/>
      <c r="M97" s="24">
        <v>0.17</v>
      </c>
      <c r="N97" s="18">
        <f>48+42+6</f>
        <v>96</v>
      </c>
      <c r="O97" s="22" t="s">
        <v>43</v>
      </c>
      <c r="P97" s="18">
        <f t="shared" si="10"/>
        <v>0</v>
      </c>
      <c r="Q97" s="22" t="s">
        <v>43</v>
      </c>
      <c r="R97" s="23">
        <f t="shared" si="11"/>
        <v>0</v>
      </c>
      <c r="S97" s="23">
        <f t="shared" si="9"/>
        <v>0</v>
      </c>
    </row>
    <row r="98" spans="1:19">
      <c r="S98" s="23"/>
    </row>
    <row r="99" spans="1:19" ht="15.75">
      <c r="A99" s="14" t="s">
        <v>113</v>
      </c>
      <c r="S99" s="23"/>
    </row>
    <row r="100" spans="1:19">
      <c r="A100" s="15" t="s">
        <v>114</v>
      </c>
      <c r="S100" s="23"/>
    </row>
    <row r="101" spans="1:19" s="63" customFormat="1">
      <c r="A101" s="72" t="s">
        <v>115</v>
      </c>
      <c r="B101" s="63" t="s">
        <v>19</v>
      </c>
      <c r="C101" s="64"/>
      <c r="D101" s="65" t="s">
        <v>43</v>
      </c>
      <c r="E101" s="66"/>
      <c r="F101" s="67">
        <v>1</v>
      </c>
      <c r="G101" s="68" t="s">
        <v>21</v>
      </c>
      <c r="H101" s="67">
        <v>48</v>
      </c>
      <c r="I101" s="68" t="s">
        <v>43</v>
      </c>
      <c r="J101" s="69">
        <v>36000</v>
      </c>
      <c r="K101" s="65" t="s">
        <v>43</v>
      </c>
      <c r="L101" s="70">
        <v>0.125</v>
      </c>
      <c r="M101" s="70">
        <v>0.05</v>
      </c>
      <c r="N101" s="64"/>
      <c r="O101" s="68" t="s">
        <v>43</v>
      </c>
      <c r="P101" s="64">
        <f t="shared" ref="P101:P121" si="12">(C101+(E101*F101*H101))-N101</f>
        <v>0</v>
      </c>
      <c r="Q101" s="68" t="s">
        <v>43</v>
      </c>
      <c r="R101" s="69">
        <f t="shared" ref="R101:R121" si="13">P101*(J101-(J101*L101)-((J101-(J101*L101))*M101))</f>
        <v>0</v>
      </c>
      <c r="S101" s="23">
        <f t="shared" si="9"/>
        <v>0</v>
      </c>
    </row>
    <row r="102" spans="1:19" s="63" customFormat="1">
      <c r="A102" s="72" t="s">
        <v>116</v>
      </c>
      <c r="B102" s="63" t="s">
        <v>19</v>
      </c>
      <c r="C102" s="64"/>
      <c r="D102" s="65" t="s">
        <v>43</v>
      </c>
      <c r="E102" s="66">
        <f>2+4</f>
        <v>6</v>
      </c>
      <c r="F102" s="67">
        <v>1</v>
      </c>
      <c r="G102" s="68" t="s">
        <v>21</v>
      </c>
      <c r="H102" s="67">
        <v>48</v>
      </c>
      <c r="I102" s="68" t="s">
        <v>43</v>
      </c>
      <c r="J102" s="69">
        <v>36000</v>
      </c>
      <c r="K102" s="65" t="s">
        <v>43</v>
      </c>
      <c r="L102" s="70">
        <v>0.125</v>
      </c>
      <c r="M102" s="70">
        <v>0.05</v>
      </c>
      <c r="N102" s="64">
        <f>48+48+192</f>
        <v>288</v>
      </c>
      <c r="O102" s="68" t="s">
        <v>43</v>
      </c>
      <c r="P102" s="64">
        <f t="shared" si="12"/>
        <v>0</v>
      </c>
      <c r="Q102" s="68" t="s">
        <v>43</v>
      </c>
      <c r="R102" s="69">
        <f t="shared" si="13"/>
        <v>0</v>
      </c>
      <c r="S102" s="23">
        <f t="shared" si="9"/>
        <v>0</v>
      </c>
    </row>
    <row r="103" spans="1:19" s="63" customFormat="1">
      <c r="A103" s="72" t="s">
        <v>117</v>
      </c>
      <c r="B103" s="63" t="s">
        <v>19</v>
      </c>
      <c r="C103" s="64"/>
      <c r="D103" s="65" t="s">
        <v>43</v>
      </c>
      <c r="E103" s="66"/>
      <c r="F103" s="67">
        <v>1</v>
      </c>
      <c r="G103" s="68" t="s">
        <v>21</v>
      </c>
      <c r="H103" s="67">
        <v>48</v>
      </c>
      <c r="I103" s="68" t="s">
        <v>43</v>
      </c>
      <c r="J103" s="69">
        <v>36000</v>
      </c>
      <c r="K103" s="65" t="s">
        <v>43</v>
      </c>
      <c r="L103" s="70">
        <v>0.125</v>
      </c>
      <c r="M103" s="70">
        <v>0.05</v>
      </c>
      <c r="N103" s="64"/>
      <c r="O103" s="68" t="s">
        <v>43</v>
      </c>
      <c r="P103" s="64">
        <f t="shared" si="12"/>
        <v>0</v>
      </c>
      <c r="Q103" s="68" t="s">
        <v>43</v>
      </c>
      <c r="R103" s="69">
        <f t="shared" si="13"/>
        <v>0</v>
      </c>
      <c r="S103" s="23">
        <f t="shared" si="9"/>
        <v>0</v>
      </c>
    </row>
    <row r="104" spans="1:19" s="45" customFormat="1">
      <c r="A104" s="44" t="s">
        <v>118</v>
      </c>
      <c r="B104" s="45" t="s">
        <v>19</v>
      </c>
      <c r="C104" s="46">
        <v>5</v>
      </c>
      <c r="D104" s="47" t="s">
        <v>43</v>
      </c>
      <c r="E104" s="48"/>
      <c r="F104" s="49">
        <v>1</v>
      </c>
      <c r="G104" s="50" t="s">
        <v>21</v>
      </c>
      <c r="H104" s="49">
        <v>48</v>
      </c>
      <c r="I104" s="50" t="s">
        <v>43</v>
      </c>
      <c r="J104" s="51">
        <v>39000</v>
      </c>
      <c r="K104" s="47" t="s">
        <v>43</v>
      </c>
      <c r="L104" s="52">
        <v>0.125</v>
      </c>
      <c r="M104" s="52">
        <v>0.05</v>
      </c>
      <c r="N104" s="46">
        <v>4</v>
      </c>
      <c r="O104" s="50" t="s">
        <v>43</v>
      </c>
      <c r="P104" s="46">
        <f t="shared" si="12"/>
        <v>1</v>
      </c>
      <c r="Q104" s="50" t="s">
        <v>43</v>
      </c>
      <c r="R104" s="51">
        <f t="shared" si="13"/>
        <v>32418.75</v>
      </c>
      <c r="S104" s="32">
        <f t="shared" si="9"/>
        <v>29206.08108108108</v>
      </c>
    </row>
    <row r="105" spans="1:19" s="63" customFormat="1">
      <c r="A105" s="72" t="s">
        <v>119</v>
      </c>
      <c r="B105" s="63" t="s">
        <v>19</v>
      </c>
      <c r="C105" s="64"/>
      <c r="D105" s="65" t="s">
        <v>43</v>
      </c>
      <c r="E105" s="66"/>
      <c r="F105" s="67">
        <v>1</v>
      </c>
      <c r="G105" s="68" t="s">
        <v>21</v>
      </c>
      <c r="H105" s="67">
        <v>48</v>
      </c>
      <c r="I105" s="68" t="s">
        <v>43</v>
      </c>
      <c r="J105" s="69">
        <v>54600</v>
      </c>
      <c r="K105" s="65" t="s">
        <v>43</v>
      </c>
      <c r="L105" s="70">
        <v>0.125</v>
      </c>
      <c r="M105" s="70">
        <v>0.05</v>
      </c>
      <c r="N105" s="64"/>
      <c r="O105" s="68" t="s">
        <v>43</v>
      </c>
      <c r="P105" s="64">
        <f t="shared" si="12"/>
        <v>0</v>
      </c>
      <c r="Q105" s="68" t="s">
        <v>43</v>
      </c>
      <c r="R105" s="69">
        <f t="shared" si="13"/>
        <v>0</v>
      </c>
      <c r="S105" s="23">
        <f t="shared" si="9"/>
        <v>0</v>
      </c>
    </row>
    <row r="106" spans="1:19" s="63" customFormat="1">
      <c r="A106" s="72" t="s">
        <v>120</v>
      </c>
      <c r="B106" s="63" t="s">
        <v>19</v>
      </c>
      <c r="C106" s="64"/>
      <c r="D106" s="65" t="s">
        <v>43</v>
      </c>
      <c r="E106" s="66"/>
      <c r="F106" s="67">
        <v>1</v>
      </c>
      <c r="G106" s="68" t="s">
        <v>21</v>
      </c>
      <c r="H106" s="67">
        <v>48</v>
      </c>
      <c r="I106" s="68" t="s">
        <v>43</v>
      </c>
      <c r="J106" s="69">
        <v>30000</v>
      </c>
      <c r="K106" s="65" t="s">
        <v>43</v>
      </c>
      <c r="L106" s="70">
        <v>0.125</v>
      </c>
      <c r="M106" s="70">
        <v>0.05</v>
      </c>
      <c r="N106" s="64"/>
      <c r="O106" s="68" t="s">
        <v>43</v>
      </c>
      <c r="P106" s="64">
        <f t="shared" si="12"/>
        <v>0</v>
      </c>
      <c r="Q106" s="68" t="s">
        <v>43</v>
      </c>
      <c r="R106" s="69">
        <f t="shared" si="13"/>
        <v>0</v>
      </c>
      <c r="S106" s="23">
        <f t="shared" si="9"/>
        <v>0</v>
      </c>
    </row>
    <row r="107" spans="1:19" s="63" customFormat="1">
      <c r="A107" s="72" t="s">
        <v>121</v>
      </c>
      <c r="B107" s="63" t="s">
        <v>19</v>
      </c>
      <c r="C107" s="64"/>
      <c r="D107" s="65" t="s">
        <v>43</v>
      </c>
      <c r="E107" s="66">
        <v>1</v>
      </c>
      <c r="F107" s="67">
        <v>1</v>
      </c>
      <c r="G107" s="68" t="s">
        <v>21</v>
      </c>
      <c r="H107" s="67">
        <v>36</v>
      </c>
      <c r="I107" s="68" t="s">
        <v>43</v>
      </c>
      <c r="J107" s="69">
        <v>41400</v>
      </c>
      <c r="K107" s="65" t="s">
        <v>43</v>
      </c>
      <c r="L107" s="70">
        <v>0.125</v>
      </c>
      <c r="M107" s="70">
        <v>0.05</v>
      </c>
      <c r="N107" s="64">
        <v>36</v>
      </c>
      <c r="O107" s="68" t="s">
        <v>43</v>
      </c>
      <c r="P107" s="64">
        <f t="shared" si="12"/>
        <v>0</v>
      </c>
      <c r="Q107" s="68" t="s">
        <v>43</v>
      </c>
      <c r="R107" s="69">
        <f t="shared" si="13"/>
        <v>0</v>
      </c>
      <c r="S107" s="23">
        <f t="shared" si="9"/>
        <v>0</v>
      </c>
    </row>
    <row r="108" spans="1:19" s="63" customFormat="1">
      <c r="A108" s="72" t="s">
        <v>122</v>
      </c>
      <c r="B108" s="63" t="s">
        <v>19</v>
      </c>
      <c r="C108" s="64"/>
      <c r="D108" s="65" t="s">
        <v>43</v>
      </c>
      <c r="E108" s="66"/>
      <c r="F108" s="67">
        <v>1</v>
      </c>
      <c r="G108" s="68" t="s">
        <v>21</v>
      </c>
      <c r="H108" s="67">
        <v>36</v>
      </c>
      <c r="I108" s="68" t="s">
        <v>43</v>
      </c>
      <c r="J108" s="69">
        <v>41400</v>
      </c>
      <c r="K108" s="65" t="s">
        <v>43</v>
      </c>
      <c r="L108" s="70">
        <v>0.125</v>
      </c>
      <c r="M108" s="70">
        <v>0.05</v>
      </c>
      <c r="N108" s="64"/>
      <c r="O108" s="68" t="s">
        <v>43</v>
      </c>
      <c r="P108" s="64">
        <f t="shared" si="12"/>
        <v>0</v>
      </c>
      <c r="Q108" s="68" t="s">
        <v>43</v>
      </c>
      <c r="R108" s="69">
        <f t="shared" si="13"/>
        <v>0</v>
      </c>
      <c r="S108" s="23">
        <f t="shared" si="9"/>
        <v>0</v>
      </c>
    </row>
    <row r="109" spans="1:19" s="45" customFormat="1">
      <c r="A109" s="44" t="s">
        <v>123</v>
      </c>
      <c r="B109" s="45" t="s">
        <v>19</v>
      </c>
      <c r="C109" s="46">
        <v>240</v>
      </c>
      <c r="D109" s="47" t="s">
        <v>43</v>
      </c>
      <c r="E109" s="48">
        <v>5</v>
      </c>
      <c r="F109" s="49">
        <v>24</v>
      </c>
      <c r="G109" s="50" t="s">
        <v>34</v>
      </c>
      <c r="H109" s="49">
        <v>2</v>
      </c>
      <c r="I109" s="50" t="s">
        <v>43</v>
      </c>
      <c r="J109" s="51">
        <f>70800/2</f>
        <v>35400</v>
      </c>
      <c r="K109" s="47" t="s">
        <v>43</v>
      </c>
      <c r="L109" s="52">
        <v>0.125</v>
      </c>
      <c r="M109" s="52">
        <v>0.05</v>
      </c>
      <c r="N109" s="46">
        <v>120</v>
      </c>
      <c r="O109" s="50" t="s">
        <v>43</v>
      </c>
      <c r="P109" s="46">
        <f t="shared" si="12"/>
        <v>360</v>
      </c>
      <c r="Q109" s="50" t="s">
        <v>43</v>
      </c>
      <c r="R109" s="51">
        <f t="shared" si="13"/>
        <v>10593450</v>
      </c>
      <c r="S109" s="51">
        <f t="shared" si="9"/>
        <v>9543648.6486486476</v>
      </c>
    </row>
    <row r="110" spans="1:19" s="45" customFormat="1">
      <c r="A110" s="44" t="s">
        <v>124</v>
      </c>
      <c r="B110" s="45" t="s">
        <v>19</v>
      </c>
      <c r="C110" s="46"/>
      <c r="D110" s="47" t="s">
        <v>43</v>
      </c>
      <c r="E110" s="48">
        <v>5</v>
      </c>
      <c r="F110" s="49">
        <v>24</v>
      </c>
      <c r="G110" s="50" t="s">
        <v>34</v>
      </c>
      <c r="H110" s="49">
        <v>2</v>
      </c>
      <c r="I110" s="50" t="s">
        <v>43</v>
      </c>
      <c r="J110" s="51">
        <f>70800/2</f>
        <v>35400</v>
      </c>
      <c r="K110" s="47" t="s">
        <v>43</v>
      </c>
      <c r="L110" s="52">
        <v>0.125</v>
      </c>
      <c r="M110" s="52">
        <v>0.05</v>
      </c>
      <c r="N110" s="46">
        <v>120</v>
      </c>
      <c r="O110" s="50" t="s">
        <v>43</v>
      </c>
      <c r="P110" s="46">
        <f t="shared" si="12"/>
        <v>120</v>
      </c>
      <c r="Q110" s="50" t="s">
        <v>43</v>
      </c>
      <c r="R110" s="51">
        <f t="shared" si="13"/>
        <v>3531150</v>
      </c>
      <c r="S110" s="32">
        <f t="shared" si="9"/>
        <v>3181216.2162162159</v>
      </c>
    </row>
    <row r="111" spans="1:19" s="45" customFormat="1">
      <c r="A111" s="44" t="s">
        <v>125</v>
      </c>
      <c r="B111" s="45" t="s">
        <v>19</v>
      </c>
      <c r="C111" s="46"/>
      <c r="D111" s="47" t="s">
        <v>43</v>
      </c>
      <c r="E111" s="48">
        <v>3</v>
      </c>
      <c r="F111" s="49">
        <v>1</v>
      </c>
      <c r="G111" s="50" t="s">
        <v>21</v>
      </c>
      <c r="H111" s="49">
        <v>36</v>
      </c>
      <c r="I111" s="50" t="s">
        <v>43</v>
      </c>
      <c r="J111" s="51">
        <v>34200</v>
      </c>
      <c r="K111" s="47" t="s">
        <v>43</v>
      </c>
      <c r="L111" s="52">
        <v>0.125</v>
      </c>
      <c r="M111" s="52">
        <v>0.05</v>
      </c>
      <c r="N111" s="46">
        <v>108</v>
      </c>
      <c r="O111" s="50" t="s">
        <v>43</v>
      </c>
      <c r="P111" s="46">
        <f t="shared" si="12"/>
        <v>0</v>
      </c>
      <c r="Q111" s="50" t="s">
        <v>43</v>
      </c>
      <c r="R111" s="51">
        <f t="shared" si="13"/>
        <v>0</v>
      </c>
      <c r="S111" s="32">
        <f t="shared" si="9"/>
        <v>0</v>
      </c>
    </row>
    <row r="112" spans="1:19" s="45" customFormat="1">
      <c r="A112" s="44" t="s">
        <v>126</v>
      </c>
      <c r="B112" s="45" t="s">
        <v>19</v>
      </c>
      <c r="C112" s="46">
        <v>48</v>
      </c>
      <c r="D112" s="47" t="s">
        <v>43</v>
      </c>
      <c r="E112" s="48"/>
      <c r="F112" s="49">
        <v>24</v>
      </c>
      <c r="G112" s="50" t="s">
        <v>34</v>
      </c>
      <c r="H112" s="49">
        <v>2</v>
      </c>
      <c r="I112" s="50" t="s">
        <v>43</v>
      </c>
      <c r="J112" s="51">
        <f>46800/2</f>
        <v>23400</v>
      </c>
      <c r="K112" s="47" t="s">
        <v>43</v>
      </c>
      <c r="L112" s="52">
        <v>0.125</v>
      </c>
      <c r="M112" s="52">
        <v>0.05</v>
      </c>
      <c r="N112" s="46"/>
      <c r="O112" s="50" t="s">
        <v>43</v>
      </c>
      <c r="P112" s="46">
        <f t="shared" si="12"/>
        <v>48</v>
      </c>
      <c r="Q112" s="50" t="s">
        <v>43</v>
      </c>
      <c r="R112" s="51">
        <f t="shared" si="13"/>
        <v>933660</v>
      </c>
      <c r="S112" s="32">
        <f t="shared" si="9"/>
        <v>841135.13513513503</v>
      </c>
    </row>
    <row r="113" spans="1:19" s="63" customFormat="1">
      <c r="A113" s="72" t="s">
        <v>127</v>
      </c>
      <c r="B113" s="63" t="s">
        <v>19</v>
      </c>
      <c r="C113" s="64"/>
      <c r="D113" s="65" t="s">
        <v>43</v>
      </c>
      <c r="E113" s="66"/>
      <c r="F113" s="67">
        <v>60</v>
      </c>
      <c r="G113" s="68" t="s">
        <v>34</v>
      </c>
      <c r="H113" s="67">
        <v>1</v>
      </c>
      <c r="I113" s="68" t="s">
        <v>43</v>
      </c>
      <c r="J113" s="69">
        <v>43200</v>
      </c>
      <c r="K113" s="65" t="s">
        <v>43</v>
      </c>
      <c r="L113" s="70">
        <v>0.125</v>
      </c>
      <c r="M113" s="70">
        <v>0.05</v>
      </c>
      <c r="N113" s="64"/>
      <c r="O113" s="68" t="s">
        <v>43</v>
      </c>
      <c r="P113" s="64">
        <f t="shared" si="12"/>
        <v>0</v>
      </c>
      <c r="Q113" s="68" t="s">
        <v>43</v>
      </c>
      <c r="R113" s="69">
        <f t="shared" si="13"/>
        <v>0</v>
      </c>
      <c r="S113" s="23">
        <f t="shared" si="9"/>
        <v>0</v>
      </c>
    </row>
    <row r="114" spans="1:19" s="63" customFormat="1">
      <c r="A114" s="72" t="s">
        <v>128</v>
      </c>
      <c r="B114" s="63" t="s">
        <v>26</v>
      </c>
      <c r="C114" s="64"/>
      <c r="D114" s="65" t="s">
        <v>43</v>
      </c>
      <c r="E114" s="66"/>
      <c r="F114" s="67">
        <v>1</v>
      </c>
      <c r="G114" s="68" t="s">
        <v>21</v>
      </c>
      <c r="H114" s="67">
        <v>36</v>
      </c>
      <c r="I114" s="68" t="s">
        <v>43</v>
      </c>
      <c r="J114" s="69">
        <f>1792800/36</f>
        <v>49800</v>
      </c>
      <c r="K114" s="65" t="s">
        <v>43</v>
      </c>
      <c r="L114" s="70"/>
      <c r="M114" s="70">
        <v>0.17</v>
      </c>
      <c r="N114" s="64"/>
      <c r="O114" s="68" t="s">
        <v>43</v>
      </c>
      <c r="P114" s="64">
        <f t="shared" si="12"/>
        <v>0</v>
      </c>
      <c r="Q114" s="68" t="s">
        <v>43</v>
      </c>
      <c r="R114" s="69">
        <f t="shared" si="13"/>
        <v>0</v>
      </c>
      <c r="S114" s="23">
        <f t="shared" si="9"/>
        <v>0</v>
      </c>
    </row>
    <row r="115" spans="1:19" s="45" customFormat="1">
      <c r="A115" s="44" t="s">
        <v>129</v>
      </c>
      <c r="B115" s="45" t="s">
        <v>26</v>
      </c>
      <c r="C115" s="46">
        <v>180</v>
      </c>
      <c r="D115" s="47" t="s">
        <v>43</v>
      </c>
      <c r="E115" s="48"/>
      <c r="F115" s="49">
        <v>1</v>
      </c>
      <c r="G115" s="50" t="s">
        <v>21</v>
      </c>
      <c r="H115" s="49">
        <v>36</v>
      </c>
      <c r="I115" s="50" t="s">
        <v>43</v>
      </c>
      <c r="J115" s="51">
        <f>1792800/36</f>
        <v>49800</v>
      </c>
      <c r="K115" s="47" t="s">
        <v>43</v>
      </c>
      <c r="L115" s="52"/>
      <c r="M115" s="52">
        <v>0.17</v>
      </c>
      <c r="N115" s="46"/>
      <c r="O115" s="50" t="s">
        <v>43</v>
      </c>
      <c r="P115" s="46">
        <f t="shared" si="12"/>
        <v>180</v>
      </c>
      <c r="Q115" s="50" t="s">
        <v>43</v>
      </c>
      <c r="R115" s="51">
        <f t="shared" si="13"/>
        <v>7440120</v>
      </c>
      <c r="S115" s="32">
        <f t="shared" si="9"/>
        <v>6702810.81081081</v>
      </c>
    </row>
    <row r="116" spans="1:19" s="45" customFormat="1">
      <c r="A116" s="44" t="s">
        <v>130</v>
      </c>
      <c r="B116" s="45" t="s">
        <v>26</v>
      </c>
      <c r="C116" s="46">
        <v>82</v>
      </c>
      <c r="D116" s="47" t="s">
        <v>43</v>
      </c>
      <c r="E116" s="48">
        <f>8+15+5</f>
        <v>28</v>
      </c>
      <c r="F116" s="49">
        <v>1</v>
      </c>
      <c r="G116" s="50" t="s">
        <v>21</v>
      </c>
      <c r="H116" s="49">
        <v>36</v>
      </c>
      <c r="I116" s="50" t="s">
        <v>43</v>
      </c>
      <c r="J116" s="51">
        <f>1900800/36</f>
        <v>52800</v>
      </c>
      <c r="K116" s="47" t="s">
        <v>43</v>
      </c>
      <c r="L116" s="52"/>
      <c r="M116" s="52">
        <v>0.17</v>
      </c>
      <c r="N116" s="46">
        <f>216+5+36+36+10+360+2</f>
        <v>665</v>
      </c>
      <c r="O116" s="50" t="s">
        <v>43</v>
      </c>
      <c r="P116" s="46">
        <f t="shared" si="12"/>
        <v>425</v>
      </c>
      <c r="Q116" s="50" t="s">
        <v>43</v>
      </c>
      <c r="R116" s="51">
        <f t="shared" si="13"/>
        <v>18625200</v>
      </c>
      <c r="S116" s="51">
        <f t="shared" si="9"/>
        <v>16779459.459459458</v>
      </c>
    </row>
    <row r="117" spans="1:19" s="26" customFormat="1">
      <c r="A117" s="25" t="s">
        <v>131</v>
      </c>
      <c r="B117" s="26" t="s">
        <v>26</v>
      </c>
      <c r="C117" s="27">
        <v>435</v>
      </c>
      <c r="D117" s="28" t="s">
        <v>43</v>
      </c>
      <c r="E117" s="29"/>
      <c r="F117" s="30">
        <v>1</v>
      </c>
      <c r="G117" s="31" t="s">
        <v>21</v>
      </c>
      <c r="H117" s="30">
        <v>36</v>
      </c>
      <c r="I117" s="31" t="s">
        <v>43</v>
      </c>
      <c r="J117" s="32">
        <f>1846800/36</f>
        <v>51300</v>
      </c>
      <c r="K117" s="28" t="s">
        <v>43</v>
      </c>
      <c r="L117" s="33"/>
      <c r="M117" s="33">
        <v>0.17</v>
      </c>
      <c r="N117" s="27">
        <f>6+6+36+72+36+10+36+2</f>
        <v>204</v>
      </c>
      <c r="O117" s="31" t="s">
        <v>43</v>
      </c>
      <c r="P117" s="27">
        <f t="shared" si="12"/>
        <v>231</v>
      </c>
      <c r="Q117" s="31" t="s">
        <v>43</v>
      </c>
      <c r="R117" s="32">
        <f t="shared" si="13"/>
        <v>9835749</v>
      </c>
      <c r="S117" s="32">
        <f t="shared" si="9"/>
        <v>8861035.1351351347</v>
      </c>
    </row>
    <row r="118" spans="1:19" s="85" customFormat="1">
      <c r="A118" s="84" t="s">
        <v>132</v>
      </c>
      <c r="B118" s="85" t="s">
        <v>26</v>
      </c>
      <c r="C118" s="86">
        <v>386</v>
      </c>
      <c r="D118" s="87" t="s">
        <v>43</v>
      </c>
      <c r="E118" s="48">
        <f>4+1+4</f>
        <v>9</v>
      </c>
      <c r="F118" s="88">
        <v>1</v>
      </c>
      <c r="G118" s="89" t="s">
        <v>21</v>
      </c>
      <c r="H118" s="88">
        <v>36</v>
      </c>
      <c r="I118" s="89" t="s">
        <v>43</v>
      </c>
      <c r="J118" s="90">
        <f>1533600/36</f>
        <v>42600</v>
      </c>
      <c r="K118" s="87" t="s">
        <v>43</v>
      </c>
      <c r="L118" s="91"/>
      <c r="M118" s="91">
        <v>0.17</v>
      </c>
      <c r="N118" s="86">
        <f>72+8+36+36</f>
        <v>152</v>
      </c>
      <c r="O118" s="89" t="s">
        <v>43</v>
      </c>
      <c r="P118" s="86">
        <f t="shared" si="12"/>
        <v>558</v>
      </c>
      <c r="Q118" s="89" t="s">
        <v>43</v>
      </c>
      <c r="R118" s="90">
        <f t="shared" si="13"/>
        <v>19729764</v>
      </c>
      <c r="S118" s="51">
        <f t="shared" si="9"/>
        <v>17774562.162162162</v>
      </c>
    </row>
    <row r="119" spans="1:19" s="17" customFormat="1">
      <c r="A119" s="16" t="s">
        <v>133</v>
      </c>
      <c r="B119" s="17" t="s">
        <v>26</v>
      </c>
      <c r="C119" s="18"/>
      <c r="D119" s="19" t="s">
        <v>43</v>
      </c>
      <c r="E119" s="20"/>
      <c r="F119" s="21">
        <v>1</v>
      </c>
      <c r="G119" s="22" t="s">
        <v>21</v>
      </c>
      <c r="H119" s="21">
        <v>36</v>
      </c>
      <c r="I119" s="22" t="s">
        <v>43</v>
      </c>
      <c r="J119" s="23">
        <f>1760400/36</f>
        <v>48900</v>
      </c>
      <c r="K119" s="19" t="s">
        <v>43</v>
      </c>
      <c r="L119" s="24"/>
      <c r="M119" s="24">
        <v>0.17</v>
      </c>
      <c r="N119" s="18"/>
      <c r="O119" s="22" t="s">
        <v>43</v>
      </c>
      <c r="P119" s="18">
        <f t="shared" si="12"/>
        <v>0</v>
      </c>
      <c r="Q119" s="22" t="s">
        <v>43</v>
      </c>
      <c r="R119" s="23">
        <f t="shared" si="13"/>
        <v>0</v>
      </c>
      <c r="S119" s="23">
        <f t="shared" si="9"/>
        <v>0</v>
      </c>
    </row>
    <row r="120" spans="1:19" s="45" customFormat="1">
      <c r="A120" s="44" t="s">
        <v>134</v>
      </c>
      <c r="B120" s="45" t="s">
        <v>26</v>
      </c>
      <c r="C120" s="46">
        <v>382</v>
      </c>
      <c r="D120" s="47" t="s">
        <v>43</v>
      </c>
      <c r="E120" s="48">
        <v>2</v>
      </c>
      <c r="F120" s="49">
        <v>1</v>
      </c>
      <c r="G120" s="50" t="s">
        <v>21</v>
      </c>
      <c r="H120" s="49">
        <v>36</v>
      </c>
      <c r="I120" s="50" t="s">
        <v>43</v>
      </c>
      <c r="J120" s="51">
        <f>1890000/36</f>
        <v>52500</v>
      </c>
      <c r="K120" s="47" t="s">
        <v>43</v>
      </c>
      <c r="L120" s="52"/>
      <c r="M120" s="52">
        <v>0.17</v>
      </c>
      <c r="N120" s="46">
        <f>8+2+36+36</f>
        <v>82</v>
      </c>
      <c r="O120" s="50" t="s">
        <v>43</v>
      </c>
      <c r="P120" s="46">
        <f t="shared" si="12"/>
        <v>372</v>
      </c>
      <c r="Q120" s="50" t="s">
        <v>43</v>
      </c>
      <c r="R120" s="51">
        <f t="shared" si="13"/>
        <v>16209900</v>
      </c>
      <c r="S120" s="51">
        <f t="shared" si="9"/>
        <v>14603513.513513513</v>
      </c>
    </row>
    <row r="121" spans="1:19" s="17" customFormat="1">
      <c r="A121" s="16" t="s">
        <v>135</v>
      </c>
      <c r="B121" s="17" t="s">
        <v>26</v>
      </c>
      <c r="C121" s="18"/>
      <c r="D121" s="19" t="s">
        <v>43</v>
      </c>
      <c r="E121" s="20">
        <v>1</v>
      </c>
      <c r="F121" s="21">
        <v>1</v>
      </c>
      <c r="G121" s="22" t="s">
        <v>21</v>
      </c>
      <c r="H121" s="21">
        <v>36</v>
      </c>
      <c r="I121" s="22" t="s">
        <v>43</v>
      </c>
      <c r="J121" s="23">
        <f>2116800/36</f>
        <v>58800</v>
      </c>
      <c r="K121" s="19" t="s">
        <v>43</v>
      </c>
      <c r="L121" s="24"/>
      <c r="M121" s="24">
        <v>0.17</v>
      </c>
      <c r="N121" s="18">
        <v>36</v>
      </c>
      <c r="O121" s="22" t="s">
        <v>43</v>
      </c>
      <c r="P121" s="18">
        <f t="shared" si="12"/>
        <v>0</v>
      </c>
      <c r="Q121" s="22" t="s">
        <v>43</v>
      </c>
      <c r="R121" s="23">
        <f t="shared" si="13"/>
        <v>0</v>
      </c>
      <c r="S121" s="23">
        <f t="shared" si="9"/>
        <v>0</v>
      </c>
    </row>
    <row r="122" spans="1:19">
      <c r="A122" s="15" t="s">
        <v>136</v>
      </c>
      <c r="S122" s="23"/>
    </row>
    <row r="123" spans="1:19" s="17" customFormat="1">
      <c r="A123" s="16" t="s">
        <v>137</v>
      </c>
      <c r="B123" s="17" t="s">
        <v>19</v>
      </c>
      <c r="C123" s="18"/>
      <c r="D123" s="19" t="s">
        <v>43</v>
      </c>
      <c r="E123" s="20">
        <f>1+1+1</f>
        <v>3</v>
      </c>
      <c r="F123" s="21">
        <v>60</v>
      </c>
      <c r="G123" s="22" t="s">
        <v>34</v>
      </c>
      <c r="H123" s="21">
        <v>1</v>
      </c>
      <c r="I123" s="22" t="s">
        <v>43</v>
      </c>
      <c r="J123" s="23">
        <f>4600*12</f>
        <v>55200</v>
      </c>
      <c r="K123" s="19" t="s">
        <v>43</v>
      </c>
      <c r="L123" s="24">
        <v>0.125</v>
      </c>
      <c r="M123" s="24">
        <v>0.05</v>
      </c>
      <c r="N123" s="18">
        <f>60+60+60</f>
        <v>180</v>
      </c>
      <c r="O123" s="22" t="s">
        <v>43</v>
      </c>
      <c r="P123" s="18">
        <f t="shared" ref="P123:P146" si="14">(C123+(E123*F123*H123))-N123</f>
        <v>0</v>
      </c>
      <c r="Q123" s="22" t="s">
        <v>43</v>
      </c>
      <c r="R123" s="23">
        <f t="shared" ref="R123:R146" si="15">P123*(J123-(J123*L123)-((J123-(J123*L123))*M123))</f>
        <v>0</v>
      </c>
      <c r="S123" s="23">
        <f t="shared" si="9"/>
        <v>0</v>
      </c>
    </row>
    <row r="124" spans="1:19" s="17" customFormat="1">
      <c r="A124" s="16" t="s">
        <v>138</v>
      </c>
      <c r="B124" s="17" t="s">
        <v>19</v>
      </c>
      <c r="C124" s="18"/>
      <c r="D124" s="19" t="s">
        <v>43</v>
      </c>
      <c r="E124" s="20">
        <v>1</v>
      </c>
      <c r="F124" s="21">
        <v>60</v>
      </c>
      <c r="G124" s="22" t="s">
        <v>34</v>
      </c>
      <c r="H124" s="21">
        <v>1</v>
      </c>
      <c r="I124" s="22" t="s">
        <v>43</v>
      </c>
      <c r="J124" s="23">
        <f>4500*12</f>
        <v>54000</v>
      </c>
      <c r="K124" s="19" t="s">
        <v>43</v>
      </c>
      <c r="L124" s="24">
        <v>0.125</v>
      </c>
      <c r="M124" s="24">
        <v>0.05</v>
      </c>
      <c r="N124" s="18">
        <v>60</v>
      </c>
      <c r="O124" s="22" t="s">
        <v>43</v>
      </c>
      <c r="P124" s="18">
        <f t="shared" si="14"/>
        <v>0</v>
      </c>
      <c r="Q124" s="22" t="s">
        <v>43</v>
      </c>
      <c r="R124" s="23">
        <f t="shared" si="15"/>
        <v>0</v>
      </c>
      <c r="S124" s="23">
        <f t="shared" si="9"/>
        <v>0</v>
      </c>
    </row>
    <row r="125" spans="1:19" s="17" customFormat="1">
      <c r="A125" s="16" t="s">
        <v>139</v>
      </c>
      <c r="B125" s="17" t="s">
        <v>19</v>
      </c>
      <c r="C125" s="18"/>
      <c r="D125" s="19" t="s">
        <v>43</v>
      </c>
      <c r="E125" s="20"/>
      <c r="F125" s="21">
        <v>30</v>
      </c>
      <c r="G125" s="22" t="s">
        <v>34</v>
      </c>
      <c r="H125" s="21">
        <v>1</v>
      </c>
      <c r="I125" s="22" t="s">
        <v>43</v>
      </c>
      <c r="J125" s="23">
        <f>5500*12</f>
        <v>66000</v>
      </c>
      <c r="K125" s="19" t="s">
        <v>43</v>
      </c>
      <c r="L125" s="24">
        <v>0.125</v>
      </c>
      <c r="M125" s="24">
        <v>0.05</v>
      </c>
      <c r="N125" s="18"/>
      <c r="O125" s="22" t="s">
        <v>43</v>
      </c>
      <c r="P125" s="18">
        <f t="shared" si="14"/>
        <v>0</v>
      </c>
      <c r="Q125" s="22" t="s">
        <v>43</v>
      </c>
      <c r="R125" s="23">
        <f t="shared" si="15"/>
        <v>0</v>
      </c>
      <c r="S125" s="23">
        <f t="shared" si="9"/>
        <v>0</v>
      </c>
    </row>
    <row r="126" spans="1:19" s="45" customFormat="1">
      <c r="A126" s="44" t="s">
        <v>140</v>
      </c>
      <c r="B126" s="45" t="s">
        <v>19</v>
      </c>
      <c r="C126" s="46">
        <v>144</v>
      </c>
      <c r="D126" s="47" t="s">
        <v>43</v>
      </c>
      <c r="E126" s="48">
        <f>3+5</f>
        <v>8</v>
      </c>
      <c r="F126" s="49">
        <v>60</v>
      </c>
      <c r="G126" s="50" t="s">
        <v>34</v>
      </c>
      <c r="H126" s="49">
        <v>1</v>
      </c>
      <c r="I126" s="50" t="s">
        <v>43</v>
      </c>
      <c r="J126" s="51">
        <f>4700*12</f>
        <v>56400</v>
      </c>
      <c r="K126" s="47" t="s">
        <v>43</v>
      </c>
      <c r="L126" s="52">
        <v>0.125</v>
      </c>
      <c r="M126" s="52">
        <v>0.05</v>
      </c>
      <c r="N126" s="46">
        <f>300+180+3</f>
        <v>483</v>
      </c>
      <c r="O126" s="50" t="s">
        <v>43</v>
      </c>
      <c r="P126" s="46">
        <f t="shared" si="14"/>
        <v>141</v>
      </c>
      <c r="Q126" s="50" t="s">
        <v>43</v>
      </c>
      <c r="R126" s="51">
        <f t="shared" si="15"/>
        <v>6610432.5</v>
      </c>
      <c r="S126" s="51">
        <f t="shared" si="9"/>
        <v>5955344.5945945941</v>
      </c>
    </row>
    <row r="127" spans="1:19" s="63" customFormat="1">
      <c r="A127" s="72" t="s">
        <v>141</v>
      </c>
      <c r="B127" s="63" t="s">
        <v>19</v>
      </c>
      <c r="C127" s="64"/>
      <c r="D127" s="65" t="s">
        <v>43</v>
      </c>
      <c r="E127" s="66"/>
      <c r="F127" s="67">
        <v>60</v>
      </c>
      <c r="G127" s="68" t="s">
        <v>34</v>
      </c>
      <c r="H127" s="67">
        <v>1</v>
      </c>
      <c r="I127" s="68" t="s">
        <v>43</v>
      </c>
      <c r="J127" s="69">
        <f>5800*12</f>
        <v>69600</v>
      </c>
      <c r="K127" s="65" t="s">
        <v>43</v>
      </c>
      <c r="L127" s="70">
        <v>0.125</v>
      </c>
      <c r="M127" s="70">
        <v>0.05</v>
      </c>
      <c r="N127" s="64"/>
      <c r="O127" s="68" t="s">
        <v>43</v>
      </c>
      <c r="P127" s="64">
        <f t="shared" si="14"/>
        <v>0</v>
      </c>
      <c r="Q127" s="68" t="s">
        <v>43</v>
      </c>
      <c r="R127" s="69">
        <f t="shared" si="15"/>
        <v>0</v>
      </c>
      <c r="S127" s="23">
        <f t="shared" si="9"/>
        <v>0</v>
      </c>
    </row>
    <row r="128" spans="1:19" s="63" customFormat="1">
      <c r="A128" s="72" t="s">
        <v>142</v>
      </c>
      <c r="B128" s="63" t="s">
        <v>19</v>
      </c>
      <c r="C128" s="64"/>
      <c r="D128" s="65" t="s">
        <v>43</v>
      </c>
      <c r="E128" s="66"/>
      <c r="F128" s="67">
        <v>40</v>
      </c>
      <c r="G128" s="68" t="s">
        <v>34</v>
      </c>
      <c r="H128" s="67">
        <v>1</v>
      </c>
      <c r="I128" s="68" t="s">
        <v>43</v>
      </c>
      <c r="J128" s="69">
        <f>8500*12</f>
        <v>102000</v>
      </c>
      <c r="K128" s="65" t="s">
        <v>43</v>
      </c>
      <c r="L128" s="70">
        <v>0.125</v>
      </c>
      <c r="M128" s="70">
        <v>0.05</v>
      </c>
      <c r="N128" s="64"/>
      <c r="O128" s="68" t="s">
        <v>43</v>
      </c>
      <c r="P128" s="64">
        <f t="shared" si="14"/>
        <v>0</v>
      </c>
      <c r="Q128" s="68" t="s">
        <v>43</v>
      </c>
      <c r="R128" s="69">
        <f t="shared" si="15"/>
        <v>0</v>
      </c>
      <c r="S128" s="23">
        <f t="shared" si="9"/>
        <v>0</v>
      </c>
    </row>
    <row r="129" spans="1:19" s="63" customFormat="1">
      <c r="A129" s="72" t="s">
        <v>143</v>
      </c>
      <c r="B129" s="63" t="s">
        <v>19</v>
      </c>
      <c r="C129" s="64"/>
      <c r="D129" s="65" t="s">
        <v>43</v>
      </c>
      <c r="E129" s="66"/>
      <c r="F129" s="67">
        <v>40</v>
      </c>
      <c r="G129" s="68" t="s">
        <v>34</v>
      </c>
      <c r="H129" s="67">
        <v>1</v>
      </c>
      <c r="I129" s="68" t="s">
        <v>43</v>
      </c>
      <c r="J129" s="69">
        <f>8800*12</f>
        <v>105600</v>
      </c>
      <c r="K129" s="65" t="s">
        <v>43</v>
      </c>
      <c r="L129" s="70">
        <v>0.125</v>
      </c>
      <c r="M129" s="70">
        <v>0.05</v>
      </c>
      <c r="N129" s="64"/>
      <c r="O129" s="68" t="s">
        <v>43</v>
      </c>
      <c r="P129" s="64">
        <f t="shared" si="14"/>
        <v>0</v>
      </c>
      <c r="Q129" s="68" t="s">
        <v>43</v>
      </c>
      <c r="R129" s="69">
        <f t="shared" si="15"/>
        <v>0</v>
      </c>
      <c r="S129" s="23">
        <f t="shared" si="9"/>
        <v>0</v>
      </c>
    </row>
    <row r="130" spans="1:19" s="17" customFormat="1">
      <c r="A130" s="16" t="s">
        <v>144</v>
      </c>
      <c r="B130" s="17" t="s">
        <v>26</v>
      </c>
      <c r="C130" s="18"/>
      <c r="D130" s="19" t="s">
        <v>43</v>
      </c>
      <c r="E130" s="20"/>
      <c r="F130" s="21">
        <v>1</v>
      </c>
      <c r="G130" s="22" t="s">
        <v>21</v>
      </c>
      <c r="H130" s="21">
        <v>36</v>
      </c>
      <c r="I130" s="22" t="s">
        <v>43</v>
      </c>
      <c r="J130" s="23">
        <f>2095200/36</f>
        <v>58200</v>
      </c>
      <c r="K130" s="19" t="s">
        <v>43</v>
      </c>
      <c r="L130" s="24"/>
      <c r="M130" s="24">
        <v>0.17</v>
      </c>
      <c r="N130" s="18"/>
      <c r="O130" s="22" t="s">
        <v>43</v>
      </c>
      <c r="P130" s="18">
        <f t="shared" si="14"/>
        <v>0</v>
      </c>
      <c r="Q130" s="22" t="s">
        <v>43</v>
      </c>
      <c r="R130" s="23">
        <f t="shared" si="15"/>
        <v>0</v>
      </c>
      <c r="S130" s="23">
        <f t="shared" si="9"/>
        <v>0</v>
      </c>
    </row>
    <row r="131" spans="1:19" s="17" customFormat="1">
      <c r="A131" s="44" t="s">
        <v>145</v>
      </c>
      <c r="B131" s="45" t="s">
        <v>26</v>
      </c>
      <c r="C131" s="46">
        <v>339</v>
      </c>
      <c r="D131" s="47" t="s">
        <v>43</v>
      </c>
      <c r="E131" s="48"/>
      <c r="F131" s="49">
        <v>1</v>
      </c>
      <c r="G131" s="50" t="s">
        <v>21</v>
      </c>
      <c r="H131" s="49">
        <v>48</v>
      </c>
      <c r="I131" s="50" t="s">
        <v>43</v>
      </c>
      <c r="J131" s="51">
        <f>2793600/48</f>
        <v>58200</v>
      </c>
      <c r="K131" s="47" t="s">
        <v>43</v>
      </c>
      <c r="L131" s="52"/>
      <c r="M131" s="52">
        <v>0.17</v>
      </c>
      <c r="N131" s="46">
        <f>24+12+3+5+3+1</f>
        <v>48</v>
      </c>
      <c r="O131" s="50" t="s">
        <v>43</v>
      </c>
      <c r="P131" s="46">
        <f t="shared" si="14"/>
        <v>291</v>
      </c>
      <c r="Q131" s="50" t="s">
        <v>43</v>
      </c>
      <c r="R131" s="51">
        <f t="shared" si="15"/>
        <v>14057046</v>
      </c>
      <c r="S131" s="32">
        <f t="shared" si="9"/>
        <v>12664005.405405404</v>
      </c>
    </row>
    <row r="132" spans="1:19" s="17" customFormat="1">
      <c r="A132" s="84" t="s">
        <v>146</v>
      </c>
      <c r="B132" s="85" t="s">
        <v>26</v>
      </c>
      <c r="C132" s="86">
        <v>16</v>
      </c>
      <c r="D132" s="87" t="s">
        <v>43</v>
      </c>
      <c r="E132" s="92"/>
      <c r="F132" s="88">
        <v>1</v>
      </c>
      <c r="G132" s="89" t="s">
        <v>21</v>
      </c>
      <c r="H132" s="88">
        <v>48</v>
      </c>
      <c r="I132" s="89" t="s">
        <v>43</v>
      </c>
      <c r="J132" s="90">
        <f>3916800/48</f>
        <v>81600</v>
      </c>
      <c r="K132" s="87" t="s">
        <v>43</v>
      </c>
      <c r="L132" s="91"/>
      <c r="M132" s="91">
        <v>0.17</v>
      </c>
      <c r="N132" s="86"/>
      <c r="O132" s="89" t="s">
        <v>43</v>
      </c>
      <c r="P132" s="86">
        <f t="shared" si="14"/>
        <v>16</v>
      </c>
      <c r="Q132" s="89" t="s">
        <v>43</v>
      </c>
      <c r="R132" s="90">
        <f t="shared" si="15"/>
        <v>1083648</v>
      </c>
      <c r="S132" s="32">
        <f t="shared" si="9"/>
        <v>976259.45945945941</v>
      </c>
    </row>
    <row r="133" spans="1:19" s="26" customFormat="1">
      <c r="A133" s="16" t="s">
        <v>147</v>
      </c>
      <c r="B133" s="17" t="s">
        <v>26</v>
      </c>
      <c r="C133" s="18"/>
      <c r="D133" s="19" t="s">
        <v>43</v>
      </c>
      <c r="E133" s="20"/>
      <c r="F133" s="21">
        <v>1</v>
      </c>
      <c r="G133" s="22" t="s">
        <v>21</v>
      </c>
      <c r="H133" s="21">
        <v>48</v>
      </c>
      <c r="I133" s="22" t="s">
        <v>43</v>
      </c>
      <c r="J133" s="23">
        <f>5100*12</f>
        <v>61200</v>
      </c>
      <c r="K133" s="19" t="s">
        <v>43</v>
      </c>
      <c r="L133" s="24"/>
      <c r="M133" s="24">
        <v>0.17</v>
      </c>
      <c r="N133" s="18"/>
      <c r="O133" s="22" t="s">
        <v>43</v>
      </c>
      <c r="P133" s="18">
        <f t="shared" si="14"/>
        <v>0</v>
      </c>
      <c r="Q133" s="22" t="s">
        <v>43</v>
      </c>
      <c r="R133" s="23">
        <f t="shared" si="15"/>
        <v>0</v>
      </c>
      <c r="S133" s="23">
        <f t="shared" si="9"/>
        <v>0</v>
      </c>
    </row>
    <row r="134" spans="1:19">
      <c r="A134" s="16" t="s">
        <v>148</v>
      </c>
      <c r="B134" s="17" t="s">
        <v>26</v>
      </c>
      <c r="C134" s="18"/>
      <c r="D134" s="19" t="s">
        <v>43</v>
      </c>
      <c r="E134" s="20"/>
      <c r="F134" s="21">
        <v>1</v>
      </c>
      <c r="G134" s="22" t="s">
        <v>21</v>
      </c>
      <c r="H134" s="21">
        <v>48</v>
      </c>
      <c r="I134" s="22" t="s">
        <v>43</v>
      </c>
      <c r="J134" s="23">
        <f>4250*12</f>
        <v>51000</v>
      </c>
      <c r="K134" s="19" t="s">
        <v>43</v>
      </c>
      <c r="L134" s="24"/>
      <c r="M134" s="24">
        <v>0.17</v>
      </c>
      <c r="N134" s="18"/>
      <c r="O134" s="22" t="s">
        <v>43</v>
      </c>
      <c r="P134" s="18">
        <f t="shared" si="14"/>
        <v>0</v>
      </c>
      <c r="Q134" s="22" t="s">
        <v>43</v>
      </c>
      <c r="R134" s="23">
        <f t="shared" si="15"/>
        <v>0</v>
      </c>
      <c r="S134" s="23">
        <f t="shared" si="9"/>
        <v>0</v>
      </c>
    </row>
    <row r="135" spans="1:19" s="45" customFormat="1">
      <c r="A135" s="35" t="s">
        <v>149</v>
      </c>
      <c r="B135" s="36" t="s">
        <v>26</v>
      </c>
      <c r="C135" s="37">
        <v>43</v>
      </c>
      <c r="D135" s="38" t="s">
        <v>43</v>
      </c>
      <c r="E135" s="39"/>
      <c r="F135" s="40">
        <v>1</v>
      </c>
      <c r="G135" s="41" t="s">
        <v>21</v>
      </c>
      <c r="H135" s="40">
        <v>48</v>
      </c>
      <c r="I135" s="41" t="s">
        <v>43</v>
      </c>
      <c r="J135" s="42">
        <f>2448000/48</f>
        <v>51000</v>
      </c>
      <c r="K135" s="38" t="s">
        <v>43</v>
      </c>
      <c r="L135" s="43"/>
      <c r="M135" s="43">
        <v>0.17</v>
      </c>
      <c r="N135" s="37">
        <v>8</v>
      </c>
      <c r="O135" s="41" t="s">
        <v>43</v>
      </c>
      <c r="P135" s="37">
        <f t="shared" si="14"/>
        <v>35</v>
      </c>
      <c r="Q135" s="41" t="s">
        <v>43</v>
      </c>
      <c r="R135" s="42">
        <f t="shared" si="15"/>
        <v>1481550</v>
      </c>
      <c r="S135" s="42">
        <f t="shared" si="9"/>
        <v>1334729.7297297297</v>
      </c>
    </row>
    <row r="136" spans="1:19" s="45" customFormat="1">
      <c r="A136" s="35" t="s">
        <v>149</v>
      </c>
      <c r="B136" s="36" t="s">
        <v>26</v>
      </c>
      <c r="C136" s="37">
        <v>48</v>
      </c>
      <c r="D136" s="38" t="s">
        <v>43</v>
      </c>
      <c r="E136" s="39"/>
      <c r="F136" s="40">
        <v>1</v>
      </c>
      <c r="G136" s="41" t="s">
        <v>21</v>
      </c>
      <c r="H136" s="40">
        <v>48</v>
      </c>
      <c r="I136" s="41" t="s">
        <v>43</v>
      </c>
      <c r="J136" s="42">
        <f>2592000/48</f>
        <v>54000</v>
      </c>
      <c r="K136" s="38" t="s">
        <v>43</v>
      </c>
      <c r="L136" s="43"/>
      <c r="M136" s="43">
        <v>0.17</v>
      </c>
      <c r="N136" s="37"/>
      <c r="O136" s="41" t="s">
        <v>43</v>
      </c>
      <c r="P136" s="37">
        <f t="shared" si="14"/>
        <v>48</v>
      </c>
      <c r="Q136" s="41" t="s">
        <v>43</v>
      </c>
      <c r="R136" s="42">
        <f t="shared" si="15"/>
        <v>2151360</v>
      </c>
      <c r="S136" s="42">
        <f t="shared" si="9"/>
        <v>1938162.1621621619</v>
      </c>
    </row>
    <row r="137" spans="1:19" s="63" customFormat="1">
      <c r="A137" s="16" t="s">
        <v>150</v>
      </c>
      <c r="B137" s="17" t="s">
        <v>26</v>
      </c>
      <c r="C137" s="18"/>
      <c r="D137" s="19" t="s">
        <v>43</v>
      </c>
      <c r="E137" s="20"/>
      <c r="F137" s="21">
        <v>1</v>
      </c>
      <c r="G137" s="22" t="s">
        <v>21</v>
      </c>
      <c r="H137" s="21">
        <v>48</v>
      </c>
      <c r="I137" s="22" t="s">
        <v>43</v>
      </c>
      <c r="J137" s="23">
        <f>2448000/48</f>
        <v>51000</v>
      </c>
      <c r="K137" s="19" t="s">
        <v>43</v>
      </c>
      <c r="L137" s="24"/>
      <c r="M137" s="24">
        <v>0.17</v>
      </c>
      <c r="N137" s="18"/>
      <c r="O137" s="22" t="s">
        <v>43</v>
      </c>
      <c r="P137" s="18">
        <f t="shared" si="14"/>
        <v>0</v>
      </c>
      <c r="Q137" s="22" t="s">
        <v>43</v>
      </c>
      <c r="R137" s="23">
        <f t="shared" si="15"/>
        <v>0</v>
      </c>
      <c r="S137" s="23">
        <f t="shared" si="9"/>
        <v>0</v>
      </c>
    </row>
    <row r="138" spans="1:19" s="17" customFormat="1">
      <c r="A138" s="16" t="s">
        <v>151</v>
      </c>
      <c r="B138" s="17" t="s">
        <v>26</v>
      </c>
      <c r="C138" s="18"/>
      <c r="D138" s="19" t="s">
        <v>43</v>
      </c>
      <c r="E138" s="20"/>
      <c r="F138" s="21">
        <v>1</v>
      </c>
      <c r="G138" s="22" t="s">
        <v>21</v>
      </c>
      <c r="H138" s="21">
        <v>24</v>
      </c>
      <c r="I138" s="22" t="s">
        <v>43</v>
      </c>
      <c r="J138" s="23">
        <f>2491200/24</f>
        <v>103800</v>
      </c>
      <c r="K138" s="19" t="s">
        <v>43</v>
      </c>
      <c r="L138" s="24"/>
      <c r="M138" s="24">
        <v>0.17</v>
      </c>
      <c r="N138" s="18"/>
      <c r="O138" s="22" t="s">
        <v>43</v>
      </c>
      <c r="P138" s="18">
        <f t="shared" si="14"/>
        <v>0</v>
      </c>
      <c r="Q138" s="22" t="s">
        <v>43</v>
      </c>
      <c r="R138" s="23">
        <f t="shared" si="15"/>
        <v>0</v>
      </c>
      <c r="S138" s="23">
        <f t="shared" ref="S138:S204" si="16">R138/1.11</f>
        <v>0</v>
      </c>
    </row>
    <row r="139" spans="1:19" s="17" customFormat="1">
      <c r="A139" s="25" t="s">
        <v>152</v>
      </c>
      <c r="B139" s="26" t="s">
        <v>26</v>
      </c>
      <c r="C139" s="27">
        <v>7</v>
      </c>
      <c r="D139" s="28" t="s">
        <v>43</v>
      </c>
      <c r="E139" s="29"/>
      <c r="F139" s="30">
        <v>1</v>
      </c>
      <c r="G139" s="31" t="s">
        <v>21</v>
      </c>
      <c r="H139" s="30">
        <v>36</v>
      </c>
      <c r="I139" s="31" t="s">
        <v>43</v>
      </c>
      <c r="J139" s="32">
        <f>3736800/36</f>
        <v>103800</v>
      </c>
      <c r="K139" s="28" t="s">
        <v>43</v>
      </c>
      <c r="L139" s="33"/>
      <c r="M139" s="33">
        <v>0.17</v>
      </c>
      <c r="N139" s="27"/>
      <c r="O139" s="31" t="s">
        <v>43</v>
      </c>
      <c r="P139" s="27">
        <f t="shared" si="14"/>
        <v>7</v>
      </c>
      <c r="Q139" s="31" t="s">
        <v>43</v>
      </c>
      <c r="R139" s="32">
        <f t="shared" si="15"/>
        <v>603078</v>
      </c>
      <c r="S139" s="32">
        <f t="shared" si="16"/>
        <v>543313.51351351349</v>
      </c>
    </row>
    <row r="140" spans="1:19" s="26" customFormat="1">
      <c r="A140" s="34" t="s">
        <v>153</v>
      </c>
      <c r="B140" s="2" t="s">
        <v>26</v>
      </c>
      <c r="C140" s="3">
        <v>2</v>
      </c>
      <c r="D140" s="4" t="s">
        <v>43</v>
      </c>
      <c r="E140" s="5"/>
      <c r="F140" s="6">
        <v>1</v>
      </c>
      <c r="G140" s="7" t="s">
        <v>21</v>
      </c>
      <c r="H140" s="6">
        <v>48</v>
      </c>
      <c r="I140" s="7" t="s">
        <v>43</v>
      </c>
      <c r="J140" s="8">
        <f>2592000/48</f>
        <v>54000</v>
      </c>
      <c r="K140" s="4" t="s">
        <v>43</v>
      </c>
      <c r="L140" s="9"/>
      <c r="M140" s="9">
        <v>0.17</v>
      </c>
      <c r="N140" s="3"/>
      <c r="O140" s="7" t="s">
        <v>43</v>
      </c>
      <c r="P140" s="3">
        <f t="shared" si="14"/>
        <v>2</v>
      </c>
      <c r="Q140" s="7" t="s">
        <v>43</v>
      </c>
      <c r="R140" s="8">
        <f t="shared" si="15"/>
        <v>89640</v>
      </c>
      <c r="S140" s="32">
        <f t="shared" si="16"/>
        <v>80756.756756756746</v>
      </c>
    </row>
    <row r="141" spans="1:19" s="17" customFormat="1">
      <c r="A141" s="16" t="s">
        <v>154</v>
      </c>
      <c r="B141" s="17" t="s">
        <v>26</v>
      </c>
      <c r="C141" s="18"/>
      <c r="D141" s="19" t="s">
        <v>43</v>
      </c>
      <c r="E141" s="20"/>
      <c r="F141" s="21">
        <v>1</v>
      </c>
      <c r="G141" s="22" t="s">
        <v>21</v>
      </c>
      <c r="H141" s="21">
        <v>48</v>
      </c>
      <c r="I141" s="22" t="s">
        <v>43</v>
      </c>
      <c r="J141" s="23">
        <f>2736000/48</f>
        <v>57000</v>
      </c>
      <c r="K141" s="19" t="s">
        <v>43</v>
      </c>
      <c r="L141" s="24"/>
      <c r="M141" s="24">
        <v>0.17</v>
      </c>
      <c r="N141" s="18"/>
      <c r="O141" s="22" t="s">
        <v>43</v>
      </c>
      <c r="P141" s="18">
        <f t="shared" si="14"/>
        <v>0</v>
      </c>
      <c r="Q141" s="22" t="s">
        <v>43</v>
      </c>
      <c r="R141" s="23">
        <f t="shared" si="15"/>
        <v>0</v>
      </c>
      <c r="S141" s="23">
        <f t="shared" si="16"/>
        <v>0</v>
      </c>
    </row>
    <row r="142" spans="1:19" s="45" customFormat="1">
      <c r="A142" s="44" t="s">
        <v>155</v>
      </c>
      <c r="B142" s="45" t="s">
        <v>26</v>
      </c>
      <c r="C142" s="46">
        <v>361</v>
      </c>
      <c r="D142" s="47" t="s">
        <v>43</v>
      </c>
      <c r="E142" s="48"/>
      <c r="F142" s="49">
        <v>1</v>
      </c>
      <c r="G142" s="50" t="s">
        <v>21</v>
      </c>
      <c r="H142" s="49">
        <v>48</v>
      </c>
      <c r="I142" s="50" t="s">
        <v>43</v>
      </c>
      <c r="J142" s="51">
        <f>2736000/48</f>
        <v>57000</v>
      </c>
      <c r="K142" s="47" t="s">
        <v>43</v>
      </c>
      <c r="L142" s="52"/>
      <c r="M142" s="52">
        <v>0.17</v>
      </c>
      <c r="N142" s="46">
        <f>2+12+48+96+3+10+3</f>
        <v>174</v>
      </c>
      <c r="O142" s="50" t="s">
        <v>43</v>
      </c>
      <c r="P142" s="46">
        <f t="shared" si="14"/>
        <v>187</v>
      </c>
      <c r="Q142" s="50" t="s">
        <v>43</v>
      </c>
      <c r="R142" s="51">
        <f t="shared" si="15"/>
        <v>8846970</v>
      </c>
      <c r="S142" s="51">
        <f t="shared" si="16"/>
        <v>7970243.2432432426</v>
      </c>
    </row>
    <row r="143" spans="1:19" s="26" customFormat="1">
      <c r="A143" s="25" t="s">
        <v>156</v>
      </c>
      <c r="B143" s="26" t="s">
        <v>26</v>
      </c>
      <c r="C143" s="27">
        <v>23</v>
      </c>
      <c r="D143" s="28" t="s">
        <v>43</v>
      </c>
      <c r="E143" s="29"/>
      <c r="F143" s="30">
        <v>1</v>
      </c>
      <c r="G143" s="31" t="s">
        <v>21</v>
      </c>
      <c r="H143" s="30">
        <v>48</v>
      </c>
      <c r="I143" s="31" t="s">
        <v>43</v>
      </c>
      <c r="J143" s="32">
        <f>2736000/48</f>
        <v>57000</v>
      </c>
      <c r="K143" s="28" t="s">
        <v>43</v>
      </c>
      <c r="L143" s="33"/>
      <c r="M143" s="33">
        <v>0.17</v>
      </c>
      <c r="N143" s="27">
        <v>8</v>
      </c>
      <c r="O143" s="31" t="s">
        <v>43</v>
      </c>
      <c r="P143" s="27">
        <f t="shared" si="14"/>
        <v>15</v>
      </c>
      <c r="Q143" s="31" t="s">
        <v>43</v>
      </c>
      <c r="R143" s="32">
        <f t="shared" si="15"/>
        <v>709650</v>
      </c>
      <c r="S143" s="32">
        <f t="shared" si="16"/>
        <v>639324.32432432426</v>
      </c>
    </row>
    <row r="144" spans="1:19" s="26" customFormat="1">
      <c r="A144" s="25" t="s">
        <v>157</v>
      </c>
      <c r="B144" s="26" t="s">
        <v>26</v>
      </c>
      <c r="C144" s="27">
        <v>83</v>
      </c>
      <c r="D144" s="28" t="s">
        <v>43</v>
      </c>
      <c r="E144" s="29"/>
      <c r="F144" s="30">
        <v>1</v>
      </c>
      <c r="G144" s="31" t="s">
        <v>21</v>
      </c>
      <c r="H144" s="30">
        <v>48</v>
      </c>
      <c r="I144" s="31" t="s">
        <v>43</v>
      </c>
      <c r="J144" s="32">
        <f>3024000/48</f>
        <v>63000</v>
      </c>
      <c r="K144" s="28" t="s">
        <v>43</v>
      </c>
      <c r="L144" s="33"/>
      <c r="M144" s="33">
        <v>0.17</v>
      </c>
      <c r="N144" s="27">
        <f>12+3</f>
        <v>15</v>
      </c>
      <c r="O144" s="31" t="s">
        <v>43</v>
      </c>
      <c r="P144" s="27">
        <f t="shared" si="14"/>
        <v>68</v>
      </c>
      <c r="Q144" s="31" t="s">
        <v>43</v>
      </c>
      <c r="R144" s="32">
        <f t="shared" si="15"/>
        <v>3555720</v>
      </c>
      <c r="S144" s="32">
        <f t="shared" si="16"/>
        <v>3203351.351351351</v>
      </c>
    </row>
    <row r="145" spans="1:19" s="17" customFormat="1">
      <c r="A145" s="16" t="s">
        <v>158</v>
      </c>
      <c r="B145" s="17" t="s">
        <v>26</v>
      </c>
      <c r="C145" s="18"/>
      <c r="D145" s="19" t="s">
        <v>43</v>
      </c>
      <c r="E145" s="20"/>
      <c r="F145" s="21">
        <v>1</v>
      </c>
      <c r="G145" s="22" t="s">
        <v>21</v>
      </c>
      <c r="H145" s="21">
        <v>48</v>
      </c>
      <c r="I145" s="22" t="s">
        <v>43</v>
      </c>
      <c r="J145" s="23">
        <f>2995200/48</f>
        <v>62400</v>
      </c>
      <c r="K145" s="19" t="s">
        <v>43</v>
      </c>
      <c r="L145" s="24"/>
      <c r="M145" s="24">
        <v>0.17</v>
      </c>
      <c r="N145" s="18"/>
      <c r="O145" s="22" t="s">
        <v>43</v>
      </c>
      <c r="P145" s="18">
        <f t="shared" si="14"/>
        <v>0</v>
      </c>
      <c r="Q145" s="22" t="s">
        <v>43</v>
      </c>
      <c r="R145" s="23">
        <f t="shared" si="15"/>
        <v>0</v>
      </c>
      <c r="S145" s="23">
        <f t="shared" si="16"/>
        <v>0</v>
      </c>
    </row>
    <row r="146" spans="1:19" s="17" customFormat="1">
      <c r="A146" s="16" t="s">
        <v>159</v>
      </c>
      <c r="B146" s="17" t="s">
        <v>26</v>
      </c>
      <c r="C146" s="18">
        <v>7</v>
      </c>
      <c r="D146" s="19" t="s">
        <v>43</v>
      </c>
      <c r="E146" s="20"/>
      <c r="F146" s="21">
        <v>1</v>
      </c>
      <c r="G146" s="22" t="s">
        <v>21</v>
      </c>
      <c r="H146" s="21">
        <v>48</v>
      </c>
      <c r="I146" s="22" t="s">
        <v>43</v>
      </c>
      <c r="J146" s="23">
        <f>2995200/48</f>
        <v>62400</v>
      </c>
      <c r="K146" s="19" t="s">
        <v>43</v>
      </c>
      <c r="L146" s="24"/>
      <c r="M146" s="24">
        <v>0.17</v>
      </c>
      <c r="N146" s="18">
        <v>7</v>
      </c>
      <c r="O146" s="22" t="s">
        <v>43</v>
      </c>
      <c r="P146" s="18">
        <f t="shared" si="14"/>
        <v>0</v>
      </c>
      <c r="Q146" s="22" t="s">
        <v>43</v>
      </c>
      <c r="R146" s="23">
        <f t="shared" si="15"/>
        <v>0</v>
      </c>
      <c r="S146" s="23">
        <f t="shared" si="16"/>
        <v>0</v>
      </c>
    </row>
    <row r="147" spans="1:19">
      <c r="S147" s="23"/>
    </row>
    <row r="148" spans="1:19" ht="15.75">
      <c r="A148" s="14" t="s">
        <v>160</v>
      </c>
      <c r="S148" s="23"/>
    </row>
    <row r="149" spans="1:19" s="63" customFormat="1">
      <c r="A149" s="93" t="s">
        <v>161</v>
      </c>
      <c r="B149" s="63" t="s">
        <v>19</v>
      </c>
      <c r="C149" s="64"/>
      <c r="D149" s="65" t="s">
        <v>162</v>
      </c>
      <c r="E149" s="66">
        <f>3+2</f>
        <v>5</v>
      </c>
      <c r="F149" s="67">
        <v>12</v>
      </c>
      <c r="G149" s="68" t="s">
        <v>34</v>
      </c>
      <c r="H149" s="67">
        <v>12</v>
      </c>
      <c r="I149" s="68" t="s">
        <v>162</v>
      </c>
      <c r="J149" s="69">
        <v>11600</v>
      </c>
      <c r="K149" s="65" t="s">
        <v>162</v>
      </c>
      <c r="L149" s="70">
        <v>0.125</v>
      </c>
      <c r="M149" s="70">
        <v>0.05</v>
      </c>
      <c r="N149" s="64">
        <f>432+(7*12)+288-84</f>
        <v>720</v>
      </c>
      <c r="O149" s="68" t="s">
        <v>162</v>
      </c>
      <c r="P149" s="64">
        <f t="shared" ref="P149:P169" si="17">(C149+(E149*F149*H149))-N149</f>
        <v>0</v>
      </c>
      <c r="Q149" s="68" t="s">
        <v>162</v>
      </c>
      <c r="R149" s="69">
        <f t="shared" ref="R149:R169" si="18">P149*(J149-(J149*L149)-((J149-(J149*L149))*M149))</f>
        <v>0</v>
      </c>
      <c r="S149" s="23">
        <f t="shared" si="16"/>
        <v>0</v>
      </c>
    </row>
    <row r="150" spans="1:19" s="45" customFormat="1">
      <c r="A150" s="94" t="s">
        <v>163</v>
      </c>
      <c r="B150" s="45" t="s">
        <v>19</v>
      </c>
      <c r="C150" s="46"/>
      <c r="D150" s="47" t="s">
        <v>162</v>
      </c>
      <c r="E150" s="48">
        <v>3</v>
      </c>
      <c r="F150" s="49">
        <v>6</v>
      </c>
      <c r="G150" s="50" t="s">
        <v>34</v>
      </c>
      <c r="H150" s="49">
        <v>24</v>
      </c>
      <c r="I150" s="50" t="s">
        <v>162</v>
      </c>
      <c r="J150" s="51">
        <v>9000</v>
      </c>
      <c r="K150" s="47" t="s">
        <v>162</v>
      </c>
      <c r="L150" s="52">
        <v>0.125</v>
      </c>
      <c r="M150" s="52">
        <v>0.05</v>
      </c>
      <c r="N150" s="46">
        <v>288</v>
      </c>
      <c r="O150" s="50" t="s">
        <v>162</v>
      </c>
      <c r="P150" s="46">
        <f t="shared" si="17"/>
        <v>144</v>
      </c>
      <c r="Q150" s="50" t="s">
        <v>162</v>
      </c>
      <c r="R150" s="51">
        <f t="shared" si="18"/>
        <v>1077300</v>
      </c>
      <c r="S150" s="32">
        <f t="shared" si="16"/>
        <v>970540.54054054047</v>
      </c>
    </row>
    <row r="151" spans="1:19" s="63" customFormat="1">
      <c r="A151" s="95" t="s">
        <v>164</v>
      </c>
      <c r="B151" s="96" t="s">
        <v>19</v>
      </c>
      <c r="C151" s="97"/>
      <c r="D151" s="98" t="s">
        <v>162</v>
      </c>
      <c r="E151" s="99">
        <f>2+4</f>
        <v>6</v>
      </c>
      <c r="F151" s="100">
        <v>1</v>
      </c>
      <c r="G151" s="101" t="s">
        <v>21</v>
      </c>
      <c r="H151" s="100">
        <v>144</v>
      </c>
      <c r="I151" s="101" t="s">
        <v>162</v>
      </c>
      <c r="J151" s="102">
        <v>11900</v>
      </c>
      <c r="K151" s="98" t="s">
        <v>162</v>
      </c>
      <c r="L151" s="103">
        <v>0.125</v>
      </c>
      <c r="M151" s="103">
        <v>0.1</v>
      </c>
      <c r="N151" s="97">
        <f>144+576+144</f>
        <v>864</v>
      </c>
      <c r="O151" s="101" t="s">
        <v>162</v>
      </c>
      <c r="P151" s="97">
        <f t="shared" si="17"/>
        <v>0</v>
      </c>
      <c r="Q151" s="101" t="s">
        <v>162</v>
      </c>
      <c r="R151" s="102">
        <f t="shared" si="18"/>
        <v>0</v>
      </c>
      <c r="S151" s="102">
        <f t="shared" si="16"/>
        <v>0</v>
      </c>
    </row>
    <row r="152" spans="1:19" s="45" customFormat="1">
      <c r="A152" s="35" t="s">
        <v>164</v>
      </c>
      <c r="B152" s="36" t="s">
        <v>19</v>
      </c>
      <c r="C152" s="37"/>
      <c r="D152" s="38" t="s">
        <v>162</v>
      </c>
      <c r="E152" s="104">
        <f>2+3</f>
        <v>5</v>
      </c>
      <c r="F152" s="40">
        <v>1</v>
      </c>
      <c r="G152" s="41" t="s">
        <v>21</v>
      </c>
      <c r="H152" s="40">
        <v>144</v>
      </c>
      <c r="I152" s="41" t="s">
        <v>162</v>
      </c>
      <c r="J152" s="42">
        <v>11900</v>
      </c>
      <c r="K152" s="38" t="s">
        <v>162</v>
      </c>
      <c r="L152" s="43">
        <v>0.125</v>
      </c>
      <c r="M152" s="43">
        <v>0.05</v>
      </c>
      <c r="N152" s="37">
        <v>288</v>
      </c>
      <c r="O152" s="41" t="s">
        <v>162</v>
      </c>
      <c r="P152" s="37">
        <f t="shared" si="17"/>
        <v>432</v>
      </c>
      <c r="Q152" s="41" t="s">
        <v>162</v>
      </c>
      <c r="R152" s="42">
        <f t="shared" si="18"/>
        <v>4273290</v>
      </c>
      <c r="S152" s="42">
        <f t="shared" si="16"/>
        <v>3849810.8108108104</v>
      </c>
    </row>
    <row r="153" spans="1:19" s="45" customFormat="1">
      <c r="A153" s="44" t="s">
        <v>165</v>
      </c>
      <c r="B153" s="45" t="s">
        <v>19</v>
      </c>
      <c r="C153" s="46"/>
      <c r="D153" s="47" t="s">
        <v>162</v>
      </c>
      <c r="E153" s="48">
        <f>2+5+4+1</f>
        <v>12</v>
      </c>
      <c r="F153" s="49">
        <v>6</v>
      </c>
      <c r="G153" s="50" t="s">
        <v>34</v>
      </c>
      <c r="H153" s="49">
        <v>12</v>
      </c>
      <c r="I153" s="50" t="s">
        <v>162</v>
      </c>
      <c r="J153" s="51">
        <v>23000</v>
      </c>
      <c r="K153" s="47" t="s">
        <v>162</v>
      </c>
      <c r="L153" s="52">
        <v>0.125</v>
      </c>
      <c r="M153" s="52">
        <v>0.1</v>
      </c>
      <c r="N153" s="46">
        <f>216+144+216+144</f>
        <v>720</v>
      </c>
      <c r="O153" s="50" t="s">
        <v>162</v>
      </c>
      <c r="P153" s="46">
        <f t="shared" si="17"/>
        <v>144</v>
      </c>
      <c r="Q153" s="50" t="s">
        <v>162</v>
      </c>
      <c r="R153" s="51">
        <f t="shared" si="18"/>
        <v>2608200</v>
      </c>
      <c r="S153" s="32">
        <f t="shared" si="16"/>
        <v>2349729.7297297297</v>
      </c>
    </row>
    <row r="154" spans="1:19" s="45" customFormat="1">
      <c r="A154" s="44" t="s">
        <v>166</v>
      </c>
      <c r="B154" s="45" t="s">
        <v>19</v>
      </c>
      <c r="C154" s="46"/>
      <c r="D154" s="47" t="s">
        <v>162</v>
      </c>
      <c r="E154" s="48">
        <f>2+4+2</f>
        <v>8</v>
      </c>
      <c r="F154" s="49">
        <v>8</v>
      </c>
      <c r="G154" s="50" t="s">
        <v>34</v>
      </c>
      <c r="H154" s="49">
        <v>6</v>
      </c>
      <c r="I154" s="50" t="s">
        <v>162</v>
      </c>
      <c r="J154" s="51">
        <v>28700</v>
      </c>
      <c r="K154" s="47" t="s">
        <v>162</v>
      </c>
      <c r="L154" s="52">
        <v>0.125</v>
      </c>
      <c r="M154" s="52">
        <v>0.1</v>
      </c>
      <c r="N154" s="46">
        <f>12+144+48+84</f>
        <v>288</v>
      </c>
      <c r="O154" s="50" t="s">
        <v>162</v>
      </c>
      <c r="P154" s="46">
        <f>(C154+(E154*F154*H154))-N154</f>
        <v>96</v>
      </c>
      <c r="Q154" s="50" t="s">
        <v>162</v>
      </c>
      <c r="R154" s="51">
        <f>P154*(J154-(J154*L154)-((J154-(J154*L154))*M154))</f>
        <v>2169720</v>
      </c>
      <c r="S154" s="32">
        <f t="shared" si="16"/>
        <v>1954702.7027027025</v>
      </c>
    </row>
    <row r="155" spans="1:19" s="63" customFormat="1">
      <c r="A155" s="95" t="s">
        <v>167</v>
      </c>
      <c r="B155" s="96" t="s">
        <v>19</v>
      </c>
      <c r="C155" s="97">
        <v>114</v>
      </c>
      <c r="D155" s="98" t="s">
        <v>162</v>
      </c>
      <c r="E155" s="105"/>
      <c r="F155" s="100">
        <v>6</v>
      </c>
      <c r="G155" s="101" t="s">
        <v>34</v>
      </c>
      <c r="H155" s="100">
        <v>6</v>
      </c>
      <c r="I155" s="101" t="s">
        <v>162</v>
      </c>
      <c r="J155" s="102">
        <v>41500</v>
      </c>
      <c r="K155" s="98" t="s">
        <v>162</v>
      </c>
      <c r="L155" s="103">
        <v>0.125</v>
      </c>
      <c r="M155" s="103">
        <v>0.05</v>
      </c>
      <c r="N155" s="97">
        <f>36+(1*12)+(108-42)</f>
        <v>114</v>
      </c>
      <c r="O155" s="101" t="s">
        <v>162</v>
      </c>
      <c r="P155" s="97">
        <f t="shared" ref="P155" si="19">(C155+(E155*F155*H155))-N155</f>
        <v>0</v>
      </c>
      <c r="Q155" s="101" t="s">
        <v>162</v>
      </c>
      <c r="R155" s="102">
        <f t="shared" ref="R155" si="20">P155*(J155-(J155*L155)-((J155-(J155*L155))*M155))</f>
        <v>0</v>
      </c>
      <c r="S155" s="102">
        <f t="shared" si="16"/>
        <v>0</v>
      </c>
    </row>
    <row r="156" spans="1:19" s="45" customFormat="1">
      <c r="A156" s="35" t="s">
        <v>167</v>
      </c>
      <c r="B156" s="36" t="s">
        <v>19</v>
      </c>
      <c r="C156" s="37"/>
      <c r="D156" s="38" t="s">
        <v>162</v>
      </c>
      <c r="E156" s="39">
        <f>2+5+2</f>
        <v>9</v>
      </c>
      <c r="F156" s="40">
        <v>6</v>
      </c>
      <c r="G156" s="41" t="s">
        <v>34</v>
      </c>
      <c r="H156" s="40">
        <v>6</v>
      </c>
      <c r="I156" s="41" t="s">
        <v>162</v>
      </c>
      <c r="J156" s="42">
        <v>41500</v>
      </c>
      <c r="K156" s="38" t="s">
        <v>162</v>
      </c>
      <c r="L156" s="43">
        <v>0.125</v>
      </c>
      <c r="M156" s="43">
        <v>0.1</v>
      </c>
      <c r="N156" s="37">
        <f>(108-66)+36+144</f>
        <v>222</v>
      </c>
      <c r="O156" s="41" t="s">
        <v>162</v>
      </c>
      <c r="P156" s="37">
        <f t="shared" si="17"/>
        <v>102</v>
      </c>
      <c r="Q156" s="41" t="s">
        <v>162</v>
      </c>
      <c r="R156" s="42">
        <f t="shared" si="18"/>
        <v>3333487.5</v>
      </c>
      <c r="S156" s="42">
        <f t="shared" si="16"/>
        <v>3003141.8918918916</v>
      </c>
    </row>
    <row r="157" spans="1:19" s="45" customFormat="1">
      <c r="A157" s="44" t="s">
        <v>168</v>
      </c>
      <c r="B157" s="45" t="s">
        <v>19</v>
      </c>
      <c r="C157" s="46"/>
      <c r="D157" s="47" t="s">
        <v>162</v>
      </c>
      <c r="E157" s="48">
        <f>2+2</f>
        <v>4</v>
      </c>
      <c r="F157" s="49">
        <v>4</v>
      </c>
      <c r="G157" s="50" t="s">
        <v>34</v>
      </c>
      <c r="H157" s="49">
        <v>6</v>
      </c>
      <c r="I157" s="50" t="s">
        <v>162</v>
      </c>
      <c r="J157" s="51">
        <v>58900</v>
      </c>
      <c r="K157" s="47" t="s">
        <v>162</v>
      </c>
      <c r="L157" s="52">
        <v>0.125</v>
      </c>
      <c r="M157" s="52">
        <v>0.1</v>
      </c>
      <c r="N157" s="46">
        <f>24+24+24</f>
        <v>72</v>
      </c>
      <c r="O157" s="50" t="s">
        <v>162</v>
      </c>
      <c r="P157" s="46">
        <f t="shared" si="17"/>
        <v>24</v>
      </c>
      <c r="Q157" s="50" t="s">
        <v>162</v>
      </c>
      <c r="R157" s="51">
        <f t="shared" si="18"/>
        <v>1113210</v>
      </c>
      <c r="S157" s="32">
        <f t="shared" si="16"/>
        <v>1002891.8918918918</v>
      </c>
    </row>
    <row r="158" spans="1:19" s="45" customFormat="1">
      <c r="A158" s="35" t="s">
        <v>169</v>
      </c>
      <c r="B158" s="36" t="s">
        <v>19</v>
      </c>
      <c r="C158" s="37">
        <v>6</v>
      </c>
      <c r="D158" s="38" t="s">
        <v>162</v>
      </c>
      <c r="E158" s="39"/>
      <c r="F158" s="40">
        <v>4</v>
      </c>
      <c r="G158" s="41" t="s">
        <v>34</v>
      </c>
      <c r="H158" s="40">
        <v>6</v>
      </c>
      <c r="I158" s="41" t="s">
        <v>162</v>
      </c>
      <c r="J158" s="42">
        <v>71000</v>
      </c>
      <c r="K158" s="38" t="s">
        <v>162</v>
      </c>
      <c r="L158" s="43">
        <v>0.125</v>
      </c>
      <c r="M158" s="43">
        <v>0.05</v>
      </c>
      <c r="N158" s="37"/>
      <c r="O158" s="41" t="s">
        <v>162</v>
      </c>
      <c r="P158" s="37">
        <f t="shared" si="17"/>
        <v>6</v>
      </c>
      <c r="Q158" s="41" t="s">
        <v>162</v>
      </c>
      <c r="R158" s="42">
        <f t="shared" si="18"/>
        <v>354112.5</v>
      </c>
      <c r="S158" s="42">
        <f t="shared" si="16"/>
        <v>319020.27027027024</v>
      </c>
    </row>
    <row r="159" spans="1:19" s="45" customFormat="1">
      <c r="A159" s="35" t="s">
        <v>169</v>
      </c>
      <c r="B159" s="36" t="s">
        <v>19</v>
      </c>
      <c r="C159" s="37"/>
      <c r="D159" s="38" t="s">
        <v>162</v>
      </c>
      <c r="E159" s="39">
        <v>2</v>
      </c>
      <c r="F159" s="40">
        <v>4</v>
      </c>
      <c r="G159" s="41" t="s">
        <v>34</v>
      </c>
      <c r="H159" s="40">
        <v>6</v>
      </c>
      <c r="I159" s="41" t="s">
        <v>162</v>
      </c>
      <c r="J159" s="42">
        <v>71000</v>
      </c>
      <c r="K159" s="38" t="s">
        <v>162</v>
      </c>
      <c r="L159" s="43">
        <v>0.125</v>
      </c>
      <c r="M159" s="43">
        <v>0.1</v>
      </c>
      <c r="N159" s="37">
        <v>24</v>
      </c>
      <c r="O159" s="41" t="s">
        <v>162</v>
      </c>
      <c r="P159" s="37">
        <f t="shared" si="17"/>
        <v>24</v>
      </c>
      <c r="Q159" s="41" t="s">
        <v>162</v>
      </c>
      <c r="R159" s="42">
        <f t="shared" si="18"/>
        <v>1341900</v>
      </c>
      <c r="S159" s="42">
        <f t="shared" si="16"/>
        <v>1208918.9189189188</v>
      </c>
    </row>
    <row r="160" spans="1:19" s="26" customFormat="1">
      <c r="A160" s="94" t="s">
        <v>170</v>
      </c>
      <c r="B160" s="26" t="s">
        <v>26</v>
      </c>
      <c r="C160" s="27">
        <v>432</v>
      </c>
      <c r="D160" s="28" t="s">
        <v>162</v>
      </c>
      <c r="E160" s="29"/>
      <c r="F160" s="30">
        <v>12</v>
      </c>
      <c r="G160" s="31" t="s">
        <v>43</v>
      </c>
      <c r="H160" s="30">
        <v>12</v>
      </c>
      <c r="I160" s="31" t="s">
        <v>162</v>
      </c>
      <c r="J160" s="32">
        <f>1512000/12/12</f>
        <v>10500</v>
      </c>
      <c r="K160" s="28" t="s">
        <v>162</v>
      </c>
      <c r="L160" s="33"/>
      <c r="M160" s="33">
        <v>0.17</v>
      </c>
      <c r="N160" s="27">
        <v>12</v>
      </c>
      <c r="O160" s="31" t="s">
        <v>162</v>
      </c>
      <c r="P160" s="27">
        <f t="shared" si="17"/>
        <v>420</v>
      </c>
      <c r="Q160" s="31" t="s">
        <v>162</v>
      </c>
      <c r="R160" s="32">
        <f t="shared" si="18"/>
        <v>3660300</v>
      </c>
      <c r="S160" s="32">
        <f t="shared" si="16"/>
        <v>3297567.5675675673</v>
      </c>
    </row>
    <row r="161" spans="1:19" s="26" customFormat="1">
      <c r="A161" s="94" t="s">
        <v>171</v>
      </c>
      <c r="B161" s="26" t="s">
        <v>26</v>
      </c>
      <c r="C161" s="27">
        <v>72</v>
      </c>
      <c r="D161" s="28" t="s">
        <v>162</v>
      </c>
      <c r="E161" s="29"/>
      <c r="F161" s="30">
        <v>6</v>
      </c>
      <c r="G161" s="31" t="s">
        <v>43</v>
      </c>
      <c r="H161" s="30">
        <v>12</v>
      </c>
      <c r="I161" s="31" t="s">
        <v>162</v>
      </c>
      <c r="J161" s="32">
        <f>1368000/6/12</f>
        <v>19000</v>
      </c>
      <c r="K161" s="28" t="s">
        <v>162</v>
      </c>
      <c r="L161" s="33"/>
      <c r="M161" s="33">
        <v>0.17</v>
      </c>
      <c r="N161" s="27">
        <v>12</v>
      </c>
      <c r="O161" s="31" t="s">
        <v>162</v>
      </c>
      <c r="P161" s="27">
        <f t="shared" si="17"/>
        <v>60</v>
      </c>
      <c r="Q161" s="31" t="s">
        <v>162</v>
      </c>
      <c r="R161" s="32">
        <f t="shared" si="18"/>
        <v>946200</v>
      </c>
      <c r="S161" s="32">
        <f t="shared" si="16"/>
        <v>852432.43243243231</v>
      </c>
    </row>
    <row r="162" spans="1:19" s="17" customFormat="1">
      <c r="A162" s="93" t="s">
        <v>172</v>
      </c>
      <c r="B162" s="17" t="s">
        <v>19</v>
      </c>
      <c r="C162" s="18"/>
      <c r="D162" s="19" t="s">
        <v>162</v>
      </c>
      <c r="E162" s="20"/>
      <c r="F162" s="21">
        <v>8</v>
      </c>
      <c r="G162" s="22" t="s">
        <v>34</v>
      </c>
      <c r="H162" s="21">
        <v>12</v>
      </c>
      <c r="I162" s="22" t="s">
        <v>162</v>
      </c>
      <c r="J162" s="23">
        <v>12500</v>
      </c>
      <c r="K162" s="19" t="s">
        <v>162</v>
      </c>
      <c r="L162" s="24">
        <v>0.125</v>
      </c>
      <c r="M162" s="24">
        <v>0.05</v>
      </c>
      <c r="N162" s="18"/>
      <c r="O162" s="22" t="s">
        <v>162</v>
      </c>
      <c r="P162" s="18">
        <f t="shared" si="17"/>
        <v>0</v>
      </c>
      <c r="Q162" s="22" t="s">
        <v>162</v>
      </c>
      <c r="R162" s="23">
        <f t="shared" si="18"/>
        <v>0</v>
      </c>
      <c r="S162" s="23">
        <f t="shared" si="16"/>
        <v>0</v>
      </c>
    </row>
    <row r="163" spans="1:19" s="17" customFormat="1">
      <c r="A163" s="93" t="s">
        <v>173</v>
      </c>
      <c r="B163" s="17" t="s">
        <v>19</v>
      </c>
      <c r="C163" s="18"/>
      <c r="D163" s="19" t="s">
        <v>162</v>
      </c>
      <c r="E163" s="20"/>
      <c r="F163" s="21">
        <v>1</v>
      </c>
      <c r="G163" s="22" t="s">
        <v>21</v>
      </c>
      <c r="H163" s="21">
        <v>144</v>
      </c>
      <c r="I163" s="22" t="s">
        <v>162</v>
      </c>
      <c r="J163" s="23">
        <v>11600</v>
      </c>
      <c r="K163" s="19" t="s">
        <v>162</v>
      </c>
      <c r="L163" s="24">
        <v>0.125</v>
      </c>
      <c r="M163" s="24">
        <v>0.05</v>
      </c>
      <c r="N163" s="18"/>
      <c r="O163" s="22" t="s">
        <v>162</v>
      </c>
      <c r="P163" s="18">
        <f t="shared" si="17"/>
        <v>0</v>
      </c>
      <c r="Q163" s="22" t="s">
        <v>162</v>
      </c>
      <c r="R163" s="23">
        <f t="shared" si="18"/>
        <v>0</v>
      </c>
      <c r="S163" s="23">
        <f t="shared" si="16"/>
        <v>0</v>
      </c>
    </row>
    <row r="164" spans="1:19" s="85" customFormat="1">
      <c r="A164" s="84" t="s">
        <v>174</v>
      </c>
      <c r="B164" s="85" t="s">
        <v>26</v>
      </c>
      <c r="C164" s="86">
        <v>420</v>
      </c>
      <c r="D164" s="87" t="s">
        <v>162</v>
      </c>
      <c r="E164" s="92"/>
      <c r="F164" s="88">
        <v>12</v>
      </c>
      <c r="G164" s="89" t="s">
        <v>43</v>
      </c>
      <c r="H164" s="88">
        <v>12</v>
      </c>
      <c r="I164" s="89" t="s">
        <v>162</v>
      </c>
      <c r="J164" s="90">
        <f>1944000/144</f>
        <v>13500</v>
      </c>
      <c r="K164" s="87" t="s">
        <v>162</v>
      </c>
      <c r="L164" s="91">
        <v>0.05</v>
      </c>
      <c r="M164" s="91">
        <v>0.17</v>
      </c>
      <c r="N164" s="86"/>
      <c r="O164" s="89" t="s">
        <v>162</v>
      </c>
      <c r="P164" s="86">
        <f t="shared" si="17"/>
        <v>420</v>
      </c>
      <c r="Q164" s="89" t="s">
        <v>162</v>
      </c>
      <c r="R164" s="90">
        <f t="shared" si="18"/>
        <v>4470795</v>
      </c>
      <c r="S164" s="32">
        <f t="shared" si="16"/>
        <v>4027743.2432432431</v>
      </c>
    </row>
    <row r="165" spans="1:19" s="17" customFormat="1">
      <c r="A165" s="16" t="s">
        <v>175</v>
      </c>
      <c r="B165" s="17" t="s">
        <v>26</v>
      </c>
      <c r="C165" s="18"/>
      <c r="D165" s="19" t="s">
        <v>162</v>
      </c>
      <c r="E165" s="20"/>
      <c r="F165" s="21">
        <v>6</v>
      </c>
      <c r="G165" s="22" t="s">
        <v>43</v>
      </c>
      <c r="H165" s="21">
        <v>12</v>
      </c>
      <c r="I165" s="22" t="s">
        <v>162</v>
      </c>
      <c r="J165" s="23">
        <f>1800000/72</f>
        <v>25000</v>
      </c>
      <c r="K165" s="19" t="s">
        <v>162</v>
      </c>
      <c r="L165" s="24">
        <v>0.05</v>
      </c>
      <c r="M165" s="24">
        <v>0.17</v>
      </c>
      <c r="N165" s="18"/>
      <c r="O165" s="22" t="s">
        <v>162</v>
      </c>
      <c r="P165" s="18">
        <f t="shared" si="17"/>
        <v>0</v>
      </c>
      <c r="Q165" s="22" t="s">
        <v>162</v>
      </c>
      <c r="R165" s="23">
        <f t="shared" si="18"/>
        <v>0</v>
      </c>
      <c r="S165" s="23">
        <f t="shared" si="16"/>
        <v>0</v>
      </c>
    </row>
    <row r="166" spans="1:19" s="17" customFormat="1">
      <c r="A166" s="16" t="s">
        <v>176</v>
      </c>
      <c r="B166" s="17" t="s">
        <v>26</v>
      </c>
      <c r="C166" s="18"/>
      <c r="D166" s="19" t="s">
        <v>162</v>
      </c>
      <c r="E166" s="20"/>
      <c r="F166" s="21">
        <v>8</v>
      </c>
      <c r="G166" s="22" t="s">
        <v>34</v>
      </c>
      <c r="H166" s="21">
        <v>6</v>
      </c>
      <c r="I166" s="22" t="s">
        <v>162</v>
      </c>
      <c r="J166" s="23">
        <f>1512000/8/6</f>
        <v>31500</v>
      </c>
      <c r="K166" s="19" t="s">
        <v>162</v>
      </c>
      <c r="L166" s="24">
        <v>0.05</v>
      </c>
      <c r="M166" s="24">
        <v>0.17</v>
      </c>
      <c r="N166" s="18"/>
      <c r="O166" s="22" t="s">
        <v>162</v>
      </c>
      <c r="P166" s="18">
        <f t="shared" si="17"/>
        <v>0</v>
      </c>
      <c r="Q166" s="22" t="s">
        <v>162</v>
      </c>
      <c r="R166" s="23">
        <f t="shared" si="18"/>
        <v>0</v>
      </c>
      <c r="S166" s="23">
        <f t="shared" si="16"/>
        <v>0</v>
      </c>
    </row>
    <row r="167" spans="1:19" s="26" customFormat="1">
      <c r="A167" s="25" t="s">
        <v>177</v>
      </c>
      <c r="B167" s="26" t="s">
        <v>26</v>
      </c>
      <c r="C167" s="27">
        <v>36</v>
      </c>
      <c r="D167" s="28" t="s">
        <v>162</v>
      </c>
      <c r="E167" s="29"/>
      <c r="F167" s="30">
        <v>6</v>
      </c>
      <c r="G167" s="31" t="s">
        <v>34</v>
      </c>
      <c r="H167" s="30">
        <v>6</v>
      </c>
      <c r="I167" s="31" t="s">
        <v>162</v>
      </c>
      <c r="J167" s="32">
        <f>1584000/6/6</f>
        <v>44000</v>
      </c>
      <c r="K167" s="28" t="s">
        <v>162</v>
      </c>
      <c r="L167" s="33">
        <v>0.05</v>
      </c>
      <c r="M167" s="33">
        <v>0.17</v>
      </c>
      <c r="N167" s="27"/>
      <c r="O167" s="31" t="s">
        <v>162</v>
      </c>
      <c r="P167" s="27">
        <f t="shared" si="17"/>
        <v>36</v>
      </c>
      <c r="Q167" s="31" t="s">
        <v>162</v>
      </c>
      <c r="R167" s="32">
        <f t="shared" si="18"/>
        <v>1248984</v>
      </c>
      <c r="S167" s="32">
        <f t="shared" si="16"/>
        <v>1125210.8108108107</v>
      </c>
    </row>
    <row r="168" spans="1:19">
      <c r="A168" s="34" t="s">
        <v>178</v>
      </c>
      <c r="B168" s="2" t="s">
        <v>26</v>
      </c>
      <c r="C168" s="3">
        <v>90</v>
      </c>
      <c r="D168" s="4" t="s">
        <v>162</v>
      </c>
      <c r="F168" s="6">
        <v>4</v>
      </c>
      <c r="G168" s="7" t="s">
        <v>34</v>
      </c>
      <c r="H168" s="6">
        <v>6</v>
      </c>
      <c r="I168" s="7" t="s">
        <v>162</v>
      </c>
      <c r="J168" s="8">
        <f>1560000/4/6</f>
        <v>65000</v>
      </c>
      <c r="K168" s="4" t="s">
        <v>162</v>
      </c>
      <c r="L168" s="9">
        <v>0.05</v>
      </c>
      <c r="M168" s="9">
        <v>0.17</v>
      </c>
      <c r="N168" s="3">
        <v>48</v>
      </c>
      <c r="O168" s="7" t="s">
        <v>162</v>
      </c>
      <c r="P168" s="3">
        <f t="shared" si="17"/>
        <v>42</v>
      </c>
      <c r="Q168" s="7" t="s">
        <v>162</v>
      </c>
      <c r="R168" s="8">
        <f t="shared" si="18"/>
        <v>2152605</v>
      </c>
      <c r="S168" s="32">
        <f t="shared" si="16"/>
        <v>1939283.7837837837</v>
      </c>
    </row>
    <row r="169" spans="1:19">
      <c r="A169" s="34" t="s">
        <v>179</v>
      </c>
      <c r="B169" s="2" t="s">
        <v>26</v>
      </c>
      <c r="C169" s="3">
        <v>48</v>
      </c>
      <c r="D169" s="4" t="s">
        <v>162</v>
      </c>
      <c r="F169" s="6">
        <v>4</v>
      </c>
      <c r="G169" s="7" t="s">
        <v>34</v>
      </c>
      <c r="H169" s="6">
        <v>6</v>
      </c>
      <c r="I169" s="7" t="s">
        <v>162</v>
      </c>
      <c r="J169" s="8">
        <f>1728000/4/6</f>
        <v>72000</v>
      </c>
      <c r="K169" s="4" t="s">
        <v>162</v>
      </c>
      <c r="L169" s="9">
        <v>0.05</v>
      </c>
      <c r="M169" s="9">
        <v>0.17</v>
      </c>
      <c r="O169" s="7" t="s">
        <v>162</v>
      </c>
      <c r="P169" s="3">
        <f t="shared" si="17"/>
        <v>48</v>
      </c>
      <c r="Q169" s="7" t="s">
        <v>162</v>
      </c>
      <c r="R169" s="8">
        <f t="shared" si="18"/>
        <v>2725056</v>
      </c>
      <c r="S169" s="32">
        <f t="shared" si="16"/>
        <v>2455005.405405405</v>
      </c>
    </row>
    <row r="170" spans="1:19">
      <c r="A170" s="15" t="s">
        <v>180</v>
      </c>
      <c r="S170" s="23"/>
    </row>
    <row r="171" spans="1:19" s="45" customFormat="1">
      <c r="A171" s="44" t="s">
        <v>181</v>
      </c>
      <c r="B171" s="45" t="s">
        <v>182</v>
      </c>
      <c r="C171" s="46">
        <v>1440</v>
      </c>
      <c r="D171" s="47" t="s">
        <v>162</v>
      </c>
      <c r="E171" s="48"/>
      <c r="F171" s="49">
        <v>1</v>
      </c>
      <c r="G171" s="50" t="s">
        <v>21</v>
      </c>
      <c r="H171" s="49">
        <v>144</v>
      </c>
      <c r="I171" s="50" t="s">
        <v>162</v>
      </c>
      <c r="J171" s="51">
        <v>14000</v>
      </c>
      <c r="K171" s="47" t="s">
        <v>162</v>
      </c>
      <c r="L171" s="52">
        <v>0.05</v>
      </c>
      <c r="M171" s="52">
        <v>0.03</v>
      </c>
      <c r="N171" s="46"/>
      <c r="O171" s="50" t="s">
        <v>162</v>
      </c>
      <c r="P171" s="46">
        <f t="shared" ref="P171:P178" si="21">(C171+(E171*F171*H171))-N171</f>
        <v>1440</v>
      </c>
      <c r="Q171" s="50" t="s">
        <v>162</v>
      </c>
      <c r="R171" s="51">
        <f t="shared" ref="R171:R178" si="22">P171*(J171-(J171*L171)-((J171-(J171*L171))*M171))</f>
        <v>18577440</v>
      </c>
      <c r="S171" s="32">
        <f t="shared" si="16"/>
        <v>16736432.432432432</v>
      </c>
    </row>
    <row r="172" spans="1:19" s="45" customFormat="1">
      <c r="A172" s="44" t="s">
        <v>183</v>
      </c>
      <c r="B172" s="45" t="s">
        <v>19</v>
      </c>
      <c r="C172" s="46">
        <v>288</v>
      </c>
      <c r="D172" s="47" t="s">
        <v>162</v>
      </c>
      <c r="E172" s="48"/>
      <c r="F172" s="49">
        <v>12</v>
      </c>
      <c r="G172" s="50" t="s">
        <v>34</v>
      </c>
      <c r="H172" s="49">
        <v>12</v>
      </c>
      <c r="I172" s="50" t="s">
        <v>162</v>
      </c>
      <c r="J172" s="51">
        <v>18000</v>
      </c>
      <c r="K172" s="47" t="s">
        <v>162</v>
      </c>
      <c r="L172" s="52">
        <v>0.125</v>
      </c>
      <c r="M172" s="52">
        <v>0.05</v>
      </c>
      <c r="N172" s="46"/>
      <c r="O172" s="50" t="s">
        <v>162</v>
      </c>
      <c r="P172" s="46">
        <f t="shared" si="21"/>
        <v>288</v>
      </c>
      <c r="Q172" s="50" t="s">
        <v>162</v>
      </c>
      <c r="R172" s="51">
        <f t="shared" si="22"/>
        <v>4309200</v>
      </c>
      <c r="S172" s="32">
        <f t="shared" si="16"/>
        <v>3882162.1621621619</v>
      </c>
    </row>
    <row r="173" spans="1:19" s="85" customFormat="1">
      <c r="A173" s="84" t="s">
        <v>184</v>
      </c>
      <c r="B173" s="85" t="s">
        <v>19</v>
      </c>
      <c r="C173" s="86">
        <v>576</v>
      </c>
      <c r="D173" s="87" t="s">
        <v>162</v>
      </c>
      <c r="E173" s="92"/>
      <c r="F173" s="88">
        <v>12</v>
      </c>
      <c r="G173" s="89" t="s">
        <v>34</v>
      </c>
      <c r="H173" s="88">
        <v>12</v>
      </c>
      <c r="I173" s="89" t="s">
        <v>162</v>
      </c>
      <c r="J173" s="90">
        <v>24000</v>
      </c>
      <c r="K173" s="87" t="s">
        <v>162</v>
      </c>
      <c r="L173" s="91">
        <v>0.125</v>
      </c>
      <c r="M173" s="91">
        <v>0.05</v>
      </c>
      <c r="N173" s="86"/>
      <c r="O173" s="89" t="s">
        <v>162</v>
      </c>
      <c r="P173" s="86">
        <f t="shared" si="21"/>
        <v>576</v>
      </c>
      <c r="Q173" s="89" t="s">
        <v>162</v>
      </c>
      <c r="R173" s="90">
        <f t="shared" si="22"/>
        <v>11491200</v>
      </c>
      <c r="S173" s="32">
        <f t="shared" si="16"/>
        <v>10352432.432432432</v>
      </c>
    </row>
    <row r="174" spans="1:19" s="17" customFormat="1">
      <c r="A174" s="16" t="s">
        <v>185</v>
      </c>
      <c r="B174" s="17" t="s">
        <v>19</v>
      </c>
      <c r="C174" s="18"/>
      <c r="D174" s="19" t="s">
        <v>162</v>
      </c>
      <c r="E174" s="20"/>
      <c r="F174" s="21">
        <v>12</v>
      </c>
      <c r="G174" s="22" t="s">
        <v>34</v>
      </c>
      <c r="H174" s="21">
        <v>6</v>
      </c>
      <c r="I174" s="22" t="s">
        <v>162</v>
      </c>
      <c r="J174" s="23">
        <v>48000</v>
      </c>
      <c r="K174" s="19" t="s">
        <v>162</v>
      </c>
      <c r="L174" s="24">
        <v>0.125</v>
      </c>
      <c r="M174" s="24">
        <v>0.05</v>
      </c>
      <c r="N174" s="18"/>
      <c r="O174" s="22" t="s">
        <v>162</v>
      </c>
      <c r="P174" s="18">
        <f t="shared" si="21"/>
        <v>0</v>
      </c>
      <c r="Q174" s="22" t="s">
        <v>162</v>
      </c>
      <c r="R174" s="23">
        <f t="shared" si="22"/>
        <v>0</v>
      </c>
      <c r="S174" s="23">
        <f t="shared" si="16"/>
        <v>0</v>
      </c>
    </row>
    <row r="175" spans="1:19" s="17" customFormat="1">
      <c r="A175" s="16" t="s">
        <v>186</v>
      </c>
      <c r="B175" s="17" t="s">
        <v>26</v>
      </c>
      <c r="C175" s="18"/>
      <c r="D175" s="19" t="s">
        <v>162</v>
      </c>
      <c r="E175" s="20"/>
      <c r="F175" s="21">
        <v>12</v>
      </c>
      <c r="G175" s="22" t="s">
        <v>43</v>
      </c>
      <c r="H175" s="21">
        <v>12</v>
      </c>
      <c r="I175" s="22" t="s">
        <v>162</v>
      </c>
      <c r="J175" s="23">
        <f>2592000/12/12</f>
        <v>18000</v>
      </c>
      <c r="K175" s="19" t="s">
        <v>162</v>
      </c>
      <c r="L175" s="24"/>
      <c r="M175" s="24">
        <v>0.17</v>
      </c>
      <c r="N175" s="18"/>
      <c r="O175" s="22" t="s">
        <v>162</v>
      </c>
      <c r="P175" s="18">
        <f t="shared" si="21"/>
        <v>0</v>
      </c>
      <c r="Q175" s="22" t="s">
        <v>162</v>
      </c>
      <c r="R175" s="23">
        <f t="shared" si="22"/>
        <v>0</v>
      </c>
      <c r="S175" s="23">
        <f t="shared" si="16"/>
        <v>0</v>
      </c>
    </row>
    <row r="176" spans="1:19" s="17" customFormat="1">
      <c r="A176" s="16" t="s">
        <v>187</v>
      </c>
      <c r="B176" s="17" t="s">
        <v>26</v>
      </c>
      <c r="C176" s="18"/>
      <c r="D176" s="19" t="s">
        <v>162</v>
      </c>
      <c r="E176" s="20"/>
      <c r="F176" s="21">
        <v>8</v>
      </c>
      <c r="G176" s="22" t="s">
        <v>43</v>
      </c>
      <c r="H176" s="21">
        <v>12</v>
      </c>
      <c r="I176" s="22" t="s">
        <v>162</v>
      </c>
      <c r="J176" s="23">
        <v>24500</v>
      </c>
      <c r="K176" s="19" t="s">
        <v>162</v>
      </c>
      <c r="L176" s="24"/>
      <c r="M176" s="24">
        <v>0.17</v>
      </c>
      <c r="N176" s="18"/>
      <c r="O176" s="22" t="s">
        <v>162</v>
      </c>
      <c r="P176" s="18">
        <f t="shared" si="21"/>
        <v>0</v>
      </c>
      <c r="Q176" s="22" t="s">
        <v>162</v>
      </c>
      <c r="R176" s="23">
        <f t="shared" si="22"/>
        <v>0</v>
      </c>
      <c r="S176" s="23">
        <f t="shared" si="16"/>
        <v>0</v>
      </c>
    </row>
    <row r="177" spans="1:19" s="26" customFormat="1">
      <c r="A177" s="25" t="s">
        <v>188</v>
      </c>
      <c r="B177" s="26" t="s">
        <v>26</v>
      </c>
      <c r="C177" s="27">
        <v>120</v>
      </c>
      <c r="D177" s="28" t="s">
        <v>162</v>
      </c>
      <c r="E177" s="29"/>
      <c r="F177" s="30">
        <v>12</v>
      </c>
      <c r="G177" s="31" t="s">
        <v>43</v>
      </c>
      <c r="H177" s="30">
        <v>12</v>
      </c>
      <c r="I177" s="31" t="s">
        <v>162</v>
      </c>
      <c r="J177" s="32">
        <f>3528000/144</f>
        <v>24500</v>
      </c>
      <c r="K177" s="28" t="s">
        <v>162</v>
      </c>
      <c r="L177" s="33">
        <v>0.05</v>
      </c>
      <c r="M177" s="33">
        <v>0.17</v>
      </c>
      <c r="N177" s="27">
        <v>12</v>
      </c>
      <c r="O177" s="31" t="s">
        <v>162</v>
      </c>
      <c r="P177" s="27">
        <f t="shared" si="21"/>
        <v>108</v>
      </c>
      <c r="Q177" s="31" t="s">
        <v>162</v>
      </c>
      <c r="R177" s="32">
        <f t="shared" si="22"/>
        <v>2086371</v>
      </c>
      <c r="S177" s="32">
        <f t="shared" si="16"/>
        <v>1879613.5135135134</v>
      </c>
    </row>
    <row r="178" spans="1:19" s="17" customFormat="1">
      <c r="A178" s="16" t="s">
        <v>189</v>
      </c>
      <c r="B178" s="17" t="s">
        <v>26</v>
      </c>
      <c r="C178" s="18"/>
      <c r="D178" s="19" t="s">
        <v>162</v>
      </c>
      <c r="E178" s="20"/>
      <c r="F178" s="21">
        <v>6</v>
      </c>
      <c r="G178" s="22" t="s">
        <v>43</v>
      </c>
      <c r="H178" s="21">
        <v>12</v>
      </c>
      <c r="I178" s="22" t="s">
        <v>162</v>
      </c>
      <c r="J178" s="23">
        <v>36000</v>
      </c>
      <c r="K178" s="19" t="s">
        <v>162</v>
      </c>
      <c r="L178" s="24">
        <v>0.05</v>
      </c>
      <c r="M178" s="24">
        <v>0.17</v>
      </c>
      <c r="N178" s="18"/>
      <c r="O178" s="22" t="s">
        <v>162</v>
      </c>
      <c r="P178" s="18">
        <f t="shared" si="21"/>
        <v>0</v>
      </c>
      <c r="Q178" s="22" t="s">
        <v>162</v>
      </c>
      <c r="R178" s="23">
        <f t="shared" si="22"/>
        <v>0</v>
      </c>
      <c r="S178" s="23">
        <f t="shared" si="16"/>
        <v>0</v>
      </c>
    </row>
    <row r="179" spans="1:19">
      <c r="A179" s="15" t="s">
        <v>190</v>
      </c>
      <c r="S179" s="23"/>
    </row>
    <row r="180" spans="1:19" s="17" customFormat="1">
      <c r="A180" s="16" t="s">
        <v>191</v>
      </c>
      <c r="B180" s="17" t="s">
        <v>192</v>
      </c>
      <c r="C180" s="18"/>
      <c r="D180" s="19" t="s">
        <v>43</v>
      </c>
      <c r="E180" s="20"/>
      <c r="F180" s="21">
        <v>1</v>
      </c>
      <c r="G180" s="22" t="s">
        <v>21</v>
      </c>
      <c r="H180" s="21">
        <v>5</v>
      </c>
      <c r="I180" s="22" t="s">
        <v>43</v>
      </c>
      <c r="J180" s="23">
        <v>475000</v>
      </c>
      <c r="K180" s="19" t="s">
        <v>43</v>
      </c>
      <c r="L180" s="24"/>
      <c r="M180" s="24"/>
      <c r="N180" s="18"/>
      <c r="O180" s="22" t="s">
        <v>43</v>
      </c>
      <c r="P180" s="18">
        <f>(C180+(E180*F180*H180))-N180</f>
        <v>0</v>
      </c>
      <c r="Q180" s="22" t="s">
        <v>43</v>
      </c>
      <c r="R180" s="23">
        <f>P180*(J180-(J180*L180)-((J180-(J180*L180))*M180))</f>
        <v>0</v>
      </c>
      <c r="S180" s="23">
        <f t="shared" si="16"/>
        <v>0</v>
      </c>
    </row>
    <row r="181" spans="1:19" s="63" customFormat="1">
      <c r="A181" s="72" t="s">
        <v>193</v>
      </c>
      <c r="B181" s="63" t="s">
        <v>19</v>
      </c>
      <c r="C181" s="64"/>
      <c r="D181" s="65" t="s">
        <v>162</v>
      </c>
      <c r="E181" s="66"/>
      <c r="F181" s="67">
        <v>8</v>
      </c>
      <c r="G181" s="68" t="s">
        <v>34</v>
      </c>
      <c r="H181" s="67">
        <v>12</v>
      </c>
      <c r="I181" s="68" t="s">
        <v>162</v>
      </c>
      <c r="J181" s="69">
        <v>22500</v>
      </c>
      <c r="K181" s="65" t="s">
        <v>162</v>
      </c>
      <c r="L181" s="70">
        <v>0.125</v>
      </c>
      <c r="M181" s="70">
        <v>0.05</v>
      </c>
      <c r="N181" s="64"/>
      <c r="O181" s="68" t="s">
        <v>162</v>
      </c>
      <c r="P181" s="64">
        <f>(C181+(E181*F181*H181))-N181</f>
        <v>0</v>
      </c>
      <c r="Q181" s="68" t="s">
        <v>162</v>
      </c>
      <c r="R181" s="69">
        <f>P181*(J181-(J181*L181)-((J181-(J181*L181))*M181))</f>
        <v>0</v>
      </c>
      <c r="S181" s="23">
        <f t="shared" si="16"/>
        <v>0</v>
      </c>
    </row>
    <row r="182" spans="1:19" s="63" customFormat="1">
      <c r="A182" s="72" t="s">
        <v>194</v>
      </c>
      <c r="B182" s="63" t="s">
        <v>19</v>
      </c>
      <c r="C182" s="64">
        <v>72</v>
      </c>
      <c r="D182" s="65" t="s">
        <v>162</v>
      </c>
      <c r="E182" s="66"/>
      <c r="F182" s="67">
        <v>6</v>
      </c>
      <c r="G182" s="68" t="s">
        <v>34</v>
      </c>
      <c r="H182" s="67">
        <v>12</v>
      </c>
      <c r="I182" s="68" t="s">
        <v>162</v>
      </c>
      <c r="J182" s="69">
        <v>41500</v>
      </c>
      <c r="K182" s="65" t="s">
        <v>162</v>
      </c>
      <c r="L182" s="70">
        <v>0.125</v>
      </c>
      <c r="M182" s="70">
        <v>0.05</v>
      </c>
      <c r="N182" s="64">
        <v>72</v>
      </c>
      <c r="O182" s="68" t="s">
        <v>162</v>
      </c>
      <c r="P182" s="64">
        <f>(C182+(E182*F182*H182))-N182</f>
        <v>0</v>
      </c>
      <c r="Q182" s="68" t="s">
        <v>162</v>
      </c>
      <c r="R182" s="69">
        <f>P182*(J182-(J182*L182)-((J182-(J182*L182))*M182))</f>
        <v>0</v>
      </c>
      <c r="S182" s="23">
        <f t="shared" si="16"/>
        <v>0</v>
      </c>
    </row>
    <row r="183" spans="1:19">
      <c r="S183" s="23"/>
    </row>
    <row r="184" spans="1:19" ht="15.75">
      <c r="A184" s="14" t="s">
        <v>195</v>
      </c>
      <c r="S184" s="23"/>
    </row>
    <row r="185" spans="1:19">
      <c r="A185" s="15" t="s">
        <v>196</v>
      </c>
      <c r="S185" s="23"/>
    </row>
    <row r="186" spans="1:19" s="17" customFormat="1">
      <c r="A186" s="16" t="s">
        <v>197</v>
      </c>
      <c r="B186" s="17" t="s">
        <v>19</v>
      </c>
      <c r="C186" s="18"/>
      <c r="D186" s="19" t="s">
        <v>43</v>
      </c>
      <c r="E186" s="20"/>
      <c r="F186" s="21">
        <v>1</v>
      </c>
      <c r="G186" s="22" t="s">
        <v>21</v>
      </c>
      <c r="H186" s="21">
        <v>24</v>
      </c>
      <c r="I186" s="22" t="s">
        <v>43</v>
      </c>
      <c r="J186" s="23">
        <v>73200</v>
      </c>
      <c r="K186" s="19" t="s">
        <v>43</v>
      </c>
      <c r="L186" s="24">
        <v>0.125</v>
      </c>
      <c r="M186" s="24">
        <v>0.05</v>
      </c>
      <c r="N186" s="18"/>
      <c r="O186" s="22" t="s">
        <v>43</v>
      </c>
      <c r="P186" s="18">
        <f t="shared" ref="P186:P192" si="23">(C186+(E186*F186*H186))-N186</f>
        <v>0</v>
      </c>
      <c r="Q186" s="22" t="s">
        <v>43</v>
      </c>
      <c r="R186" s="23">
        <f t="shared" ref="R186:R192" si="24">P186*(J186-(J186*L186)-((J186-(J186*L186))*M186))</f>
        <v>0</v>
      </c>
      <c r="S186" s="23">
        <f t="shared" si="16"/>
        <v>0</v>
      </c>
    </row>
    <row r="187" spans="1:19" s="17" customFormat="1">
      <c r="A187" s="16" t="s">
        <v>198</v>
      </c>
      <c r="B187" s="17" t="s">
        <v>19</v>
      </c>
      <c r="C187" s="18"/>
      <c r="D187" s="19" t="s">
        <v>43</v>
      </c>
      <c r="E187" s="20"/>
      <c r="F187" s="21">
        <v>1</v>
      </c>
      <c r="G187" s="22" t="s">
        <v>21</v>
      </c>
      <c r="H187" s="21">
        <v>48</v>
      </c>
      <c r="I187" s="22" t="s">
        <v>43</v>
      </c>
      <c r="J187" s="23">
        <v>50400</v>
      </c>
      <c r="K187" s="19" t="s">
        <v>43</v>
      </c>
      <c r="L187" s="24">
        <v>0.125</v>
      </c>
      <c r="M187" s="24">
        <v>0.05</v>
      </c>
      <c r="N187" s="18"/>
      <c r="O187" s="22" t="s">
        <v>43</v>
      </c>
      <c r="P187" s="18">
        <f t="shared" si="23"/>
        <v>0</v>
      </c>
      <c r="Q187" s="22" t="s">
        <v>43</v>
      </c>
      <c r="R187" s="23">
        <f t="shared" si="24"/>
        <v>0</v>
      </c>
      <c r="S187" s="23">
        <f t="shared" si="16"/>
        <v>0</v>
      </c>
    </row>
    <row r="188" spans="1:19" s="17" customFormat="1">
      <c r="A188" s="16" t="s">
        <v>199</v>
      </c>
      <c r="B188" s="17" t="s">
        <v>19</v>
      </c>
      <c r="C188" s="18"/>
      <c r="D188" s="19" t="s">
        <v>43</v>
      </c>
      <c r="E188" s="20"/>
      <c r="F188" s="21">
        <v>1</v>
      </c>
      <c r="G188" s="22" t="s">
        <v>21</v>
      </c>
      <c r="H188" s="21">
        <v>48</v>
      </c>
      <c r="I188" s="22" t="s">
        <v>43</v>
      </c>
      <c r="J188" s="23">
        <v>57000</v>
      </c>
      <c r="K188" s="19" t="s">
        <v>43</v>
      </c>
      <c r="L188" s="24">
        <v>0.125</v>
      </c>
      <c r="M188" s="24">
        <v>0.05</v>
      </c>
      <c r="N188" s="18"/>
      <c r="O188" s="22" t="s">
        <v>43</v>
      </c>
      <c r="P188" s="18">
        <f t="shared" si="23"/>
        <v>0</v>
      </c>
      <c r="Q188" s="22" t="s">
        <v>43</v>
      </c>
      <c r="R188" s="23">
        <f t="shared" si="24"/>
        <v>0</v>
      </c>
      <c r="S188" s="23">
        <f t="shared" si="16"/>
        <v>0</v>
      </c>
    </row>
    <row r="189" spans="1:19" s="63" customFormat="1">
      <c r="A189" s="72" t="s">
        <v>200</v>
      </c>
      <c r="B189" s="63" t="s">
        <v>19</v>
      </c>
      <c r="C189" s="64">
        <v>25</v>
      </c>
      <c r="D189" s="65" t="s">
        <v>43</v>
      </c>
      <c r="E189" s="66"/>
      <c r="F189" s="67">
        <v>1</v>
      </c>
      <c r="G189" s="68" t="s">
        <v>21</v>
      </c>
      <c r="H189" s="67">
        <v>24</v>
      </c>
      <c r="I189" s="68" t="s">
        <v>43</v>
      </c>
      <c r="J189" s="69">
        <v>162000</v>
      </c>
      <c r="K189" s="65" t="s">
        <v>43</v>
      </c>
      <c r="L189" s="70">
        <v>0.125</v>
      </c>
      <c r="M189" s="70">
        <v>0.05</v>
      </c>
      <c r="N189" s="64">
        <f>19+6</f>
        <v>25</v>
      </c>
      <c r="O189" s="68" t="s">
        <v>43</v>
      </c>
      <c r="P189" s="64">
        <f t="shared" si="23"/>
        <v>0</v>
      </c>
      <c r="Q189" s="68" t="s">
        <v>43</v>
      </c>
      <c r="R189" s="69">
        <f t="shared" si="24"/>
        <v>0</v>
      </c>
      <c r="S189" s="69">
        <f t="shared" si="16"/>
        <v>0</v>
      </c>
    </row>
    <row r="190" spans="1:19" s="85" customFormat="1">
      <c r="A190" s="84" t="s">
        <v>201</v>
      </c>
      <c r="B190" s="85" t="s">
        <v>26</v>
      </c>
      <c r="C190" s="86">
        <v>113</v>
      </c>
      <c r="D190" s="87" t="s">
        <v>43</v>
      </c>
      <c r="E190" s="92"/>
      <c r="F190" s="88">
        <v>1</v>
      </c>
      <c r="G190" s="89" t="s">
        <v>21</v>
      </c>
      <c r="H190" s="88">
        <v>30</v>
      </c>
      <c r="I190" s="89" t="s">
        <v>43</v>
      </c>
      <c r="J190" s="90">
        <f>1566000/30</f>
        <v>52200</v>
      </c>
      <c r="K190" s="87" t="s">
        <v>43</v>
      </c>
      <c r="L190" s="91"/>
      <c r="M190" s="91">
        <v>0.17</v>
      </c>
      <c r="N190" s="86">
        <f>60+2+6+6</f>
        <v>74</v>
      </c>
      <c r="O190" s="89" t="s">
        <v>43</v>
      </c>
      <c r="P190" s="86">
        <f t="shared" si="23"/>
        <v>39</v>
      </c>
      <c r="Q190" s="89" t="s">
        <v>43</v>
      </c>
      <c r="R190" s="90">
        <f t="shared" si="24"/>
        <v>1689714</v>
      </c>
      <c r="S190" s="32">
        <f t="shared" si="16"/>
        <v>1522264.8648648646</v>
      </c>
    </row>
    <row r="191" spans="1:19" s="26" customFormat="1">
      <c r="A191" s="25" t="s">
        <v>202</v>
      </c>
      <c r="B191" s="26" t="s">
        <v>26</v>
      </c>
      <c r="C191" s="27">
        <v>146</v>
      </c>
      <c r="D191" s="28" t="s">
        <v>43</v>
      </c>
      <c r="E191" s="29"/>
      <c r="F191" s="30">
        <v>1</v>
      </c>
      <c r="G191" s="31" t="s">
        <v>21</v>
      </c>
      <c r="H191" s="30">
        <v>30</v>
      </c>
      <c r="I191" s="31" t="s">
        <v>43</v>
      </c>
      <c r="J191" s="32">
        <f>1710000/30</f>
        <v>57000</v>
      </c>
      <c r="K191" s="28" t="s">
        <v>43</v>
      </c>
      <c r="L191" s="33"/>
      <c r="M191" s="33">
        <v>0.17</v>
      </c>
      <c r="N191" s="27">
        <f>60+60+2+1</f>
        <v>123</v>
      </c>
      <c r="O191" s="31" t="s">
        <v>43</v>
      </c>
      <c r="P191" s="27">
        <f t="shared" si="23"/>
        <v>23</v>
      </c>
      <c r="Q191" s="31" t="s">
        <v>43</v>
      </c>
      <c r="R191" s="32">
        <f t="shared" si="24"/>
        <v>1088130</v>
      </c>
      <c r="S191" s="32">
        <f t="shared" si="16"/>
        <v>980297.29729729716</v>
      </c>
    </row>
    <row r="192" spans="1:19" s="45" customFormat="1">
      <c r="A192" s="44" t="s">
        <v>203</v>
      </c>
      <c r="B192" s="45" t="s">
        <v>26</v>
      </c>
      <c r="C192" s="46">
        <v>43</v>
      </c>
      <c r="D192" s="47" t="s">
        <v>43</v>
      </c>
      <c r="E192" s="48">
        <f>5+5+3</f>
        <v>13</v>
      </c>
      <c r="F192" s="49">
        <v>1</v>
      </c>
      <c r="G192" s="50" t="s">
        <v>21</v>
      </c>
      <c r="H192" s="49">
        <v>20</v>
      </c>
      <c r="I192" s="50" t="s">
        <v>43</v>
      </c>
      <c r="J192" s="51">
        <f>2952000/20</f>
        <v>147600</v>
      </c>
      <c r="K192" s="47" t="s">
        <v>43</v>
      </c>
      <c r="L192" s="52"/>
      <c r="M192" s="52">
        <v>0.17</v>
      </c>
      <c r="N192" s="46">
        <f>20+40+5+60+3+5+6+20+5+2+6+20+20+6</f>
        <v>218</v>
      </c>
      <c r="O192" s="50" t="s">
        <v>43</v>
      </c>
      <c r="P192" s="46">
        <f t="shared" si="23"/>
        <v>85</v>
      </c>
      <c r="Q192" s="50" t="s">
        <v>43</v>
      </c>
      <c r="R192" s="51">
        <f t="shared" si="24"/>
        <v>10413180</v>
      </c>
      <c r="S192" s="51">
        <f t="shared" si="16"/>
        <v>9381243.2432432417</v>
      </c>
    </row>
    <row r="193" spans="1:19">
      <c r="A193" s="15" t="s">
        <v>204</v>
      </c>
      <c r="S193" s="23"/>
    </row>
    <row r="194" spans="1:19" s="63" customFormat="1">
      <c r="A194" s="72" t="s">
        <v>205</v>
      </c>
      <c r="B194" s="63" t="s">
        <v>19</v>
      </c>
      <c r="C194" s="64"/>
      <c r="D194" s="65" t="s">
        <v>43</v>
      </c>
      <c r="E194" s="66">
        <v>2</v>
      </c>
      <c r="F194" s="67">
        <v>1</v>
      </c>
      <c r="G194" s="68" t="s">
        <v>21</v>
      </c>
      <c r="H194" s="67">
        <v>120</v>
      </c>
      <c r="I194" s="68" t="s">
        <v>43</v>
      </c>
      <c r="J194" s="69">
        <v>24600</v>
      </c>
      <c r="K194" s="65" t="s">
        <v>43</v>
      </c>
      <c r="L194" s="70">
        <v>0.125</v>
      </c>
      <c r="M194" s="70">
        <v>0.05</v>
      </c>
      <c r="N194" s="64">
        <f>120+10+240-130</f>
        <v>240</v>
      </c>
      <c r="O194" s="68" t="s">
        <v>43</v>
      </c>
      <c r="P194" s="64">
        <f t="shared" ref="P194:P198" si="25">(C194+(E194*F194*H194))-N194</f>
        <v>0</v>
      </c>
      <c r="Q194" s="68" t="s">
        <v>43</v>
      </c>
      <c r="R194" s="69">
        <f t="shared" ref="R194:R198" si="26">P194*(J194-(J194*L194)-((J194-(J194*L194))*M194))</f>
        <v>0</v>
      </c>
      <c r="S194" s="23">
        <f t="shared" si="16"/>
        <v>0</v>
      </c>
    </row>
    <row r="195" spans="1:19" s="45" customFormat="1">
      <c r="A195" s="35" t="s">
        <v>206</v>
      </c>
      <c r="B195" s="36" t="s">
        <v>19</v>
      </c>
      <c r="C195" s="37"/>
      <c r="D195" s="38" t="s">
        <v>43</v>
      </c>
      <c r="E195" s="39">
        <f>1+1</f>
        <v>2</v>
      </c>
      <c r="F195" s="40">
        <v>1</v>
      </c>
      <c r="G195" s="41" t="s">
        <v>21</v>
      </c>
      <c r="H195" s="40">
        <v>40</v>
      </c>
      <c r="I195" s="41" t="s">
        <v>43</v>
      </c>
      <c r="J195" s="42">
        <v>49200</v>
      </c>
      <c r="K195" s="38" t="s">
        <v>43</v>
      </c>
      <c r="L195" s="43">
        <v>0.125</v>
      </c>
      <c r="M195" s="43">
        <v>0.05</v>
      </c>
      <c r="N195" s="37">
        <v>40</v>
      </c>
      <c r="O195" s="41" t="s">
        <v>43</v>
      </c>
      <c r="P195" s="37">
        <f t="shared" si="25"/>
        <v>40</v>
      </c>
      <c r="Q195" s="41" t="s">
        <v>43</v>
      </c>
      <c r="R195" s="42">
        <f t="shared" si="26"/>
        <v>1635900</v>
      </c>
      <c r="S195" s="42">
        <f t="shared" si="16"/>
        <v>1473783.7837837837</v>
      </c>
    </row>
    <row r="196" spans="1:19" s="45" customFormat="1">
      <c r="A196" s="35" t="s">
        <v>207</v>
      </c>
      <c r="B196" s="36" t="s">
        <v>19</v>
      </c>
      <c r="C196" s="37">
        <v>7</v>
      </c>
      <c r="D196" s="38" t="s">
        <v>43</v>
      </c>
      <c r="E196" s="39"/>
      <c r="F196" s="40">
        <v>1</v>
      </c>
      <c r="G196" s="41" t="s">
        <v>21</v>
      </c>
      <c r="H196" s="40">
        <v>40</v>
      </c>
      <c r="I196" s="41" t="s">
        <v>43</v>
      </c>
      <c r="J196" s="42">
        <v>0</v>
      </c>
      <c r="K196" s="38" t="s">
        <v>43</v>
      </c>
      <c r="L196" s="43">
        <v>0</v>
      </c>
      <c r="M196" s="43">
        <v>0</v>
      </c>
      <c r="N196" s="37"/>
      <c r="O196" s="41" t="s">
        <v>43</v>
      </c>
      <c r="P196" s="37">
        <f t="shared" si="25"/>
        <v>7</v>
      </c>
      <c r="Q196" s="41" t="s">
        <v>43</v>
      </c>
      <c r="R196" s="42">
        <f t="shared" si="26"/>
        <v>0</v>
      </c>
      <c r="S196" s="42">
        <f t="shared" si="16"/>
        <v>0</v>
      </c>
    </row>
    <row r="197" spans="1:19" s="45" customFormat="1">
      <c r="A197" s="44" t="s">
        <v>208</v>
      </c>
      <c r="B197" s="45" t="s">
        <v>26</v>
      </c>
      <c r="C197" s="46">
        <v>497</v>
      </c>
      <c r="D197" s="47" t="s">
        <v>43</v>
      </c>
      <c r="E197" s="48">
        <v>1</v>
      </c>
      <c r="F197" s="49">
        <v>1</v>
      </c>
      <c r="G197" s="50" t="s">
        <v>21</v>
      </c>
      <c r="H197" s="49">
        <v>120</v>
      </c>
      <c r="I197" s="50" t="s">
        <v>43</v>
      </c>
      <c r="J197" s="51">
        <f>3744000/120</f>
        <v>31200</v>
      </c>
      <c r="K197" s="47" t="s">
        <v>43</v>
      </c>
      <c r="L197" s="52"/>
      <c r="M197" s="52">
        <v>0.17</v>
      </c>
      <c r="N197" s="46">
        <f>120+15+10+10+2</f>
        <v>157</v>
      </c>
      <c r="O197" s="50" t="s">
        <v>43</v>
      </c>
      <c r="P197" s="46">
        <f t="shared" si="25"/>
        <v>460</v>
      </c>
      <c r="Q197" s="50" t="s">
        <v>43</v>
      </c>
      <c r="R197" s="51">
        <f t="shared" si="26"/>
        <v>11912160</v>
      </c>
      <c r="S197" s="51">
        <f t="shared" si="16"/>
        <v>10731675.675675675</v>
      </c>
    </row>
    <row r="198" spans="1:19" s="45" customFormat="1">
      <c r="A198" s="44" t="s">
        <v>209</v>
      </c>
      <c r="B198" s="45" t="s">
        <v>26</v>
      </c>
      <c r="C198" s="46">
        <v>592</v>
      </c>
      <c r="D198" s="47" t="s">
        <v>43</v>
      </c>
      <c r="E198" s="48">
        <f>10+2</f>
        <v>12</v>
      </c>
      <c r="F198" s="49">
        <v>1</v>
      </c>
      <c r="G198" s="50" t="s">
        <v>21</v>
      </c>
      <c r="H198" s="49">
        <v>60</v>
      </c>
      <c r="I198" s="50" t="s">
        <v>43</v>
      </c>
      <c r="J198" s="51">
        <f>3744000/60</f>
        <v>62400</v>
      </c>
      <c r="K198" s="47" t="s">
        <v>43</v>
      </c>
      <c r="L198" s="52"/>
      <c r="M198" s="52">
        <v>0.17</v>
      </c>
      <c r="N198" s="46">
        <f>600+60+15+10+30+60+120+10+20+60</f>
        <v>985</v>
      </c>
      <c r="O198" s="50" t="s">
        <v>43</v>
      </c>
      <c r="P198" s="46">
        <f t="shared" si="25"/>
        <v>327</v>
      </c>
      <c r="Q198" s="50" t="s">
        <v>43</v>
      </c>
      <c r="R198" s="51">
        <f t="shared" si="26"/>
        <v>16935984</v>
      </c>
      <c r="S198" s="51">
        <f t="shared" si="16"/>
        <v>15257643.243243242</v>
      </c>
    </row>
    <row r="199" spans="1:19">
      <c r="A199" s="15" t="s">
        <v>210</v>
      </c>
      <c r="S199" s="23"/>
    </row>
    <row r="200" spans="1:19" s="17" customFormat="1">
      <c r="A200" s="16" t="s">
        <v>211</v>
      </c>
      <c r="B200" s="17" t="s">
        <v>19</v>
      </c>
      <c r="C200" s="18"/>
      <c r="D200" s="19" t="s">
        <v>20</v>
      </c>
      <c r="E200" s="20">
        <v>1</v>
      </c>
      <c r="F200" s="21">
        <v>1</v>
      </c>
      <c r="G200" s="22" t="s">
        <v>21</v>
      </c>
      <c r="H200" s="21">
        <v>5</v>
      </c>
      <c r="I200" s="22" t="s">
        <v>20</v>
      </c>
      <c r="J200" s="23">
        <v>214000</v>
      </c>
      <c r="K200" s="19" t="s">
        <v>20</v>
      </c>
      <c r="L200" s="24">
        <v>0.125</v>
      </c>
      <c r="M200" s="24">
        <v>0.05</v>
      </c>
      <c r="N200" s="18">
        <v>5</v>
      </c>
      <c r="O200" s="22" t="s">
        <v>20</v>
      </c>
      <c r="P200" s="18">
        <f>(C200+(E200*F200*H200))-N200</f>
        <v>0</v>
      </c>
      <c r="Q200" s="22" t="s">
        <v>20</v>
      </c>
      <c r="R200" s="23">
        <f>P200*(J200-(J200*L200)-((J200-(J200*L200))*M200))</f>
        <v>0</v>
      </c>
      <c r="S200" s="23">
        <f t="shared" si="16"/>
        <v>0</v>
      </c>
    </row>
    <row r="201" spans="1:19" s="26" customFormat="1">
      <c r="A201" s="25" t="s">
        <v>212</v>
      </c>
      <c r="B201" s="26" t="s">
        <v>19</v>
      </c>
      <c r="C201" s="27">
        <v>5</v>
      </c>
      <c r="D201" s="28" t="s">
        <v>20</v>
      </c>
      <c r="E201" s="29"/>
      <c r="F201" s="30">
        <v>1</v>
      </c>
      <c r="G201" s="31" t="s">
        <v>21</v>
      </c>
      <c r="H201" s="30">
        <v>5</v>
      </c>
      <c r="I201" s="31" t="s">
        <v>20</v>
      </c>
      <c r="J201" s="32">
        <v>219000</v>
      </c>
      <c r="K201" s="28" t="s">
        <v>20</v>
      </c>
      <c r="L201" s="33">
        <v>0.125</v>
      </c>
      <c r="M201" s="33">
        <v>0.05</v>
      </c>
      <c r="N201" s="27"/>
      <c r="O201" s="31" t="s">
        <v>20</v>
      </c>
      <c r="P201" s="27">
        <f>(C201+(E201*F201*H201))-N201</f>
        <v>5</v>
      </c>
      <c r="Q201" s="31" t="s">
        <v>20</v>
      </c>
      <c r="R201" s="32">
        <f>P201*(J201-(J201*L201)-((J201-(J201*L201))*M201))</f>
        <v>910218.75</v>
      </c>
      <c r="S201" s="32">
        <f t="shared" si="16"/>
        <v>820016.89189189184</v>
      </c>
    </row>
    <row r="202" spans="1:19" s="17" customFormat="1">
      <c r="A202" s="16" t="s">
        <v>213</v>
      </c>
      <c r="B202" s="17" t="s">
        <v>19</v>
      </c>
      <c r="C202" s="18"/>
      <c r="D202" s="19" t="s">
        <v>20</v>
      </c>
      <c r="E202" s="20"/>
      <c r="F202" s="21">
        <v>1</v>
      </c>
      <c r="G202" s="22" t="s">
        <v>21</v>
      </c>
      <c r="H202" s="21">
        <v>4</v>
      </c>
      <c r="I202" s="22" t="s">
        <v>20</v>
      </c>
      <c r="J202" s="23">
        <v>283000</v>
      </c>
      <c r="K202" s="19" t="s">
        <v>20</v>
      </c>
      <c r="L202" s="24">
        <v>0.125</v>
      </c>
      <c r="M202" s="24">
        <v>0.05</v>
      </c>
      <c r="N202" s="18"/>
      <c r="O202" s="22" t="s">
        <v>20</v>
      </c>
      <c r="P202" s="18">
        <f>(C202+(E202*F202*H202))-N202</f>
        <v>0</v>
      </c>
      <c r="Q202" s="22" t="s">
        <v>20</v>
      </c>
      <c r="R202" s="23">
        <f>P202*(J202-(J202*L202)-((J202-(J202*L202))*M202))</f>
        <v>0</v>
      </c>
      <c r="S202" s="23">
        <f t="shared" si="16"/>
        <v>0</v>
      </c>
    </row>
    <row r="203" spans="1:19" s="17" customFormat="1">
      <c r="A203" s="16" t="s">
        <v>214</v>
      </c>
      <c r="B203" s="17" t="s">
        <v>26</v>
      </c>
      <c r="C203" s="18"/>
      <c r="D203" s="19" t="s">
        <v>20</v>
      </c>
      <c r="E203" s="20"/>
      <c r="F203" s="21">
        <v>1</v>
      </c>
      <c r="G203" s="22" t="s">
        <v>21</v>
      </c>
      <c r="H203" s="21">
        <v>5</v>
      </c>
      <c r="I203" s="22" t="s">
        <v>20</v>
      </c>
      <c r="J203" s="23">
        <f>1075000/5</f>
        <v>215000</v>
      </c>
      <c r="K203" s="19" t="s">
        <v>20</v>
      </c>
      <c r="L203" s="24"/>
      <c r="M203" s="24">
        <v>0.17</v>
      </c>
      <c r="N203" s="18"/>
      <c r="O203" s="22" t="s">
        <v>20</v>
      </c>
      <c r="P203" s="18">
        <f>(C203+(E203*F203*H203))-N203</f>
        <v>0</v>
      </c>
      <c r="Q203" s="22" t="s">
        <v>20</v>
      </c>
      <c r="R203" s="23">
        <f>P203*(J203-(J203*L203)-((J203-(J203*L203))*M203))</f>
        <v>0</v>
      </c>
      <c r="S203" s="23">
        <f t="shared" si="16"/>
        <v>0</v>
      </c>
    </row>
    <row r="204" spans="1:19" s="17" customFormat="1">
      <c r="A204" s="16" t="s">
        <v>215</v>
      </c>
      <c r="B204" s="17" t="s">
        <v>26</v>
      </c>
      <c r="C204" s="18"/>
      <c r="D204" s="19" t="s">
        <v>20</v>
      </c>
      <c r="E204" s="20"/>
      <c r="F204" s="21">
        <v>1</v>
      </c>
      <c r="G204" s="22" t="s">
        <v>21</v>
      </c>
      <c r="H204" s="21">
        <v>5</v>
      </c>
      <c r="I204" s="22" t="s">
        <v>20</v>
      </c>
      <c r="J204" s="23">
        <f>1125000/5</f>
        <v>225000</v>
      </c>
      <c r="K204" s="19" t="s">
        <v>20</v>
      </c>
      <c r="L204" s="24"/>
      <c r="M204" s="24">
        <v>0.17</v>
      </c>
      <c r="N204" s="18"/>
      <c r="O204" s="22" t="s">
        <v>20</v>
      </c>
      <c r="P204" s="18">
        <f t="shared" ref="P204:P205" si="27">(C204+(E204*F204*H204))-N204</f>
        <v>0</v>
      </c>
      <c r="Q204" s="22" t="s">
        <v>20</v>
      </c>
      <c r="R204" s="23">
        <f t="shared" ref="R204:R205" si="28">P204*(J204-(J204*L204)-((J204-(J204*L204))*M204))</f>
        <v>0</v>
      </c>
      <c r="S204" s="23">
        <f t="shared" si="16"/>
        <v>0</v>
      </c>
    </row>
    <row r="205" spans="1:19" s="17" customFormat="1">
      <c r="A205" s="16" t="s">
        <v>216</v>
      </c>
      <c r="B205" s="17" t="s">
        <v>26</v>
      </c>
      <c r="C205" s="18"/>
      <c r="D205" s="19" t="s">
        <v>20</v>
      </c>
      <c r="E205" s="20"/>
      <c r="F205" s="21">
        <v>1</v>
      </c>
      <c r="G205" s="22" t="s">
        <v>21</v>
      </c>
      <c r="H205" s="21">
        <v>4</v>
      </c>
      <c r="I205" s="22" t="s">
        <v>20</v>
      </c>
      <c r="J205" s="23">
        <f>1100000/4</f>
        <v>275000</v>
      </c>
      <c r="K205" s="19" t="s">
        <v>20</v>
      </c>
      <c r="L205" s="24"/>
      <c r="M205" s="24">
        <v>0.17</v>
      </c>
      <c r="N205" s="18"/>
      <c r="O205" s="22" t="s">
        <v>20</v>
      </c>
      <c r="P205" s="18">
        <f t="shared" si="27"/>
        <v>0</v>
      </c>
      <c r="Q205" s="22" t="s">
        <v>20</v>
      </c>
      <c r="R205" s="23">
        <f t="shared" si="28"/>
        <v>0</v>
      </c>
      <c r="S205" s="23">
        <f t="shared" ref="S205:S270" si="29">R205/1.11</f>
        <v>0</v>
      </c>
    </row>
    <row r="206" spans="1:19">
      <c r="S206" s="23"/>
    </row>
    <row r="207" spans="1:19" ht="15.75">
      <c r="A207" s="14" t="s">
        <v>217</v>
      </c>
      <c r="S207" s="23"/>
    </row>
    <row r="208" spans="1:19" s="17" customFormat="1">
      <c r="A208" s="16" t="s">
        <v>218</v>
      </c>
      <c r="B208" s="17" t="s">
        <v>19</v>
      </c>
      <c r="C208" s="18"/>
      <c r="D208" s="19" t="s">
        <v>20</v>
      </c>
      <c r="E208" s="20"/>
      <c r="F208" s="21">
        <v>1</v>
      </c>
      <c r="G208" s="22" t="s">
        <v>21</v>
      </c>
      <c r="H208" s="21">
        <v>90</v>
      </c>
      <c r="I208" s="22" t="s">
        <v>20</v>
      </c>
      <c r="J208" s="23">
        <v>24000</v>
      </c>
      <c r="K208" s="19" t="s">
        <v>20</v>
      </c>
      <c r="L208" s="24">
        <v>0.125</v>
      </c>
      <c r="M208" s="24">
        <v>0.05</v>
      </c>
      <c r="N208" s="18"/>
      <c r="O208" s="22" t="s">
        <v>20</v>
      </c>
      <c r="P208" s="18">
        <f>(C208+(E208*F208*H208))-N208</f>
        <v>0</v>
      </c>
      <c r="Q208" s="22" t="s">
        <v>20</v>
      </c>
      <c r="R208" s="23">
        <f>P208*(J208-(J208*L208)-((J208-(J208*L208))*M208))</f>
        <v>0</v>
      </c>
      <c r="S208" s="23">
        <f t="shared" si="29"/>
        <v>0</v>
      </c>
    </row>
    <row r="209" spans="1:19" s="17" customFormat="1">
      <c r="A209" s="16" t="s">
        <v>219</v>
      </c>
      <c r="B209" s="17" t="s">
        <v>19</v>
      </c>
      <c r="C209" s="18"/>
      <c r="D209" s="19" t="s">
        <v>20</v>
      </c>
      <c r="E209" s="20"/>
      <c r="F209" s="21">
        <v>1</v>
      </c>
      <c r="G209" s="22" t="s">
        <v>21</v>
      </c>
      <c r="H209" s="21">
        <v>48</v>
      </c>
      <c r="I209" s="22" t="s">
        <v>20</v>
      </c>
      <c r="J209" s="23">
        <v>24900</v>
      </c>
      <c r="K209" s="19" t="s">
        <v>20</v>
      </c>
      <c r="L209" s="24">
        <v>0.125</v>
      </c>
      <c r="M209" s="24">
        <v>0.05</v>
      </c>
      <c r="N209" s="18"/>
      <c r="O209" s="22" t="s">
        <v>20</v>
      </c>
      <c r="P209" s="18">
        <f>(C209+(E209*F209*H209))-N209</f>
        <v>0</v>
      </c>
      <c r="Q209" s="22" t="s">
        <v>20</v>
      </c>
      <c r="R209" s="23">
        <f>P209*(J209-(J209*L209)-((J209-(J209*L209))*M209))</f>
        <v>0</v>
      </c>
      <c r="S209" s="23">
        <f t="shared" si="29"/>
        <v>0</v>
      </c>
    </row>
    <row r="210" spans="1:19" s="26" customFormat="1">
      <c r="A210" s="25" t="s">
        <v>220</v>
      </c>
      <c r="B210" s="26" t="s">
        <v>26</v>
      </c>
      <c r="C210" s="27"/>
      <c r="D210" s="28" t="s">
        <v>20</v>
      </c>
      <c r="E210" s="29">
        <v>1</v>
      </c>
      <c r="F210" s="30">
        <v>1</v>
      </c>
      <c r="G210" s="31" t="s">
        <v>21</v>
      </c>
      <c r="H210" s="30">
        <v>24</v>
      </c>
      <c r="I210" s="31" t="s">
        <v>20</v>
      </c>
      <c r="J210" s="32">
        <f>720000/24</f>
        <v>30000</v>
      </c>
      <c r="K210" s="28" t="s">
        <v>20</v>
      </c>
      <c r="L210" s="33"/>
      <c r="M210" s="33">
        <v>0.17</v>
      </c>
      <c r="N210" s="27"/>
      <c r="O210" s="31" t="s">
        <v>20</v>
      </c>
      <c r="P210" s="27">
        <f>(C210+(E210*F210*H210))-N210</f>
        <v>24</v>
      </c>
      <c r="Q210" s="31" t="s">
        <v>20</v>
      </c>
      <c r="R210" s="32">
        <f>P210*(J210-(J210*L210)-((J210-(J210*L210))*M210))</f>
        <v>597600</v>
      </c>
      <c r="S210" s="32">
        <f t="shared" si="29"/>
        <v>538378.37837837834</v>
      </c>
    </row>
    <row r="211" spans="1:19">
      <c r="A211" s="34" t="s">
        <v>221</v>
      </c>
      <c r="B211" s="2" t="s">
        <v>26</v>
      </c>
      <c r="C211" s="3">
        <v>30</v>
      </c>
      <c r="D211" s="4" t="s">
        <v>20</v>
      </c>
      <c r="F211" s="6">
        <v>1</v>
      </c>
      <c r="G211" s="7" t="s">
        <v>21</v>
      </c>
      <c r="H211" s="6">
        <v>48</v>
      </c>
      <c r="I211" s="7" t="s">
        <v>20</v>
      </c>
      <c r="J211" s="8">
        <f>1104000/48</f>
        <v>23000</v>
      </c>
      <c r="K211" s="4" t="s">
        <v>20</v>
      </c>
      <c r="M211" s="9">
        <v>0.17</v>
      </c>
      <c r="O211" s="7" t="s">
        <v>20</v>
      </c>
      <c r="P211" s="3">
        <f>(C211+(E211*F211*H211))-N211</f>
        <v>30</v>
      </c>
      <c r="Q211" s="7" t="s">
        <v>20</v>
      </c>
      <c r="R211" s="8">
        <f>P211*(J211-(J211*L211)-((J211-(J211*L211))*M211))</f>
        <v>572700</v>
      </c>
      <c r="S211" s="32">
        <f t="shared" si="29"/>
        <v>515945.94594594592</v>
      </c>
    </row>
    <row r="212" spans="1:19">
      <c r="S212" s="23"/>
    </row>
    <row r="213" spans="1:19" ht="15.75">
      <c r="A213" s="14" t="s">
        <v>222</v>
      </c>
      <c r="S213" s="23"/>
    </row>
    <row r="214" spans="1:19">
      <c r="A214" s="15" t="s">
        <v>223</v>
      </c>
      <c r="S214" s="23"/>
    </row>
    <row r="215" spans="1:19" s="17" customFormat="1">
      <c r="A215" s="16" t="s">
        <v>224</v>
      </c>
      <c r="B215" s="17" t="s">
        <v>19</v>
      </c>
      <c r="C215" s="18"/>
      <c r="D215" s="19" t="s">
        <v>20</v>
      </c>
      <c r="E215" s="20"/>
      <c r="F215" s="21">
        <v>1</v>
      </c>
      <c r="G215" s="22" t="s">
        <v>21</v>
      </c>
      <c r="H215" s="21">
        <v>40</v>
      </c>
      <c r="I215" s="22" t="s">
        <v>20</v>
      </c>
      <c r="J215" s="23">
        <v>38500</v>
      </c>
      <c r="K215" s="19" t="s">
        <v>20</v>
      </c>
      <c r="L215" s="24">
        <v>0.125</v>
      </c>
      <c r="M215" s="24">
        <v>0.05</v>
      </c>
      <c r="N215" s="18"/>
      <c r="O215" s="22" t="s">
        <v>20</v>
      </c>
      <c r="P215" s="18">
        <f>(C215+(E215*F215*H215))-N215</f>
        <v>0</v>
      </c>
      <c r="Q215" s="22" t="s">
        <v>20</v>
      </c>
      <c r="R215" s="23">
        <f>P215*(J215-(J215*L215)-((J215-(J215*L215))*M215))</f>
        <v>0</v>
      </c>
      <c r="S215" s="23">
        <f t="shared" si="29"/>
        <v>0</v>
      </c>
    </row>
    <row r="216" spans="1:19">
      <c r="A216" s="15" t="s">
        <v>225</v>
      </c>
      <c r="S216" s="23"/>
    </row>
    <row r="217" spans="1:19" s="26" customFormat="1">
      <c r="A217" s="25" t="s">
        <v>226</v>
      </c>
      <c r="B217" s="26" t="s">
        <v>19</v>
      </c>
      <c r="C217" s="27">
        <v>48</v>
      </c>
      <c r="D217" s="28" t="s">
        <v>20</v>
      </c>
      <c r="E217" s="29"/>
      <c r="F217" s="30">
        <v>1</v>
      </c>
      <c r="G217" s="31" t="s">
        <v>21</v>
      </c>
      <c r="H217" s="30">
        <v>48</v>
      </c>
      <c r="I217" s="31" t="s">
        <v>20</v>
      </c>
      <c r="J217" s="32">
        <v>17000</v>
      </c>
      <c r="K217" s="28" t="s">
        <v>20</v>
      </c>
      <c r="L217" s="33">
        <v>0.125</v>
      </c>
      <c r="M217" s="33">
        <v>0.05</v>
      </c>
      <c r="N217" s="27"/>
      <c r="O217" s="31" t="s">
        <v>20</v>
      </c>
      <c r="P217" s="27">
        <f>(C217+(E217*F217*H217))-N217</f>
        <v>48</v>
      </c>
      <c r="Q217" s="31" t="s">
        <v>20</v>
      </c>
      <c r="R217" s="32">
        <f>P217*(J217-(J217*L217)-((J217-(J217*L217))*M217))</f>
        <v>678300</v>
      </c>
      <c r="S217" s="32">
        <f t="shared" si="29"/>
        <v>611081.08108108107</v>
      </c>
    </row>
    <row r="218" spans="1:19">
      <c r="S218" s="23"/>
    </row>
    <row r="219" spans="1:19" ht="15.75">
      <c r="A219" s="14" t="s">
        <v>227</v>
      </c>
      <c r="S219" s="23"/>
    </row>
    <row r="220" spans="1:19">
      <c r="A220" s="15" t="s">
        <v>228</v>
      </c>
      <c r="S220" s="23"/>
    </row>
    <row r="221" spans="1:19" s="63" customFormat="1">
      <c r="A221" s="72" t="s">
        <v>229</v>
      </c>
      <c r="B221" s="63" t="s">
        <v>26</v>
      </c>
      <c r="C221" s="64"/>
      <c r="D221" s="65" t="s">
        <v>43</v>
      </c>
      <c r="E221" s="66"/>
      <c r="F221" s="67">
        <v>1</v>
      </c>
      <c r="G221" s="68" t="s">
        <v>21</v>
      </c>
      <c r="H221" s="67">
        <v>50</v>
      </c>
      <c r="I221" s="68" t="s">
        <v>43</v>
      </c>
      <c r="J221" s="69">
        <v>33600</v>
      </c>
      <c r="K221" s="65" t="s">
        <v>43</v>
      </c>
      <c r="L221" s="70"/>
      <c r="M221" s="70">
        <v>0.17</v>
      </c>
      <c r="N221" s="64"/>
      <c r="O221" s="68" t="s">
        <v>43</v>
      </c>
      <c r="P221" s="64">
        <f t="shared" ref="P221:P227" si="30">(C221+(E221*F221*H221))-N221</f>
        <v>0</v>
      </c>
      <c r="Q221" s="68" t="s">
        <v>43</v>
      </c>
      <c r="R221" s="69">
        <f t="shared" ref="R221:R227" si="31">P221*(J221-(J221*L221)-((J221-(J221*L221))*M221))</f>
        <v>0</v>
      </c>
      <c r="S221" s="23">
        <f t="shared" si="29"/>
        <v>0</v>
      </c>
    </row>
    <row r="222" spans="1:19" s="85" customFormat="1">
      <c r="A222" s="84" t="s">
        <v>230</v>
      </c>
      <c r="B222" s="85" t="s">
        <v>26</v>
      </c>
      <c r="C222" s="86">
        <v>38</v>
      </c>
      <c r="D222" s="87" t="s">
        <v>43</v>
      </c>
      <c r="E222" s="92"/>
      <c r="F222" s="88">
        <v>1</v>
      </c>
      <c r="G222" s="89" t="s">
        <v>21</v>
      </c>
      <c r="H222" s="88">
        <v>25</v>
      </c>
      <c r="I222" s="89" t="s">
        <v>43</v>
      </c>
      <c r="J222" s="90">
        <f>1860000/25</f>
        <v>74400</v>
      </c>
      <c r="K222" s="87" t="s">
        <v>43</v>
      </c>
      <c r="L222" s="91"/>
      <c r="M222" s="91">
        <v>0.17</v>
      </c>
      <c r="N222" s="86">
        <f>2+3</f>
        <v>5</v>
      </c>
      <c r="O222" s="89" t="s">
        <v>43</v>
      </c>
      <c r="P222" s="86">
        <f t="shared" si="30"/>
        <v>33</v>
      </c>
      <c r="Q222" s="89" t="s">
        <v>43</v>
      </c>
      <c r="R222" s="90">
        <f t="shared" si="31"/>
        <v>2037816</v>
      </c>
      <c r="S222" s="32">
        <f t="shared" si="29"/>
        <v>1835870.2702702701</v>
      </c>
    </row>
    <row r="223" spans="1:19" s="17" customFormat="1">
      <c r="A223" s="16" t="s">
        <v>231</v>
      </c>
      <c r="B223" s="17" t="s">
        <v>26</v>
      </c>
      <c r="C223" s="18"/>
      <c r="D223" s="19" t="s">
        <v>43</v>
      </c>
      <c r="E223" s="20"/>
      <c r="F223" s="21">
        <v>1</v>
      </c>
      <c r="G223" s="22" t="s">
        <v>21</v>
      </c>
      <c r="H223" s="21">
        <v>10</v>
      </c>
      <c r="I223" s="22" t="s">
        <v>43</v>
      </c>
      <c r="J223" s="23">
        <v>153000</v>
      </c>
      <c r="K223" s="19" t="s">
        <v>43</v>
      </c>
      <c r="L223" s="24"/>
      <c r="M223" s="24">
        <v>0.17</v>
      </c>
      <c r="N223" s="18"/>
      <c r="O223" s="22" t="s">
        <v>43</v>
      </c>
      <c r="P223" s="18">
        <f t="shared" si="30"/>
        <v>0</v>
      </c>
      <c r="Q223" s="22" t="s">
        <v>43</v>
      </c>
      <c r="R223" s="23">
        <f t="shared" si="31"/>
        <v>0</v>
      </c>
      <c r="S223" s="23">
        <f t="shared" si="29"/>
        <v>0</v>
      </c>
    </row>
    <row r="224" spans="1:19" s="45" customFormat="1">
      <c r="A224" s="44" t="s">
        <v>232</v>
      </c>
      <c r="B224" s="45" t="s">
        <v>26</v>
      </c>
      <c r="C224" s="46">
        <v>11</v>
      </c>
      <c r="D224" s="47" t="s">
        <v>43</v>
      </c>
      <c r="E224" s="48"/>
      <c r="F224" s="49">
        <v>1</v>
      </c>
      <c r="G224" s="50" t="s">
        <v>21</v>
      </c>
      <c r="H224" s="49">
        <v>10</v>
      </c>
      <c r="I224" s="50" t="s">
        <v>43</v>
      </c>
      <c r="J224" s="51">
        <f>1932000/10</f>
        <v>193200</v>
      </c>
      <c r="K224" s="47" t="s">
        <v>43</v>
      </c>
      <c r="L224" s="52"/>
      <c r="M224" s="52">
        <v>0.17</v>
      </c>
      <c r="N224" s="46">
        <f>1+1</f>
        <v>2</v>
      </c>
      <c r="O224" s="50" t="s">
        <v>43</v>
      </c>
      <c r="P224" s="46">
        <f t="shared" si="30"/>
        <v>9</v>
      </c>
      <c r="Q224" s="50" t="s">
        <v>43</v>
      </c>
      <c r="R224" s="51">
        <f t="shared" si="31"/>
        <v>1443204</v>
      </c>
      <c r="S224" s="32">
        <f t="shared" si="29"/>
        <v>1300183.7837837837</v>
      </c>
    </row>
    <row r="225" spans="1:19" s="45" customFormat="1">
      <c r="A225" s="44" t="s">
        <v>233</v>
      </c>
      <c r="B225" s="45" t="s">
        <v>26</v>
      </c>
      <c r="C225" s="46">
        <v>13</v>
      </c>
      <c r="D225" s="47" t="s">
        <v>43</v>
      </c>
      <c r="E225" s="48"/>
      <c r="F225" s="49">
        <v>1</v>
      </c>
      <c r="G225" s="50" t="s">
        <v>21</v>
      </c>
      <c r="H225" s="49">
        <v>10</v>
      </c>
      <c r="I225" s="50" t="s">
        <v>43</v>
      </c>
      <c r="J225" s="51">
        <f>2208000/10</f>
        <v>220800</v>
      </c>
      <c r="K225" s="47" t="s">
        <v>43</v>
      </c>
      <c r="L225" s="52"/>
      <c r="M225" s="52">
        <v>0.17</v>
      </c>
      <c r="N225" s="46">
        <v>1</v>
      </c>
      <c r="O225" s="50" t="s">
        <v>43</v>
      </c>
      <c r="P225" s="46">
        <f t="shared" si="30"/>
        <v>12</v>
      </c>
      <c r="Q225" s="50" t="s">
        <v>43</v>
      </c>
      <c r="R225" s="51">
        <f t="shared" si="31"/>
        <v>2199168</v>
      </c>
      <c r="S225" s="32">
        <f t="shared" si="29"/>
        <v>1981232.4324324322</v>
      </c>
    </row>
    <row r="226" spans="1:19" s="26" customFormat="1">
      <c r="A226" s="35" t="s">
        <v>234</v>
      </c>
      <c r="B226" s="36" t="s">
        <v>26</v>
      </c>
      <c r="C226" s="37">
        <v>12</v>
      </c>
      <c r="D226" s="38" t="s">
        <v>20</v>
      </c>
      <c r="E226" s="39"/>
      <c r="F226" s="40">
        <v>10</v>
      </c>
      <c r="G226" s="41" t="s">
        <v>43</v>
      </c>
      <c r="H226" s="40">
        <v>12</v>
      </c>
      <c r="I226" s="41" t="s">
        <v>20</v>
      </c>
      <c r="J226" s="42">
        <f>4590000/10/12</f>
        <v>38250</v>
      </c>
      <c r="K226" s="38" t="s">
        <v>20</v>
      </c>
      <c r="L226" s="43"/>
      <c r="M226" s="43">
        <v>0.17</v>
      </c>
      <c r="N226" s="37"/>
      <c r="O226" s="41" t="s">
        <v>20</v>
      </c>
      <c r="P226" s="37">
        <f t="shared" si="30"/>
        <v>12</v>
      </c>
      <c r="Q226" s="41" t="s">
        <v>20</v>
      </c>
      <c r="R226" s="42">
        <f t="shared" si="31"/>
        <v>380970</v>
      </c>
      <c r="S226" s="42">
        <f t="shared" si="29"/>
        <v>343216.21621621621</v>
      </c>
    </row>
    <row r="227" spans="1:19" s="26" customFormat="1">
      <c r="A227" s="35" t="s">
        <v>234</v>
      </c>
      <c r="B227" s="36" t="s">
        <v>26</v>
      </c>
      <c r="C227" s="37"/>
      <c r="D227" s="38" t="s">
        <v>20</v>
      </c>
      <c r="E227" s="39">
        <v>1</v>
      </c>
      <c r="F227" s="40">
        <v>10</v>
      </c>
      <c r="G227" s="41" t="s">
        <v>43</v>
      </c>
      <c r="H227" s="40">
        <v>12</v>
      </c>
      <c r="I227" s="41" t="s">
        <v>20</v>
      </c>
      <c r="J227" s="42">
        <f>4920000/10/12</f>
        <v>41000</v>
      </c>
      <c r="K227" s="38" t="s">
        <v>20</v>
      </c>
      <c r="L227" s="43"/>
      <c r="M227" s="43">
        <v>0.17</v>
      </c>
      <c r="N227" s="37"/>
      <c r="O227" s="41" t="s">
        <v>20</v>
      </c>
      <c r="P227" s="37">
        <f t="shared" si="30"/>
        <v>120</v>
      </c>
      <c r="Q227" s="41" t="s">
        <v>20</v>
      </c>
      <c r="R227" s="42">
        <f t="shared" si="31"/>
        <v>4083600</v>
      </c>
      <c r="S227" s="42">
        <f t="shared" si="29"/>
        <v>3678918.9189189188</v>
      </c>
    </row>
    <row r="228" spans="1:19" ht="15.75">
      <c r="A228" s="106"/>
      <c r="S228" s="23"/>
    </row>
    <row r="229" spans="1:19" ht="15.75">
      <c r="A229" s="14" t="s">
        <v>235</v>
      </c>
      <c r="S229" s="23"/>
    </row>
    <row r="230" spans="1:19" s="17" customFormat="1">
      <c r="A230" s="16" t="s">
        <v>236</v>
      </c>
      <c r="B230" s="17" t="s">
        <v>19</v>
      </c>
      <c r="C230" s="18"/>
      <c r="D230" s="19" t="s">
        <v>20</v>
      </c>
      <c r="E230" s="20"/>
      <c r="F230" s="21">
        <v>12</v>
      </c>
      <c r="G230" s="22" t="s">
        <v>34</v>
      </c>
      <c r="H230" s="21">
        <v>12</v>
      </c>
      <c r="I230" s="22" t="s">
        <v>20</v>
      </c>
      <c r="J230" s="23">
        <f>52500/12</f>
        <v>4375</v>
      </c>
      <c r="K230" s="19" t="s">
        <v>20</v>
      </c>
      <c r="L230" s="24">
        <v>0.125</v>
      </c>
      <c r="M230" s="24">
        <v>0.05</v>
      </c>
      <c r="N230" s="18"/>
      <c r="O230" s="22" t="s">
        <v>20</v>
      </c>
      <c r="P230" s="18">
        <f>(C230+(E230*F230*H230))-N230</f>
        <v>0</v>
      </c>
      <c r="Q230" s="22" t="s">
        <v>20</v>
      </c>
      <c r="R230" s="23">
        <f>P230*(J230-(J230*L230)-((J230-(J230*L230))*M230))</f>
        <v>0</v>
      </c>
      <c r="S230" s="23">
        <f t="shared" ref="S230" si="32">R230/1.11</f>
        <v>0</v>
      </c>
    </row>
    <row r="231" spans="1:19" s="26" customFormat="1">
      <c r="A231" s="25" t="s">
        <v>237</v>
      </c>
      <c r="B231" s="26" t="s">
        <v>19</v>
      </c>
      <c r="C231" s="27">
        <v>144</v>
      </c>
      <c r="D231" s="28" t="s">
        <v>20</v>
      </c>
      <c r="E231" s="29"/>
      <c r="F231" s="30">
        <v>12</v>
      </c>
      <c r="G231" s="31" t="s">
        <v>34</v>
      </c>
      <c r="H231" s="30">
        <v>12</v>
      </c>
      <c r="I231" s="31" t="s">
        <v>20</v>
      </c>
      <c r="J231" s="32">
        <v>20500</v>
      </c>
      <c r="K231" s="28" t="s">
        <v>20</v>
      </c>
      <c r="L231" s="33">
        <v>0.125</v>
      </c>
      <c r="M231" s="33">
        <v>0.05</v>
      </c>
      <c r="N231" s="27"/>
      <c r="O231" s="31" t="s">
        <v>20</v>
      </c>
      <c r="P231" s="27">
        <f>(C231+(E231*F231*H231))-N231</f>
        <v>144</v>
      </c>
      <c r="Q231" s="31" t="s">
        <v>20</v>
      </c>
      <c r="R231" s="32">
        <f>P231*(J231-(J231*L231)-((J231-(J231*L231))*M231))</f>
        <v>2453850</v>
      </c>
      <c r="S231" s="32">
        <f t="shared" si="29"/>
        <v>2210675.6756756753</v>
      </c>
    </row>
    <row r="232" spans="1:19" s="26" customFormat="1">
      <c r="A232" s="25" t="s">
        <v>238</v>
      </c>
      <c r="B232" s="26" t="s">
        <v>19</v>
      </c>
      <c r="C232" s="27">
        <v>144</v>
      </c>
      <c r="D232" s="28" t="s">
        <v>20</v>
      </c>
      <c r="E232" s="29"/>
      <c r="F232" s="30">
        <v>12</v>
      </c>
      <c r="G232" s="31" t="s">
        <v>34</v>
      </c>
      <c r="H232" s="30">
        <v>12</v>
      </c>
      <c r="I232" s="31" t="s">
        <v>20</v>
      </c>
      <c r="J232" s="32">
        <v>22000</v>
      </c>
      <c r="K232" s="28" t="s">
        <v>20</v>
      </c>
      <c r="L232" s="33">
        <v>0.125</v>
      </c>
      <c r="M232" s="33">
        <v>0.05</v>
      </c>
      <c r="N232" s="27"/>
      <c r="O232" s="31" t="s">
        <v>20</v>
      </c>
      <c r="P232" s="27">
        <f>(C232+(E232*F232*H232))-N232</f>
        <v>144</v>
      </c>
      <c r="Q232" s="31" t="s">
        <v>20</v>
      </c>
      <c r="R232" s="32">
        <f>P232*(J232-(J232*L232)-((J232-(J232*L232))*M232))</f>
        <v>2633400</v>
      </c>
      <c r="S232" s="32">
        <f t="shared" si="29"/>
        <v>2372432.4324324322</v>
      </c>
    </row>
    <row r="233" spans="1:19" s="45" customFormat="1">
      <c r="A233" s="44" t="s">
        <v>239</v>
      </c>
      <c r="B233" s="45" t="s">
        <v>19</v>
      </c>
      <c r="C233" s="46">
        <v>288</v>
      </c>
      <c r="D233" s="47" t="s">
        <v>20</v>
      </c>
      <c r="E233" s="48">
        <v>5</v>
      </c>
      <c r="F233" s="49">
        <v>12</v>
      </c>
      <c r="G233" s="50" t="s">
        <v>34</v>
      </c>
      <c r="H233" s="49">
        <v>12</v>
      </c>
      <c r="I233" s="50" t="s">
        <v>20</v>
      </c>
      <c r="J233" s="51">
        <v>4100</v>
      </c>
      <c r="K233" s="47" t="s">
        <v>20</v>
      </c>
      <c r="L233" s="52">
        <v>0.125</v>
      </c>
      <c r="M233" s="52">
        <v>0.05</v>
      </c>
      <c r="N233" s="46">
        <f>144+288</f>
        <v>432</v>
      </c>
      <c r="O233" s="50" t="s">
        <v>20</v>
      </c>
      <c r="P233" s="46">
        <f>(C233+(E233*F233*H233))-N233</f>
        <v>576</v>
      </c>
      <c r="Q233" s="50" t="s">
        <v>20</v>
      </c>
      <c r="R233" s="51">
        <f>P233*(J233-(J233*L233)-((J233-(J233*L233))*M233))</f>
        <v>1963080</v>
      </c>
      <c r="S233" s="51">
        <f t="shared" si="29"/>
        <v>1768540.5405405404</v>
      </c>
    </row>
    <row r="234" spans="1:19" s="45" customFormat="1">
      <c r="A234" s="44" t="s">
        <v>240</v>
      </c>
      <c r="B234" s="45" t="s">
        <v>19</v>
      </c>
      <c r="C234" s="46">
        <v>288</v>
      </c>
      <c r="D234" s="47" t="s">
        <v>20</v>
      </c>
      <c r="E234" s="48">
        <v>5</v>
      </c>
      <c r="F234" s="49">
        <v>12</v>
      </c>
      <c r="G234" s="50" t="s">
        <v>34</v>
      </c>
      <c r="H234" s="49">
        <v>12</v>
      </c>
      <c r="I234" s="50" t="s">
        <v>20</v>
      </c>
      <c r="J234" s="51">
        <v>6300</v>
      </c>
      <c r="K234" s="47" t="s">
        <v>20</v>
      </c>
      <c r="L234" s="52">
        <v>0.125</v>
      </c>
      <c r="M234" s="52">
        <v>0.05</v>
      </c>
      <c r="N234" s="46">
        <f>288+144</f>
        <v>432</v>
      </c>
      <c r="O234" s="50" t="s">
        <v>20</v>
      </c>
      <c r="P234" s="46">
        <f t="shared" ref="P234:P241" si="33">(C234+(E234*F234*H234))-N234</f>
        <v>576</v>
      </c>
      <c r="Q234" s="50" t="s">
        <v>20</v>
      </c>
      <c r="R234" s="51">
        <f t="shared" ref="R234:R241" si="34">P234*(J234-(J234*L234)-((J234-(J234*L234))*M234))</f>
        <v>3016440</v>
      </c>
      <c r="S234" s="51">
        <f t="shared" si="29"/>
        <v>2717513.5135135134</v>
      </c>
    </row>
    <row r="235" spans="1:19" s="45" customFormat="1">
      <c r="A235" s="44" t="s">
        <v>241</v>
      </c>
      <c r="B235" s="45" t="s">
        <v>19</v>
      </c>
      <c r="C235" s="46"/>
      <c r="D235" s="47" t="s">
        <v>20</v>
      </c>
      <c r="E235" s="48">
        <f>5+2</f>
        <v>7</v>
      </c>
      <c r="F235" s="49">
        <v>12</v>
      </c>
      <c r="G235" s="50" t="s">
        <v>34</v>
      </c>
      <c r="H235" s="49">
        <v>12</v>
      </c>
      <c r="I235" s="50" t="s">
        <v>20</v>
      </c>
      <c r="J235" s="51">
        <v>9500</v>
      </c>
      <c r="K235" s="47" t="s">
        <v>20</v>
      </c>
      <c r="L235" s="52">
        <v>0.125</v>
      </c>
      <c r="M235" s="52">
        <v>0.05</v>
      </c>
      <c r="N235" s="46">
        <v>432</v>
      </c>
      <c r="O235" s="50" t="s">
        <v>20</v>
      </c>
      <c r="P235" s="46">
        <f t="shared" si="33"/>
        <v>576</v>
      </c>
      <c r="Q235" s="50" t="s">
        <v>20</v>
      </c>
      <c r="R235" s="51">
        <f t="shared" si="34"/>
        <v>4548600</v>
      </c>
      <c r="S235" s="32">
        <f t="shared" si="29"/>
        <v>4097837.8378378376</v>
      </c>
    </row>
    <row r="236" spans="1:19" s="63" customFormat="1">
      <c r="A236" s="72" t="s">
        <v>242</v>
      </c>
      <c r="B236" s="63" t="s">
        <v>19</v>
      </c>
      <c r="C236" s="64"/>
      <c r="D236" s="65" t="s">
        <v>20</v>
      </c>
      <c r="E236" s="66"/>
      <c r="F236" s="67">
        <v>6</v>
      </c>
      <c r="G236" s="68" t="s">
        <v>34</v>
      </c>
      <c r="H236" s="67">
        <v>12</v>
      </c>
      <c r="I236" s="68" t="s">
        <v>20</v>
      </c>
      <c r="J236" s="69">
        <v>19200</v>
      </c>
      <c r="K236" s="65" t="s">
        <v>20</v>
      </c>
      <c r="L236" s="70">
        <v>0.125</v>
      </c>
      <c r="M236" s="70">
        <v>0.05</v>
      </c>
      <c r="N236" s="64"/>
      <c r="O236" s="68" t="s">
        <v>20</v>
      </c>
      <c r="P236" s="64">
        <f t="shared" si="33"/>
        <v>0</v>
      </c>
      <c r="Q236" s="68" t="s">
        <v>20</v>
      </c>
      <c r="R236" s="69">
        <f t="shared" si="34"/>
        <v>0</v>
      </c>
      <c r="S236" s="23">
        <f t="shared" si="29"/>
        <v>0</v>
      </c>
    </row>
    <row r="237" spans="1:19" s="17" customFormat="1">
      <c r="A237" s="16" t="s">
        <v>243</v>
      </c>
      <c r="B237" s="17" t="s">
        <v>19</v>
      </c>
      <c r="C237" s="18"/>
      <c r="D237" s="19" t="s">
        <v>20</v>
      </c>
      <c r="E237" s="20"/>
      <c r="F237" s="21">
        <v>12</v>
      </c>
      <c r="G237" s="22" t="s">
        <v>34</v>
      </c>
      <c r="H237" s="21">
        <v>12</v>
      </c>
      <c r="I237" s="22" t="s">
        <v>20</v>
      </c>
      <c r="J237" s="23">
        <v>5900</v>
      </c>
      <c r="K237" s="19" t="s">
        <v>20</v>
      </c>
      <c r="L237" s="24">
        <v>0.125</v>
      </c>
      <c r="M237" s="24">
        <v>0.05</v>
      </c>
      <c r="N237" s="18"/>
      <c r="O237" s="22" t="s">
        <v>20</v>
      </c>
      <c r="P237" s="18">
        <f t="shared" si="33"/>
        <v>0</v>
      </c>
      <c r="Q237" s="22" t="s">
        <v>20</v>
      </c>
      <c r="R237" s="23">
        <f t="shared" si="34"/>
        <v>0</v>
      </c>
      <c r="S237" s="23">
        <f t="shared" si="29"/>
        <v>0</v>
      </c>
    </row>
    <row r="238" spans="1:19" s="17" customFormat="1">
      <c r="A238" s="16" t="s">
        <v>244</v>
      </c>
      <c r="B238" s="17" t="s">
        <v>19</v>
      </c>
      <c r="C238" s="18"/>
      <c r="D238" s="19" t="s">
        <v>20</v>
      </c>
      <c r="E238" s="20"/>
      <c r="F238" s="21">
        <v>12</v>
      </c>
      <c r="G238" s="22" t="s">
        <v>34</v>
      </c>
      <c r="H238" s="21">
        <v>12</v>
      </c>
      <c r="I238" s="22" t="s">
        <v>20</v>
      </c>
      <c r="J238" s="23">
        <v>7150</v>
      </c>
      <c r="K238" s="19" t="s">
        <v>20</v>
      </c>
      <c r="L238" s="24">
        <v>0.125</v>
      </c>
      <c r="M238" s="24">
        <v>0.05</v>
      </c>
      <c r="N238" s="18"/>
      <c r="O238" s="22" t="s">
        <v>20</v>
      </c>
      <c r="P238" s="18">
        <f t="shared" si="33"/>
        <v>0</v>
      </c>
      <c r="Q238" s="22" t="s">
        <v>20</v>
      </c>
      <c r="R238" s="23">
        <f t="shared" si="34"/>
        <v>0</v>
      </c>
      <c r="S238" s="23">
        <f t="shared" si="29"/>
        <v>0</v>
      </c>
    </row>
    <row r="239" spans="1:19" s="26" customFormat="1">
      <c r="A239" s="25" t="s">
        <v>245</v>
      </c>
      <c r="B239" s="26" t="s">
        <v>19</v>
      </c>
      <c r="C239" s="27">
        <v>144</v>
      </c>
      <c r="D239" s="28" t="s">
        <v>20</v>
      </c>
      <c r="E239" s="29"/>
      <c r="F239" s="30">
        <v>12</v>
      </c>
      <c r="G239" s="31" t="s">
        <v>34</v>
      </c>
      <c r="H239" s="30">
        <v>12</v>
      </c>
      <c r="I239" s="31" t="s">
        <v>20</v>
      </c>
      <c r="J239" s="32">
        <v>11200</v>
      </c>
      <c r="K239" s="28" t="s">
        <v>20</v>
      </c>
      <c r="L239" s="33">
        <v>0.125</v>
      </c>
      <c r="M239" s="33">
        <v>0.05</v>
      </c>
      <c r="N239" s="27"/>
      <c r="O239" s="31" t="s">
        <v>20</v>
      </c>
      <c r="P239" s="27">
        <f t="shared" si="33"/>
        <v>144</v>
      </c>
      <c r="Q239" s="31" t="s">
        <v>20</v>
      </c>
      <c r="R239" s="32">
        <f t="shared" si="34"/>
        <v>1340640</v>
      </c>
      <c r="S239" s="32">
        <f t="shared" si="29"/>
        <v>1207783.7837837837</v>
      </c>
    </row>
    <row r="240" spans="1:19" s="17" customFormat="1">
      <c r="A240" s="16" t="s">
        <v>246</v>
      </c>
      <c r="B240" s="17" t="s">
        <v>19</v>
      </c>
      <c r="C240" s="18"/>
      <c r="D240" s="19" t="s">
        <v>20</v>
      </c>
      <c r="E240" s="20"/>
      <c r="F240" s="21">
        <v>12</v>
      </c>
      <c r="G240" s="22" t="s">
        <v>34</v>
      </c>
      <c r="H240" s="21">
        <v>12</v>
      </c>
      <c r="I240" s="22" t="s">
        <v>20</v>
      </c>
      <c r="J240" s="23">
        <v>7600</v>
      </c>
      <c r="K240" s="19" t="s">
        <v>20</v>
      </c>
      <c r="L240" s="24">
        <v>0.125</v>
      </c>
      <c r="M240" s="24">
        <v>0.05</v>
      </c>
      <c r="N240" s="18"/>
      <c r="O240" s="22" t="s">
        <v>20</v>
      </c>
      <c r="P240" s="18">
        <f t="shared" si="33"/>
        <v>0</v>
      </c>
      <c r="Q240" s="22" t="s">
        <v>20</v>
      </c>
      <c r="R240" s="23">
        <f t="shared" si="34"/>
        <v>0</v>
      </c>
      <c r="S240" s="23">
        <f t="shared" si="29"/>
        <v>0</v>
      </c>
    </row>
    <row r="241" spans="1:19" s="17" customFormat="1">
      <c r="A241" s="16" t="s">
        <v>247</v>
      </c>
      <c r="B241" s="17" t="s">
        <v>19</v>
      </c>
      <c r="C241" s="18"/>
      <c r="D241" s="19" t="s">
        <v>20</v>
      </c>
      <c r="E241" s="20"/>
      <c r="F241" s="21">
        <v>8</v>
      </c>
      <c r="G241" s="22" t="s">
        <v>34</v>
      </c>
      <c r="H241" s="21">
        <v>6</v>
      </c>
      <c r="I241" s="22" t="s">
        <v>20</v>
      </c>
      <c r="J241" s="23">
        <v>65000</v>
      </c>
      <c r="K241" s="19" t="s">
        <v>20</v>
      </c>
      <c r="L241" s="24">
        <v>0.125</v>
      </c>
      <c r="M241" s="24">
        <v>0.05</v>
      </c>
      <c r="N241" s="18"/>
      <c r="O241" s="22" t="s">
        <v>20</v>
      </c>
      <c r="P241" s="18">
        <f t="shared" si="33"/>
        <v>0</v>
      </c>
      <c r="Q241" s="22" t="s">
        <v>20</v>
      </c>
      <c r="R241" s="23">
        <f t="shared" si="34"/>
        <v>0</v>
      </c>
      <c r="S241" s="23">
        <f t="shared" si="29"/>
        <v>0</v>
      </c>
    </row>
    <row r="242" spans="1:19" s="45" customFormat="1">
      <c r="A242" s="44" t="s">
        <v>248</v>
      </c>
      <c r="B242" s="45" t="s">
        <v>26</v>
      </c>
      <c r="C242" s="46">
        <v>20</v>
      </c>
      <c r="D242" s="47" t="s">
        <v>43</v>
      </c>
      <c r="E242" s="48">
        <v>1</v>
      </c>
      <c r="F242" s="49">
        <v>1</v>
      </c>
      <c r="G242" s="50" t="s">
        <v>21</v>
      </c>
      <c r="H242" s="49">
        <v>25</v>
      </c>
      <c r="I242" s="50" t="s">
        <v>43</v>
      </c>
      <c r="J242" s="51">
        <f>1245000/25</f>
        <v>49800</v>
      </c>
      <c r="K242" s="47" t="s">
        <v>43</v>
      </c>
      <c r="L242" s="52"/>
      <c r="M242" s="52">
        <v>0.17</v>
      </c>
      <c r="N242" s="46">
        <f>3+5+5+1</f>
        <v>14</v>
      </c>
      <c r="O242" s="50" t="s">
        <v>43</v>
      </c>
      <c r="P242" s="46">
        <f>(C242+(E242*F242*H242))-N242</f>
        <v>31</v>
      </c>
      <c r="Q242" s="50" t="s">
        <v>43</v>
      </c>
      <c r="R242" s="51">
        <f>P242*(J242-(J242*L242)-((J242-(J242*L242))*M242))</f>
        <v>1281354</v>
      </c>
      <c r="S242" s="51">
        <f t="shared" si="29"/>
        <v>1154372.9729729728</v>
      </c>
    </row>
    <row r="243" spans="1:19" s="45" customFormat="1">
      <c r="A243" s="44" t="s">
        <v>249</v>
      </c>
      <c r="B243" s="45" t="s">
        <v>26</v>
      </c>
      <c r="C243" s="46">
        <v>71</v>
      </c>
      <c r="D243" s="47" t="s">
        <v>43</v>
      </c>
      <c r="E243" s="48">
        <f>5+5</f>
        <v>10</v>
      </c>
      <c r="F243" s="49">
        <v>1</v>
      </c>
      <c r="G243" s="50" t="s">
        <v>21</v>
      </c>
      <c r="H243" s="49">
        <v>25</v>
      </c>
      <c r="I243" s="50" t="s">
        <v>43</v>
      </c>
      <c r="J243" s="51">
        <f>1890000/25</f>
        <v>75600</v>
      </c>
      <c r="K243" s="47" t="s">
        <v>43</v>
      </c>
      <c r="L243" s="52"/>
      <c r="M243" s="52">
        <v>0.17</v>
      </c>
      <c r="N243" s="46">
        <f>50+1+10</f>
        <v>61</v>
      </c>
      <c r="O243" s="50" t="s">
        <v>43</v>
      </c>
      <c r="P243" s="46">
        <f t="shared" ref="P243" si="35">(C243+(E243*F243*H243))-N243</f>
        <v>260</v>
      </c>
      <c r="Q243" s="50" t="s">
        <v>43</v>
      </c>
      <c r="R243" s="51">
        <f t="shared" ref="R243" si="36">P243*(J243-(J243*L243)-((J243-(J243*L243))*M243))</f>
        <v>16314480</v>
      </c>
      <c r="S243" s="51">
        <f t="shared" si="29"/>
        <v>14697729.729729729</v>
      </c>
    </row>
    <row r="244" spans="1:19" s="45" customFormat="1">
      <c r="A244" s="44" t="s">
        <v>250</v>
      </c>
      <c r="B244" s="45" t="s">
        <v>26</v>
      </c>
      <c r="C244" s="46">
        <v>46</v>
      </c>
      <c r="D244" s="47" t="s">
        <v>43</v>
      </c>
      <c r="E244" s="48">
        <v>4</v>
      </c>
      <c r="F244" s="49">
        <v>1</v>
      </c>
      <c r="G244" s="50" t="s">
        <v>21</v>
      </c>
      <c r="H244" s="49">
        <v>10</v>
      </c>
      <c r="I244" s="50" t="s">
        <v>43</v>
      </c>
      <c r="J244" s="51">
        <f>1122000/10</f>
        <v>112200</v>
      </c>
      <c r="K244" s="47" t="s">
        <v>43</v>
      </c>
      <c r="L244" s="52"/>
      <c r="M244" s="52">
        <v>0.17</v>
      </c>
      <c r="N244" s="46">
        <f>10+20</f>
        <v>30</v>
      </c>
      <c r="O244" s="50" t="s">
        <v>43</v>
      </c>
      <c r="P244" s="46">
        <f>(C244+(E244*F244*H244))-N244</f>
        <v>56</v>
      </c>
      <c r="Q244" s="50" t="s">
        <v>43</v>
      </c>
      <c r="R244" s="51">
        <f>P244*(J244-(J244*L244)-((J244-(J244*L244))*M244))</f>
        <v>5215056</v>
      </c>
      <c r="S244" s="51">
        <f t="shared" si="29"/>
        <v>4698248.6486486485</v>
      </c>
    </row>
    <row r="245" spans="1:19" s="63" customFormat="1">
      <c r="A245" s="72" t="s">
        <v>251</v>
      </c>
      <c r="B245" s="63" t="s">
        <v>26</v>
      </c>
      <c r="C245" s="64"/>
      <c r="D245" s="65" t="s">
        <v>43</v>
      </c>
      <c r="E245" s="66">
        <v>1</v>
      </c>
      <c r="F245" s="67">
        <v>1</v>
      </c>
      <c r="G245" s="68" t="s">
        <v>21</v>
      </c>
      <c r="H245" s="67">
        <v>10</v>
      </c>
      <c r="I245" s="68" t="s">
        <v>43</v>
      </c>
      <c r="J245" s="69">
        <f>1260000/10</f>
        <v>126000</v>
      </c>
      <c r="K245" s="65" t="s">
        <v>43</v>
      </c>
      <c r="L245" s="70"/>
      <c r="M245" s="70">
        <v>0.17</v>
      </c>
      <c r="N245" s="64">
        <v>10</v>
      </c>
      <c r="O245" s="68" t="s">
        <v>43</v>
      </c>
      <c r="P245" s="64">
        <f>(C245+(E245*F245*H245))-N245</f>
        <v>0</v>
      </c>
      <c r="Q245" s="68" t="s">
        <v>43</v>
      </c>
      <c r="R245" s="69">
        <f>P245*(J245-(J245*L245)-((J245-(J245*L245))*M245))</f>
        <v>0</v>
      </c>
      <c r="S245" s="69">
        <f t="shared" si="29"/>
        <v>0</v>
      </c>
    </row>
    <row r="246" spans="1:19">
      <c r="S246" s="23"/>
    </row>
    <row r="247" spans="1:19" ht="15.75">
      <c r="A247" s="14" t="s">
        <v>252</v>
      </c>
      <c r="S247" s="23"/>
    </row>
    <row r="248" spans="1:19" s="26" customFormat="1">
      <c r="A248" s="107" t="s">
        <v>253</v>
      </c>
      <c r="B248" s="26" t="s">
        <v>26</v>
      </c>
      <c r="C248" s="27">
        <v>18</v>
      </c>
      <c r="D248" s="28" t="s">
        <v>20</v>
      </c>
      <c r="E248" s="29"/>
      <c r="F248" s="30">
        <v>20</v>
      </c>
      <c r="G248" s="31" t="s">
        <v>34</v>
      </c>
      <c r="H248" s="30">
        <v>10</v>
      </c>
      <c r="I248" s="31" t="s">
        <v>20</v>
      </c>
      <c r="J248" s="32">
        <f>3800000/20/10</f>
        <v>19000</v>
      </c>
      <c r="K248" s="28" t="s">
        <v>20</v>
      </c>
      <c r="L248" s="33"/>
      <c r="M248" s="33">
        <v>0.17</v>
      </c>
      <c r="N248" s="27"/>
      <c r="O248" s="31" t="s">
        <v>20</v>
      </c>
      <c r="P248" s="27">
        <f>(C248+(E248*F248*H248))-N248</f>
        <v>18</v>
      </c>
      <c r="Q248" s="31" t="s">
        <v>20</v>
      </c>
      <c r="R248" s="32">
        <f>P248*(J248-(J248*L248)-((J248-(J248*L248))*M248))</f>
        <v>283860</v>
      </c>
      <c r="S248" s="32">
        <f t="shared" si="29"/>
        <v>255729.7297297297</v>
      </c>
    </row>
    <row r="249" spans="1:19" s="26" customFormat="1">
      <c r="A249" s="107" t="s">
        <v>254</v>
      </c>
      <c r="B249" s="26" t="s">
        <v>26</v>
      </c>
      <c r="C249" s="27">
        <v>228</v>
      </c>
      <c r="D249" s="28" t="s">
        <v>20</v>
      </c>
      <c r="E249" s="29"/>
      <c r="F249" s="30">
        <v>20</v>
      </c>
      <c r="G249" s="31" t="s">
        <v>34</v>
      </c>
      <c r="H249" s="30">
        <v>12</v>
      </c>
      <c r="I249" s="31" t="s">
        <v>20</v>
      </c>
      <c r="J249" s="32">
        <f>3000000/20/12</f>
        <v>12500</v>
      </c>
      <c r="K249" s="28" t="s">
        <v>20</v>
      </c>
      <c r="L249" s="33"/>
      <c r="M249" s="33">
        <v>0.17</v>
      </c>
      <c r="N249" s="27">
        <f>(6*12)+(1*12)</f>
        <v>84</v>
      </c>
      <c r="O249" s="31" t="s">
        <v>20</v>
      </c>
      <c r="P249" s="27">
        <f>(C249+(E249*F249*H249))-N249</f>
        <v>144</v>
      </c>
      <c r="Q249" s="31" t="s">
        <v>20</v>
      </c>
      <c r="R249" s="32">
        <f>P249*(J249-(J249*L249)-((J249-(J249*L249))*M249))</f>
        <v>1494000</v>
      </c>
      <c r="S249" s="32">
        <f t="shared" si="29"/>
        <v>1345945.9459459458</v>
      </c>
    </row>
    <row r="250" spans="1:19">
      <c r="S250" s="23"/>
    </row>
    <row r="251" spans="1:19" ht="15.75">
      <c r="A251" s="14" t="s">
        <v>255</v>
      </c>
      <c r="S251" s="23"/>
    </row>
    <row r="252" spans="1:19" s="17" customFormat="1">
      <c r="A252" s="16" t="s">
        <v>256</v>
      </c>
      <c r="B252" s="17" t="s">
        <v>19</v>
      </c>
      <c r="C252" s="18"/>
      <c r="D252" s="19" t="s">
        <v>43</v>
      </c>
      <c r="E252" s="20"/>
      <c r="F252" s="21">
        <v>1</v>
      </c>
      <c r="G252" s="22" t="s">
        <v>21</v>
      </c>
      <c r="H252" s="21">
        <v>24</v>
      </c>
      <c r="I252" s="22" t="s">
        <v>43</v>
      </c>
      <c r="J252" s="23">
        <v>88200</v>
      </c>
      <c r="K252" s="19" t="s">
        <v>43</v>
      </c>
      <c r="L252" s="24">
        <v>0.125</v>
      </c>
      <c r="M252" s="24">
        <v>0.05</v>
      </c>
      <c r="N252" s="18"/>
      <c r="O252" s="22" t="s">
        <v>43</v>
      </c>
      <c r="P252" s="18">
        <f t="shared" ref="P252:P262" si="37">(C252+(E252*F252*H252))-N252</f>
        <v>0</v>
      </c>
      <c r="Q252" s="22" t="s">
        <v>43</v>
      </c>
      <c r="R252" s="23">
        <f t="shared" ref="R252:R262" si="38">P252*(J252-(J252*L252)-((J252-(J252*L252))*M252))</f>
        <v>0</v>
      </c>
      <c r="S252" s="23">
        <f t="shared" si="29"/>
        <v>0</v>
      </c>
    </row>
    <row r="253" spans="1:19" s="26" customFormat="1">
      <c r="A253" s="25" t="s">
        <v>257</v>
      </c>
      <c r="B253" s="26" t="s">
        <v>19</v>
      </c>
      <c r="C253" s="27">
        <v>4</v>
      </c>
      <c r="D253" s="28" t="s">
        <v>43</v>
      </c>
      <c r="E253" s="29"/>
      <c r="F253" s="30">
        <v>1</v>
      </c>
      <c r="G253" s="31" t="s">
        <v>21</v>
      </c>
      <c r="H253" s="30">
        <v>24</v>
      </c>
      <c r="I253" s="31" t="s">
        <v>43</v>
      </c>
      <c r="J253" s="32">
        <v>88200</v>
      </c>
      <c r="K253" s="28" t="s">
        <v>43</v>
      </c>
      <c r="L253" s="33">
        <v>0.125</v>
      </c>
      <c r="M253" s="33">
        <v>0.05</v>
      </c>
      <c r="N253" s="27"/>
      <c r="O253" s="31" t="s">
        <v>43</v>
      </c>
      <c r="P253" s="27">
        <f t="shared" si="37"/>
        <v>4</v>
      </c>
      <c r="Q253" s="31" t="s">
        <v>43</v>
      </c>
      <c r="R253" s="32">
        <f t="shared" si="38"/>
        <v>293265</v>
      </c>
      <c r="S253" s="32">
        <f t="shared" si="29"/>
        <v>264202.70270270266</v>
      </c>
    </row>
    <row r="254" spans="1:19" s="17" customFormat="1">
      <c r="A254" s="16" t="s">
        <v>258</v>
      </c>
      <c r="B254" s="17" t="s">
        <v>19</v>
      </c>
      <c r="C254" s="18"/>
      <c r="D254" s="19" t="s">
        <v>43</v>
      </c>
      <c r="E254" s="20"/>
      <c r="F254" s="21">
        <v>1</v>
      </c>
      <c r="G254" s="22" t="s">
        <v>21</v>
      </c>
      <c r="H254" s="21">
        <v>24</v>
      </c>
      <c r="I254" s="22" t="s">
        <v>43</v>
      </c>
      <c r="J254" s="23">
        <v>89400</v>
      </c>
      <c r="K254" s="19" t="s">
        <v>43</v>
      </c>
      <c r="L254" s="24">
        <v>0.125</v>
      </c>
      <c r="M254" s="24">
        <v>0.05</v>
      </c>
      <c r="N254" s="18"/>
      <c r="O254" s="22" t="s">
        <v>43</v>
      </c>
      <c r="P254" s="18">
        <f t="shared" si="37"/>
        <v>0</v>
      </c>
      <c r="Q254" s="22" t="s">
        <v>43</v>
      </c>
      <c r="R254" s="23">
        <f t="shared" si="38"/>
        <v>0</v>
      </c>
      <c r="S254" s="23">
        <f t="shared" si="29"/>
        <v>0</v>
      </c>
    </row>
    <row r="255" spans="1:19" s="17" customFormat="1">
      <c r="A255" s="16" t="s">
        <v>259</v>
      </c>
      <c r="B255" s="17" t="s">
        <v>19</v>
      </c>
      <c r="C255" s="18"/>
      <c r="D255" s="19" t="s">
        <v>162</v>
      </c>
      <c r="E255" s="20"/>
      <c r="F255" s="21">
        <v>12</v>
      </c>
      <c r="G255" s="22" t="s">
        <v>34</v>
      </c>
      <c r="H255" s="21">
        <v>24</v>
      </c>
      <c r="I255" s="22" t="s">
        <v>162</v>
      </c>
      <c r="J255" s="23">
        <v>12000</v>
      </c>
      <c r="K255" s="19" t="s">
        <v>162</v>
      </c>
      <c r="L255" s="24">
        <v>0.125</v>
      </c>
      <c r="M255" s="24">
        <v>0.05</v>
      </c>
      <c r="N255" s="18"/>
      <c r="O255" s="22" t="s">
        <v>162</v>
      </c>
      <c r="P255" s="18">
        <f t="shared" si="37"/>
        <v>0</v>
      </c>
      <c r="Q255" s="22" t="s">
        <v>162</v>
      </c>
      <c r="R255" s="23">
        <f t="shared" si="38"/>
        <v>0</v>
      </c>
      <c r="S255" s="23">
        <f t="shared" si="29"/>
        <v>0</v>
      </c>
    </row>
    <row r="256" spans="1:19" s="17" customFormat="1">
      <c r="A256" s="16" t="s">
        <v>260</v>
      </c>
      <c r="B256" s="17" t="s">
        <v>19</v>
      </c>
      <c r="C256" s="18"/>
      <c r="D256" s="19" t="s">
        <v>162</v>
      </c>
      <c r="E256" s="20"/>
      <c r="F256" s="21">
        <v>10</v>
      </c>
      <c r="G256" s="22" t="s">
        <v>34</v>
      </c>
      <c r="H256" s="21">
        <v>10</v>
      </c>
      <c r="I256" s="22" t="s">
        <v>162</v>
      </c>
      <c r="J256" s="23">
        <v>28000</v>
      </c>
      <c r="K256" s="19" t="s">
        <v>162</v>
      </c>
      <c r="L256" s="24">
        <v>0.125</v>
      </c>
      <c r="M256" s="24">
        <v>0.05</v>
      </c>
      <c r="N256" s="18"/>
      <c r="O256" s="22" t="s">
        <v>162</v>
      </c>
      <c r="P256" s="18">
        <f t="shared" si="37"/>
        <v>0</v>
      </c>
      <c r="Q256" s="22" t="s">
        <v>162</v>
      </c>
      <c r="R256" s="23">
        <f t="shared" si="38"/>
        <v>0</v>
      </c>
      <c r="S256" s="23">
        <f t="shared" si="29"/>
        <v>0</v>
      </c>
    </row>
    <row r="257" spans="1:19" s="17" customFormat="1">
      <c r="A257" s="16" t="s">
        <v>261</v>
      </c>
      <c r="B257" s="17" t="s">
        <v>19</v>
      </c>
      <c r="C257" s="18"/>
      <c r="D257" s="19" t="s">
        <v>162</v>
      </c>
      <c r="E257" s="20"/>
      <c r="F257" s="21">
        <v>10</v>
      </c>
      <c r="G257" s="22" t="s">
        <v>34</v>
      </c>
      <c r="H257" s="21">
        <v>10</v>
      </c>
      <c r="I257" s="22" t="s">
        <v>162</v>
      </c>
      <c r="J257" s="23">
        <v>33500</v>
      </c>
      <c r="K257" s="19" t="s">
        <v>162</v>
      </c>
      <c r="L257" s="24">
        <v>0.125</v>
      </c>
      <c r="M257" s="24">
        <v>0.05</v>
      </c>
      <c r="N257" s="18"/>
      <c r="O257" s="22" t="s">
        <v>162</v>
      </c>
      <c r="P257" s="18">
        <f t="shared" si="37"/>
        <v>0</v>
      </c>
      <c r="Q257" s="22" t="s">
        <v>162</v>
      </c>
      <c r="R257" s="23">
        <f t="shared" si="38"/>
        <v>0</v>
      </c>
      <c r="S257" s="23">
        <f t="shared" si="29"/>
        <v>0</v>
      </c>
    </row>
    <row r="258" spans="1:19" s="17" customFormat="1">
      <c r="A258" s="16" t="s">
        <v>262</v>
      </c>
      <c r="B258" s="17" t="s">
        <v>19</v>
      </c>
      <c r="C258" s="18"/>
      <c r="D258" s="19" t="s">
        <v>162</v>
      </c>
      <c r="E258" s="20"/>
      <c r="F258" s="21">
        <v>8</v>
      </c>
      <c r="G258" s="22" t="s">
        <v>34</v>
      </c>
      <c r="H258" s="21">
        <v>10</v>
      </c>
      <c r="I258" s="22" t="s">
        <v>162</v>
      </c>
      <c r="J258" s="23">
        <v>48500</v>
      </c>
      <c r="K258" s="19" t="s">
        <v>162</v>
      </c>
      <c r="L258" s="24">
        <v>0.125</v>
      </c>
      <c r="M258" s="24">
        <v>0.05</v>
      </c>
      <c r="N258" s="18"/>
      <c r="O258" s="22" t="s">
        <v>162</v>
      </c>
      <c r="P258" s="18">
        <f t="shared" si="37"/>
        <v>0</v>
      </c>
      <c r="Q258" s="22" t="s">
        <v>162</v>
      </c>
      <c r="R258" s="23">
        <f t="shared" si="38"/>
        <v>0</v>
      </c>
      <c r="S258" s="23">
        <f t="shared" si="29"/>
        <v>0</v>
      </c>
    </row>
    <row r="259" spans="1:19" s="17" customFormat="1">
      <c r="A259" s="16" t="s">
        <v>263</v>
      </c>
      <c r="B259" s="17" t="s">
        <v>19</v>
      </c>
      <c r="C259" s="18"/>
      <c r="D259" s="19" t="s">
        <v>162</v>
      </c>
      <c r="E259" s="20"/>
      <c r="F259" s="21">
        <v>10</v>
      </c>
      <c r="G259" s="22" t="s">
        <v>34</v>
      </c>
      <c r="H259" s="21">
        <v>12</v>
      </c>
      <c r="I259" s="22" t="s">
        <v>162</v>
      </c>
      <c r="J259" s="23">
        <v>17000</v>
      </c>
      <c r="K259" s="19" t="s">
        <v>162</v>
      </c>
      <c r="L259" s="24">
        <v>0.125</v>
      </c>
      <c r="M259" s="24">
        <v>0.05</v>
      </c>
      <c r="N259" s="18"/>
      <c r="O259" s="22" t="s">
        <v>162</v>
      </c>
      <c r="P259" s="18">
        <f t="shared" si="37"/>
        <v>0</v>
      </c>
      <c r="Q259" s="22" t="s">
        <v>162</v>
      </c>
      <c r="R259" s="23">
        <f t="shared" si="38"/>
        <v>0</v>
      </c>
      <c r="S259" s="23">
        <f t="shared" si="29"/>
        <v>0</v>
      </c>
    </row>
    <row r="260" spans="1:19" s="85" customFormat="1">
      <c r="A260" s="84" t="s">
        <v>264</v>
      </c>
      <c r="B260" s="85" t="s">
        <v>19</v>
      </c>
      <c r="C260" s="86">
        <v>96</v>
      </c>
      <c r="D260" s="87" t="s">
        <v>162</v>
      </c>
      <c r="E260" s="92"/>
      <c r="F260" s="88">
        <v>24</v>
      </c>
      <c r="G260" s="89" t="s">
        <v>34</v>
      </c>
      <c r="H260" s="88">
        <v>12</v>
      </c>
      <c r="I260" s="89" t="s">
        <v>162</v>
      </c>
      <c r="J260" s="90">
        <v>13300</v>
      </c>
      <c r="K260" s="87" t="s">
        <v>162</v>
      </c>
      <c r="L260" s="91">
        <v>0.125</v>
      </c>
      <c r="M260" s="91">
        <v>0.05</v>
      </c>
      <c r="N260" s="86"/>
      <c r="O260" s="89" t="s">
        <v>162</v>
      </c>
      <c r="P260" s="86">
        <f t="shared" si="37"/>
        <v>96</v>
      </c>
      <c r="Q260" s="89" t="s">
        <v>162</v>
      </c>
      <c r="R260" s="90">
        <f t="shared" si="38"/>
        <v>1061340</v>
      </c>
      <c r="S260" s="32">
        <f t="shared" si="29"/>
        <v>956162.16216216213</v>
      </c>
    </row>
    <row r="261" spans="1:19" s="26" customFormat="1">
      <c r="A261" s="94" t="s">
        <v>265</v>
      </c>
      <c r="B261" s="26" t="s">
        <v>26</v>
      </c>
      <c r="C261" s="27">
        <v>72</v>
      </c>
      <c r="D261" s="28" t="s">
        <v>20</v>
      </c>
      <c r="E261" s="29"/>
      <c r="F261" s="30">
        <v>24</v>
      </c>
      <c r="G261" s="31" t="s">
        <v>43</v>
      </c>
      <c r="H261" s="30">
        <v>12</v>
      </c>
      <c r="I261" s="31" t="s">
        <v>20</v>
      </c>
      <c r="J261" s="32">
        <f>2102400/24/12</f>
        <v>7300</v>
      </c>
      <c r="K261" s="28" t="s">
        <v>20</v>
      </c>
      <c r="L261" s="33"/>
      <c r="M261" s="33">
        <v>0.17</v>
      </c>
      <c r="N261" s="27"/>
      <c r="O261" s="31" t="s">
        <v>20</v>
      </c>
      <c r="P261" s="27">
        <f t="shared" si="37"/>
        <v>72</v>
      </c>
      <c r="Q261" s="31" t="s">
        <v>20</v>
      </c>
      <c r="R261" s="32">
        <f t="shared" si="38"/>
        <v>436248</v>
      </c>
      <c r="S261" s="32">
        <f t="shared" si="29"/>
        <v>393016.21621621615</v>
      </c>
    </row>
    <row r="262" spans="1:19" s="26" customFormat="1">
      <c r="A262" s="94" t="s">
        <v>266</v>
      </c>
      <c r="B262" s="26" t="s">
        <v>26</v>
      </c>
      <c r="C262" s="27">
        <v>264</v>
      </c>
      <c r="D262" s="28" t="s">
        <v>20</v>
      </c>
      <c r="E262" s="29"/>
      <c r="F262" s="30">
        <v>24</v>
      </c>
      <c r="G262" s="31" t="s">
        <v>43</v>
      </c>
      <c r="H262" s="30">
        <v>12</v>
      </c>
      <c r="I262" s="31" t="s">
        <v>20</v>
      </c>
      <c r="J262" s="32">
        <f>2102400/24/12</f>
        <v>7300</v>
      </c>
      <c r="K262" s="28" t="s">
        <v>20</v>
      </c>
      <c r="L262" s="33"/>
      <c r="M262" s="33">
        <v>0.17</v>
      </c>
      <c r="N262" s="27">
        <f>(2+3)*12</f>
        <v>60</v>
      </c>
      <c r="O262" s="31" t="s">
        <v>20</v>
      </c>
      <c r="P262" s="27">
        <f t="shared" si="37"/>
        <v>204</v>
      </c>
      <c r="Q262" s="31" t="s">
        <v>20</v>
      </c>
      <c r="R262" s="32">
        <f t="shared" si="38"/>
        <v>1236036</v>
      </c>
      <c r="S262" s="32">
        <f t="shared" si="29"/>
        <v>1113545.9459459458</v>
      </c>
    </row>
    <row r="263" spans="1:19">
      <c r="S263" s="23"/>
    </row>
    <row r="264" spans="1:19" ht="15.75">
      <c r="A264" s="14" t="s">
        <v>267</v>
      </c>
      <c r="S264" s="23"/>
    </row>
    <row r="265" spans="1:19" s="17" customFormat="1">
      <c r="A265" s="16" t="s">
        <v>268</v>
      </c>
      <c r="B265" s="17" t="s">
        <v>19</v>
      </c>
      <c r="C265" s="18"/>
      <c r="D265" s="19" t="s">
        <v>34</v>
      </c>
      <c r="E265" s="20"/>
      <c r="F265" s="21">
        <v>1</v>
      </c>
      <c r="G265" s="22" t="s">
        <v>21</v>
      </c>
      <c r="H265" s="21">
        <v>20</v>
      </c>
      <c r="I265" s="22" t="s">
        <v>34</v>
      </c>
      <c r="J265" s="23">
        <f>6200*12</f>
        <v>74400</v>
      </c>
      <c r="K265" s="19" t="s">
        <v>34</v>
      </c>
      <c r="L265" s="24">
        <v>0.125</v>
      </c>
      <c r="M265" s="24">
        <v>0.05</v>
      </c>
      <c r="N265" s="18"/>
      <c r="O265" s="22" t="s">
        <v>34</v>
      </c>
      <c r="P265" s="18">
        <f>(C265+(E265*F265*H265))-N265</f>
        <v>0</v>
      </c>
      <c r="Q265" s="22" t="s">
        <v>34</v>
      </c>
      <c r="R265" s="23">
        <f>P265*(J265-(J265*L265)-((J265-(J265*L265))*M265))</f>
        <v>0</v>
      </c>
      <c r="S265" s="23">
        <f t="shared" si="29"/>
        <v>0</v>
      </c>
    </row>
    <row r="266" spans="1:19" s="17" customFormat="1">
      <c r="A266" s="16" t="s">
        <v>269</v>
      </c>
      <c r="B266" s="17" t="s">
        <v>19</v>
      </c>
      <c r="C266" s="18"/>
      <c r="D266" s="19" t="s">
        <v>34</v>
      </c>
      <c r="E266" s="20"/>
      <c r="F266" s="21">
        <v>1</v>
      </c>
      <c r="G266" s="22" t="s">
        <v>21</v>
      </c>
      <c r="H266" s="21">
        <v>20</v>
      </c>
      <c r="I266" s="22" t="s">
        <v>34</v>
      </c>
      <c r="J266" s="23">
        <f>6800*12</f>
        <v>81600</v>
      </c>
      <c r="K266" s="19" t="s">
        <v>34</v>
      </c>
      <c r="L266" s="24">
        <v>0.125</v>
      </c>
      <c r="M266" s="24">
        <v>0.05</v>
      </c>
      <c r="N266" s="18"/>
      <c r="O266" s="22" t="s">
        <v>34</v>
      </c>
      <c r="P266" s="18">
        <f>(C266+(E266*F266*H266))-N266</f>
        <v>0</v>
      </c>
      <c r="Q266" s="22" t="s">
        <v>34</v>
      </c>
      <c r="R266" s="23">
        <f>P266*(J266-(J266*L266)-((J266-(J266*L266))*M266))</f>
        <v>0</v>
      </c>
      <c r="S266" s="23">
        <f t="shared" si="29"/>
        <v>0</v>
      </c>
    </row>
    <row r="267" spans="1:19">
      <c r="S267" s="23"/>
    </row>
    <row r="268" spans="1:19" ht="15.75">
      <c r="A268" s="14" t="s">
        <v>270</v>
      </c>
      <c r="S268" s="23"/>
    </row>
    <row r="269" spans="1:19">
      <c r="A269" s="15" t="s">
        <v>271</v>
      </c>
      <c r="S269" s="23"/>
    </row>
    <row r="270" spans="1:19" s="17" customFormat="1">
      <c r="A270" s="16" t="s">
        <v>272</v>
      </c>
      <c r="B270" s="17" t="s">
        <v>26</v>
      </c>
      <c r="C270" s="18"/>
      <c r="D270" s="19" t="s">
        <v>104</v>
      </c>
      <c r="E270" s="20"/>
      <c r="F270" s="21">
        <v>1</v>
      </c>
      <c r="G270" s="22" t="s">
        <v>21</v>
      </c>
      <c r="H270" s="21">
        <v>50</v>
      </c>
      <c r="I270" s="22" t="s">
        <v>104</v>
      </c>
      <c r="J270" s="23">
        <f>740000/50</f>
        <v>14800</v>
      </c>
      <c r="K270" s="19" t="s">
        <v>104</v>
      </c>
      <c r="L270" s="24"/>
      <c r="M270" s="24">
        <v>0.17</v>
      </c>
      <c r="N270" s="18"/>
      <c r="O270" s="22" t="s">
        <v>104</v>
      </c>
      <c r="P270" s="18">
        <f>(C270+(E270*F270*H270))-N270</f>
        <v>0</v>
      </c>
      <c r="Q270" s="22" t="s">
        <v>104</v>
      </c>
      <c r="R270" s="23">
        <f>P270*(J270-(J270*L270)-((J270-(J270*L270))*M270))</f>
        <v>0</v>
      </c>
      <c r="S270" s="23">
        <f t="shared" si="29"/>
        <v>0</v>
      </c>
    </row>
    <row r="271" spans="1:19">
      <c r="A271" s="15" t="s">
        <v>273</v>
      </c>
      <c r="S271" s="23"/>
    </row>
    <row r="272" spans="1:19" s="17" customFormat="1">
      <c r="A272" s="25" t="s">
        <v>274</v>
      </c>
      <c r="B272" s="26" t="s">
        <v>275</v>
      </c>
      <c r="C272" s="27">
        <v>250</v>
      </c>
      <c r="D272" s="28" t="s">
        <v>104</v>
      </c>
      <c r="E272" s="29"/>
      <c r="F272" s="30">
        <v>1</v>
      </c>
      <c r="G272" s="31" t="s">
        <v>21</v>
      </c>
      <c r="H272" s="30">
        <v>50</v>
      </c>
      <c r="I272" s="31" t="s">
        <v>104</v>
      </c>
      <c r="J272" s="32">
        <v>32500</v>
      </c>
      <c r="K272" s="28" t="s">
        <v>104</v>
      </c>
      <c r="L272" s="33"/>
      <c r="M272" s="33"/>
      <c r="N272" s="27"/>
      <c r="O272" s="31" t="s">
        <v>104</v>
      </c>
      <c r="P272" s="27">
        <f>(C272+(E272*F272*H272))-N272</f>
        <v>250</v>
      </c>
      <c r="Q272" s="31" t="s">
        <v>104</v>
      </c>
      <c r="R272" s="32">
        <f>P272*(J272-(J272*L272)-((J272-(J272*L272))*M272))</f>
        <v>8125000</v>
      </c>
      <c r="S272" s="32">
        <f t="shared" ref="S272:S334" si="39">R272/1.11</f>
        <v>7319819.8198198192</v>
      </c>
    </row>
    <row r="273" spans="1:19">
      <c r="S273" s="23"/>
    </row>
    <row r="274" spans="1:19" ht="15.75">
      <c r="A274" s="14" t="s">
        <v>276</v>
      </c>
      <c r="S274" s="23"/>
    </row>
    <row r="275" spans="1:19" s="17" customFormat="1">
      <c r="A275" s="16" t="s">
        <v>277</v>
      </c>
      <c r="B275" s="17" t="s">
        <v>19</v>
      </c>
      <c r="C275" s="18"/>
      <c r="D275" s="19" t="s">
        <v>108</v>
      </c>
      <c r="E275" s="20"/>
      <c r="F275" s="21">
        <v>8</v>
      </c>
      <c r="G275" s="22" t="s">
        <v>34</v>
      </c>
      <c r="H275" s="21">
        <v>25</v>
      </c>
      <c r="I275" s="22" t="s">
        <v>108</v>
      </c>
      <c r="J275" s="23">
        <v>4000</v>
      </c>
      <c r="K275" s="19" t="s">
        <v>108</v>
      </c>
      <c r="L275" s="24">
        <v>0.125</v>
      </c>
      <c r="M275" s="24">
        <v>0.05</v>
      </c>
      <c r="N275" s="18"/>
      <c r="O275" s="22" t="s">
        <v>108</v>
      </c>
      <c r="P275" s="18">
        <f>(C275+(E275*F275*H275))-N275</f>
        <v>0</v>
      </c>
      <c r="Q275" s="22" t="s">
        <v>108</v>
      </c>
      <c r="R275" s="23">
        <f>P275*(J275-(J275*L275)-((J275-(J275*L275))*M275))</f>
        <v>0</v>
      </c>
      <c r="S275" s="23">
        <f t="shared" si="39"/>
        <v>0</v>
      </c>
    </row>
    <row r="276" spans="1:19" s="26" customFormat="1">
      <c r="A276" s="25" t="s">
        <v>278</v>
      </c>
      <c r="B276" s="26" t="s">
        <v>19</v>
      </c>
      <c r="C276" s="27">
        <v>8</v>
      </c>
      <c r="D276" s="28" t="s">
        <v>80</v>
      </c>
      <c r="E276" s="29"/>
      <c r="F276" s="30">
        <v>1</v>
      </c>
      <c r="G276" s="31" t="s">
        <v>21</v>
      </c>
      <c r="H276" s="30">
        <v>48</v>
      </c>
      <c r="I276" s="31" t="s">
        <v>80</v>
      </c>
      <c r="J276" s="32">
        <v>30000</v>
      </c>
      <c r="K276" s="28" t="s">
        <v>80</v>
      </c>
      <c r="L276" s="33">
        <v>0.125</v>
      </c>
      <c r="M276" s="33">
        <v>0.05</v>
      </c>
      <c r="N276" s="27"/>
      <c r="O276" s="31" t="s">
        <v>80</v>
      </c>
      <c r="P276" s="27">
        <f>(C276+(E276*F276*H276))-N276</f>
        <v>8</v>
      </c>
      <c r="Q276" s="31" t="s">
        <v>80</v>
      </c>
      <c r="R276" s="32">
        <f>P276*(J276-(J276*L276)-((J276-(J276*L276))*M276))</f>
        <v>199500</v>
      </c>
      <c r="S276" s="32">
        <f t="shared" si="39"/>
        <v>179729.7297297297</v>
      </c>
    </row>
    <row r="277" spans="1:19" s="63" customFormat="1">
      <c r="A277" s="72" t="s">
        <v>279</v>
      </c>
      <c r="B277" s="63" t="s">
        <v>19</v>
      </c>
      <c r="C277" s="64"/>
      <c r="D277" s="65" t="s">
        <v>80</v>
      </c>
      <c r="E277" s="66"/>
      <c r="F277" s="67">
        <v>1</v>
      </c>
      <c r="G277" s="68" t="s">
        <v>21</v>
      </c>
      <c r="H277" s="67">
        <v>48</v>
      </c>
      <c r="I277" s="68" t="s">
        <v>80</v>
      </c>
      <c r="J277" s="69">
        <v>22300</v>
      </c>
      <c r="K277" s="65" t="s">
        <v>80</v>
      </c>
      <c r="L277" s="70">
        <v>0.125</v>
      </c>
      <c r="M277" s="70">
        <v>0.05</v>
      </c>
      <c r="N277" s="64"/>
      <c r="O277" s="68" t="s">
        <v>80</v>
      </c>
      <c r="P277" s="64">
        <f>(C277+(E277*F277*H277))-N277</f>
        <v>0</v>
      </c>
      <c r="Q277" s="68" t="s">
        <v>80</v>
      </c>
      <c r="R277" s="69">
        <f>P277*(J277-(J277*L277)-((J277-(J277*L277))*M277))</f>
        <v>0</v>
      </c>
      <c r="S277" s="23">
        <f t="shared" si="39"/>
        <v>0</v>
      </c>
    </row>
    <row r="278" spans="1:19" s="17" customFormat="1">
      <c r="A278" s="16" t="s">
        <v>280</v>
      </c>
      <c r="B278" s="17" t="s">
        <v>26</v>
      </c>
      <c r="C278" s="18"/>
      <c r="D278" s="19" t="s">
        <v>108</v>
      </c>
      <c r="E278" s="20"/>
      <c r="F278" s="21">
        <v>80</v>
      </c>
      <c r="G278" s="22" t="s">
        <v>34</v>
      </c>
      <c r="H278" s="21">
        <v>25</v>
      </c>
      <c r="I278" s="22" t="s">
        <v>108</v>
      </c>
      <c r="J278" s="23">
        <v>4500</v>
      </c>
      <c r="K278" s="19" t="s">
        <v>108</v>
      </c>
      <c r="L278" s="24"/>
      <c r="M278" s="24">
        <v>0.17</v>
      </c>
      <c r="N278" s="18"/>
      <c r="O278" s="22" t="s">
        <v>108</v>
      </c>
      <c r="P278" s="18">
        <f>(C278+(E278*F278*H278))-N278</f>
        <v>0</v>
      </c>
      <c r="Q278" s="22" t="s">
        <v>108</v>
      </c>
      <c r="R278" s="23">
        <f>P278*(J278-(J278*L278)-((J278-(J278*L278))*M278))</f>
        <v>0</v>
      </c>
      <c r="S278" s="23">
        <f t="shared" si="39"/>
        <v>0</v>
      </c>
    </row>
    <row r="279" spans="1:19" s="17" customFormat="1">
      <c r="A279" s="16" t="s">
        <v>281</v>
      </c>
      <c r="B279" s="17" t="s">
        <v>26</v>
      </c>
      <c r="C279" s="18"/>
      <c r="D279" s="19" t="s">
        <v>80</v>
      </c>
      <c r="E279" s="20"/>
      <c r="F279" s="21">
        <v>1</v>
      </c>
      <c r="G279" s="22" t="s">
        <v>21</v>
      </c>
      <c r="H279" s="21">
        <v>48</v>
      </c>
      <c r="I279" s="22" t="s">
        <v>80</v>
      </c>
      <c r="J279" s="23">
        <v>23500</v>
      </c>
      <c r="K279" s="19" t="s">
        <v>80</v>
      </c>
      <c r="L279" s="24"/>
      <c r="M279" s="24">
        <v>0.17</v>
      </c>
      <c r="N279" s="18"/>
      <c r="O279" s="22" t="s">
        <v>80</v>
      </c>
      <c r="P279" s="18">
        <f>(C279+(E279*F279*H279))-N279</f>
        <v>0</v>
      </c>
      <c r="Q279" s="22" t="s">
        <v>80</v>
      </c>
      <c r="R279" s="23">
        <f>P279*(J279-(J279*L279)-((J279-(J279*L279))*M279))</f>
        <v>0</v>
      </c>
      <c r="S279" s="23">
        <f t="shared" si="39"/>
        <v>0</v>
      </c>
    </row>
    <row r="280" spans="1:19">
      <c r="S280" s="23"/>
    </row>
    <row r="281" spans="1:19" ht="15.75">
      <c r="A281" s="14" t="s">
        <v>282</v>
      </c>
      <c r="S281" s="23"/>
    </row>
    <row r="282" spans="1:19" s="63" customFormat="1">
      <c r="A282" s="72" t="s">
        <v>283</v>
      </c>
      <c r="B282" s="63" t="s">
        <v>19</v>
      </c>
      <c r="C282" s="64"/>
      <c r="D282" s="65" t="s">
        <v>162</v>
      </c>
      <c r="E282" s="66">
        <v>2</v>
      </c>
      <c r="F282" s="67">
        <v>10</v>
      </c>
      <c r="G282" s="68" t="s">
        <v>34</v>
      </c>
      <c r="H282" s="67">
        <v>24</v>
      </c>
      <c r="I282" s="68" t="s">
        <v>162</v>
      </c>
      <c r="J282" s="69">
        <v>8800</v>
      </c>
      <c r="K282" s="65" t="s">
        <v>162</v>
      </c>
      <c r="L282" s="70">
        <v>0.125</v>
      </c>
      <c r="M282" s="70">
        <v>0.05</v>
      </c>
      <c r="N282" s="64">
        <v>480</v>
      </c>
      <c r="O282" s="68" t="s">
        <v>162</v>
      </c>
      <c r="P282" s="64">
        <f t="shared" ref="P282:P287" si="40">(C282+(E282*F282*H282))-N282</f>
        <v>0</v>
      </c>
      <c r="Q282" s="68" t="s">
        <v>162</v>
      </c>
      <c r="R282" s="69">
        <f t="shared" ref="R282:R287" si="41">P282*(J282-(J282*L282)-((J282-(J282*L282))*M282))</f>
        <v>0</v>
      </c>
      <c r="S282" s="23">
        <f t="shared" si="39"/>
        <v>0</v>
      </c>
    </row>
    <row r="283" spans="1:19" s="17" customFormat="1">
      <c r="A283" s="16" t="s">
        <v>284</v>
      </c>
      <c r="B283" s="17" t="s">
        <v>19</v>
      </c>
      <c r="C283" s="18"/>
      <c r="D283" s="19" t="s">
        <v>162</v>
      </c>
      <c r="E283" s="20"/>
      <c r="F283" s="21">
        <v>6</v>
      </c>
      <c r="G283" s="22" t="s">
        <v>34</v>
      </c>
      <c r="H283" s="21">
        <v>24</v>
      </c>
      <c r="I283" s="22" t="s">
        <v>162</v>
      </c>
      <c r="J283" s="23">
        <v>29500</v>
      </c>
      <c r="K283" s="19" t="s">
        <v>162</v>
      </c>
      <c r="L283" s="24">
        <v>0.125</v>
      </c>
      <c r="M283" s="24">
        <v>0.05</v>
      </c>
      <c r="N283" s="18"/>
      <c r="O283" s="22" t="s">
        <v>162</v>
      </c>
      <c r="P283" s="18">
        <f t="shared" si="40"/>
        <v>0</v>
      </c>
      <c r="Q283" s="22" t="s">
        <v>162</v>
      </c>
      <c r="R283" s="23">
        <f t="shared" si="41"/>
        <v>0</v>
      </c>
      <c r="S283" s="23">
        <f t="shared" si="39"/>
        <v>0</v>
      </c>
    </row>
    <row r="284" spans="1:19" s="17" customFormat="1">
      <c r="A284" s="16" t="s">
        <v>285</v>
      </c>
      <c r="B284" s="17" t="s">
        <v>19</v>
      </c>
      <c r="C284" s="18"/>
      <c r="D284" s="19" t="s">
        <v>162</v>
      </c>
      <c r="E284" s="20"/>
      <c r="F284" s="21">
        <v>12</v>
      </c>
      <c r="G284" s="22" t="s">
        <v>34</v>
      </c>
      <c r="H284" s="21">
        <v>12</v>
      </c>
      <c r="I284" s="22" t="s">
        <v>162</v>
      </c>
      <c r="J284" s="23">
        <v>19600</v>
      </c>
      <c r="K284" s="19" t="s">
        <v>162</v>
      </c>
      <c r="L284" s="24">
        <v>0.125</v>
      </c>
      <c r="M284" s="24">
        <v>0.05</v>
      </c>
      <c r="N284" s="18"/>
      <c r="O284" s="22" t="s">
        <v>162</v>
      </c>
      <c r="P284" s="18">
        <f t="shared" si="40"/>
        <v>0</v>
      </c>
      <c r="Q284" s="22" t="s">
        <v>162</v>
      </c>
      <c r="R284" s="23">
        <f t="shared" si="41"/>
        <v>0</v>
      </c>
      <c r="S284" s="23">
        <f t="shared" si="39"/>
        <v>0</v>
      </c>
    </row>
    <row r="285" spans="1:19" s="26" customFormat="1">
      <c r="A285" s="25" t="s">
        <v>286</v>
      </c>
      <c r="B285" s="26" t="s">
        <v>19</v>
      </c>
      <c r="C285" s="27">
        <v>117</v>
      </c>
      <c r="D285" s="28" t="s">
        <v>162</v>
      </c>
      <c r="E285" s="29"/>
      <c r="F285" s="30">
        <v>12</v>
      </c>
      <c r="G285" s="31" t="s">
        <v>34</v>
      </c>
      <c r="H285" s="30">
        <v>12</v>
      </c>
      <c r="I285" s="31" t="s">
        <v>162</v>
      </c>
      <c r="J285" s="32">
        <v>18500</v>
      </c>
      <c r="K285" s="28" t="s">
        <v>162</v>
      </c>
      <c r="L285" s="33">
        <v>0.125</v>
      </c>
      <c r="M285" s="33">
        <v>0.05</v>
      </c>
      <c r="N285" s="27">
        <v>36</v>
      </c>
      <c r="O285" s="31" t="s">
        <v>162</v>
      </c>
      <c r="P285" s="27">
        <f t="shared" si="40"/>
        <v>81</v>
      </c>
      <c r="Q285" s="31" t="s">
        <v>162</v>
      </c>
      <c r="R285" s="32">
        <f t="shared" si="41"/>
        <v>1245628.125</v>
      </c>
      <c r="S285" s="32">
        <f t="shared" si="39"/>
        <v>1122187.5</v>
      </c>
    </row>
    <row r="286" spans="1:19" s="26" customFormat="1">
      <c r="A286" s="25" t="s">
        <v>287</v>
      </c>
      <c r="B286" s="26" t="s">
        <v>19</v>
      </c>
      <c r="C286" s="27">
        <v>36</v>
      </c>
      <c r="D286" s="28" t="s">
        <v>162</v>
      </c>
      <c r="E286" s="29"/>
      <c r="F286" s="30">
        <v>10</v>
      </c>
      <c r="G286" s="31" t="s">
        <v>34</v>
      </c>
      <c r="H286" s="30">
        <v>24</v>
      </c>
      <c r="I286" s="31" t="s">
        <v>162</v>
      </c>
      <c r="J286" s="32">
        <v>10600</v>
      </c>
      <c r="K286" s="28" t="s">
        <v>162</v>
      </c>
      <c r="L286" s="33">
        <v>0.125</v>
      </c>
      <c r="M286" s="33">
        <v>0.05</v>
      </c>
      <c r="N286" s="27">
        <v>12</v>
      </c>
      <c r="O286" s="31" t="s">
        <v>162</v>
      </c>
      <c r="P286" s="27">
        <f t="shared" si="40"/>
        <v>24</v>
      </c>
      <c r="Q286" s="31" t="s">
        <v>162</v>
      </c>
      <c r="R286" s="32">
        <f t="shared" si="41"/>
        <v>211470</v>
      </c>
      <c r="S286" s="32">
        <f t="shared" si="39"/>
        <v>190513.51351351349</v>
      </c>
    </row>
    <row r="287" spans="1:19" s="17" customFormat="1">
      <c r="A287" s="16" t="s">
        <v>288</v>
      </c>
      <c r="B287" s="17" t="s">
        <v>19</v>
      </c>
      <c r="C287" s="18"/>
      <c r="D287" s="19" t="s">
        <v>162</v>
      </c>
      <c r="E287" s="20"/>
      <c r="F287" s="21">
        <v>20</v>
      </c>
      <c r="G287" s="22" t="s">
        <v>34</v>
      </c>
      <c r="H287" s="21">
        <v>12</v>
      </c>
      <c r="I287" s="22" t="s">
        <v>162</v>
      </c>
      <c r="J287" s="23">
        <v>7200</v>
      </c>
      <c r="K287" s="19" t="s">
        <v>162</v>
      </c>
      <c r="L287" s="24">
        <v>0.125</v>
      </c>
      <c r="M287" s="24">
        <v>0.05</v>
      </c>
      <c r="N287" s="18"/>
      <c r="O287" s="22" t="s">
        <v>162</v>
      </c>
      <c r="P287" s="18">
        <f t="shared" si="40"/>
        <v>0</v>
      </c>
      <c r="Q287" s="22" t="s">
        <v>162</v>
      </c>
      <c r="R287" s="23">
        <f t="shared" si="41"/>
        <v>0</v>
      </c>
      <c r="S287" s="23">
        <f t="shared" si="39"/>
        <v>0</v>
      </c>
    </row>
    <row r="288" spans="1:19">
      <c r="S288" s="23"/>
    </row>
    <row r="289" spans="1:19" ht="15.75">
      <c r="A289" s="14" t="s">
        <v>289</v>
      </c>
      <c r="S289" s="23"/>
    </row>
    <row r="290" spans="1:19">
      <c r="A290" s="15" t="s">
        <v>290</v>
      </c>
      <c r="S290" s="23"/>
    </row>
    <row r="291" spans="1:19" s="45" customFormat="1">
      <c r="A291" s="44" t="s">
        <v>291</v>
      </c>
      <c r="B291" s="45" t="s">
        <v>19</v>
      </c>
      <c r="C291" s="46">
        <v>2400</v>
      </c>
      <c r="D291" s="47" t="s">
        <v>292</v>
      </c>
      <c r="E291" s="48">
        <f>2+2+1+2</f>
        <v>7</v>
      </c>
      <c r="F291" s="49">
        <v>100</v>
      </c>
      <c r="G291" s="50" t="s">
        <v>104</v>
      </c>
      <c r="H291" s="49">
        <v>10</v>
      </c>
      <c r="I291" s="50" t="s">
        <v>292</v>
      </c>
      <c r="J291" s="51">
        <v>2050</v>
      </c>
      <c r="K291" s="47" t="s">
        <v>292</v>
      </c>
      <c r="L291" s="52">
        <v>0.125</v>
      </c>
      <c r="M291" s="52">
        <v>0.05</v>
      </c>
      <c r="N291" s="46">
        <f>2000+1000+2000+1000</f>
        <v>6000</v>
      </c>
      <c r="O291" s="50" t="s">
        <v>292</v>
      </c>
      <c r="P291" s="46">
        <f t="shared" ref="P291:P301" si="42">(C291+(E291*F291*H291))-N291</f>
        <v>3400</v>
      </c>
      <c r="Q291" s="50" t="s">
        <v>292</v>
      </c>
      <c r="R291" s="51">
        <f t="shared" ref="R291:R301" si="43">P291*(J291-(J291*L291)-((J291-(J291*L291))*M291))</f>
        <v>5793812.5</v>
      </c>
      <c r="S291" s="51">
        <f t="shared" si="39"/>
        <v>5219650.9009009004</v>
      </c>
    </row>
    <row r="292" spans="1:19" s="63" customFormat="1">
      <c r="A292" s="72" t="s">
        <v>293</v>
      </c>
      <c r="B292" s="63" t="s">
        <v>19</v>
      </c>
      <c r="C292" s="64"/>
      <c r="D292" s="65" t="s">
        <v>292</v>
      </c>
      <c r="E292" s="66">
        <v>1</v>
      </c>
      <c r="F292" s="67">
        <v>100</v>
      </c>
      <c r="G292" s="68" t="s">
        <v>104</v>
      </c>
      <c r="H292" s="67">
        <v>10</v>
      </c>
      <c r="I292" s="68" t="s">
        <v>292</v>
      </c>
      <c r="J292" s="69">
        <v>2900</v>
      </c>
      <c r="K292" s="65" t="s">
        <v>292</v>
      </c>
      <c r="L292" s="70">
        <v>0.125</v>
      </c>
      <c r="M292" s="70">
        <v>0.05</v>
      </c>
      <c r="N292" s="64">
        <v>1000</v>
      </c>
      <c r="O292" s="68" t="s">
        <v>292</v>
      </c>
      <c r="P292" s="64">
        <f t="shared" si="42"/>
        <v>0</v>
      </c>
      <c r="Q292" s="68" t="s">
        <v>292</v>
      </c>
      <c r="R292" s="69">
        <f t="shared" si="43"/>
        <v>0</v>
      </c>
      <c r="S292" s="23">
        <f t="shared" si="39"/>
        <v>0</v>
      </c>
    </row>
    <row r="293" spans="1:19" s="45" customFormat="1">
      <c r="A293" s="44" t="s">
        <v>294</v>
      </c>
      <c r="B293" s="45" t="s">
        <v>19</v>
      </c>
      <c r="C293" s="46">
        <v>440</v>
      </c>
      <c r="D293" s="47" t="s">
        <v>292</v>
      </c>
      <c r="E293" s="48">
        <f>1+1</f>
        <v>2</v>
      </c>
      <c r="F293" s="49">
        <v>50</v>
      </c>
      <c r="G293" s="50" t="s">
        <v>104</v>
      </c>
      <c r="H293" s="49">
        <v>10</v>
      </c>
      <c r="I293" s="50" t="s">
        <v>292</v>
      </c>
      <c r="J293" s="51">
        <v>3050</v>
      </c>
      <c r="K293" s="47" t="s">
        <v>292</v>
      </c>
      <c r="L293" s="52">
        <v>0.125</v>
      </c>
      <c r="M293" s="52">
        <v>0.05</v>
      </c>
      <c r="N293" s="46">
        <v>500</v>
      </c>
      <c r="O293" s="50" t="s">
        <v>292</v>
      </c>
      <c r="P293" s="46">
        <f t="shared" si="42"/>
        <v>940</v>
      </c>
      <c r="Q293" s="50" t="s">
        <v>292</v>
      </c>
      <c r="R293" s="51">
        <f t="shared" si="43"/>
        <v>2383193.75</v>
      </c>
      <c r="S293" s="51">
        <f t="shared" si="39"/>
        <v>2147021.3963963962</v>
      </c>
    </row>
    <row r="294" spans="1:19" s="63" customFormat="1">
      <c r="A294" s="72" t="s">
        <v>295</v>
      </c>
      <c r="B294" s="63" t="s">
        <v>19</v>
      </c>
      <c r="C294" s="64"/>
      <c r="D294" s="65" t="s">
        <v>292</v>
      </c>
      <c r="E294" s="66">
        <v>1</v>
      </c>
      <c r="F294" s="67">
        <v>50</v>
      </c>
      <c r="G294" s="68" t="s">
        <v>104</v>
      </c>
      <c r="H294" s="67">
        <v>10</v>
      </c>
      <c r="I294" s="68" t="s">
        <v>292</v>
      </c>
      <c r="J294" s="69">
        <v>4100</v>
      </c>
      <c r="K294" s="65" t="s">
        <v>292</v>
      </c>
      <c r="L294" s="70">
        <v>0.125</v>
      </c>
      <c r="M294" s="70">
        <v>0.05</v>
      </c>
      <c r="N294" s="64">
        <v>500</v>
      </c>
      <c r="O294" s="68" t="s">
        <v>292</v>
      </c>
      <c r="P294" s="64">
        <f t="shared" si="42"/>
        <v>0</v>
      </c>
      <c r="Q294" s="68" t="s">
        <v>292</v>
      </c>
      <c r="R294" s="69">
        <f t="shared" si="43"/>
        <v>0</v>
      </c>
      <c r="S294" s="69">
        <f t="shared" si="39"/>
        <v>0</v>
      </c>
    </row>
    <row r="295" spans="1:19" s="45" customFormat="1">
      <c r="A295" s="108" t="s">
        <v>296</v>
      </c>
      <c r="B295" s="45" t="s">
        <v>19</v>
      </c>
      <c r="C295" s="46">
        <v>1500</v>
      </c>
      <c r="D295" s="47" t="s">
        <v>292</v>
      </c>
      <c r="E295" s="48"/>
      <c r="F295" s="49">
        <v>50</v>
      </c>
      <c r="G295" s="50" t="s">
        <v>104</v>
      </c>
      <c r="H295" s="49">
        <v>10</v>
      </c>
      <c r="I295" s="50" t="s">
        <v>292</v>
      </c>
      <c r="J295" s="51">
        <v>4300</v>
      </c>
      <c r="K295" s="47" t="s">
        <v>292</v>
      </c>
      <c r="L295" s="52">
        <v>0.125</v>
      </c>
      <c r="M295" s="52">
        <v>0.05</v>
      </c>
      <c r="N295" s="46"/>
      <c r="O295" s="50" t="s">
        <v>292</v>
      </c>
      <c r="P295" s="46">
        <f t="shared" si="42"/>
        <v>1500</v>
      </c>
      <c r="Q295" s="50" t="s">
        <v>292</v>
      </c>
      <c r="R295" s="51">
        <f t="shared" si="43"/>
        <v>5361562.5</v>
      </c>
      <c r="S295" s="32">
        <f t="shared" si="39"/>
        <v>4830236.4864864862</v>
      </c>
    </row>
    <row r="296" spans="1:19" s="17" customFormat="1">
      <c r="A296" s="109" t="s">
        <v>297</v>
      </c>
      <c r="B296" s="17" t="s">
        <v>19</v>
      </c>
      <c r="C296" s="18"/>
      <c r="D296" s="19" t="s">
        <v>292</v>
      </c>
      <c r="E296" s="20"/>
      <c r="F296" s="21">
        <v>100</v>
      </c>
      <c r="G296" s="22" t="s">
        <v>104</v>
      </c>
      <c r="H296" s="21">
        <v>10</v>
      </c>
      <c r="I296" s="22" t="s">
        <v>292</v>
      </c>
      <c r="J296" s="23">
        <v>3000</v>
      </c>
      <c r="K296" s="19" t="s">
        <v>292</v>
      </c>
      <c r="L296" s="24">
        <v>0.125</v>
      </c>
      <c r="M296" s="24">
        <v>0.05</v>
      </c>
      <c r="N296" s="18"/>
      <c r="O296" s="22" t="s">
        <v>292</v>
      </c>
      <c r="P296" s="18">
        <f t="shared" si="42"/>
        <v>0</v>
      </c>
      <c r="Q296" s="22" t="s">
        <v>292</v>
      </c>
      <c r="R296" s="23">
        <f t="shared" si="43"/>
        <v>0</v>
      </c>
      <c r="S296" s="23">
        <f t="shared" si="39"/>
        <v>0</v>
      </c>
    </row>
    <row r="297" spans="1:19" s="17" customFormat="1">
      <c r="A297" s="109" t="s">
        <v>298</v>
      </c>
      <c r="B297" s="17" t="s">
        <v>19</v>
      </c>
      <c r="C297" s="18"/>
      <c r="D297" s="19" t="s">
        <v>292</v>
      </c>
      <c r="E297" s="20"/>
      <c r="F297" s="21">
        <v>100</v>
      </c>
      <c r="G297" s="22" t="s">
        <v>104</v>
      </c>
      <c r="H297" s="21">
        <v>10</v>
      </c>
      <c r="I297" s="22" t="s">
        <v>292</v>
      </c>
      <c r="J297" s="23">
        <v>3000</v>
      </c>
      <c r="K297" s="19" t="s">
        <v>292</v>
      </c>
      <c r="L297" s="24">
        <v>0.125</v>
      </c>
      <c r="M297" s="24">
        <v>0.05</v>
      </c>
      <c r="N297" s="18"/>
      <c r="O297" s="22" t="s">
        <v>292</v>
      </c>
      <c r="P297" s="18">
        <f t="shared" si="42"/>
        <v>0</v>
      </c>
      <c r="Q297" s="22" t="s">
        <v>292</v>
      </c>
      <c r="R297" s="23">
        <f t="shared" si="43"/>
        <v>0</v>
      </c>
      <c r="S297" s="23">
        <f t="shared" si="39"/>
        <v>0</v>
      </c>
    </row>
    <row r="298" spans="1:19" s="17" customFormat="1">
      <c r="A298" s="109" t="s">
        <v>299</v>
      </c>
      <c r="B298" s="17" t="s">
        <v>19</v>
      </c>
      <c r="C298" s="18"/>
      <c r="D298" s="19" t="s">
        <v>292</v>
      </c>
      <c r="E298" s="20"/>
      <c r="F298" s="21">
        <v>50</v>
      </c>
      <c r="G298" s="22" t="s">
        <v>104</v>
      </c>
      <c r="H298" s="21">
        <v>10</v>
      </c>
      <c r="I298" s="22" t="s">
        <v>292</v>
      </c>
      <c r="J298" s="23">
        <v>4300</v>
      </c>
      <c r="K298" s="19" t="s">
        <v>292</v>
      </c>
      <c r="L298" s="24">
        <v>0.125</v>
      </c>
      <c r="M298" s="24">
        <v>0.05</v>
      </c>
      <c r="N298" s="18"/>
      <c r="O298" s="22" t="s">
        <v>292</v>
      </c>
      <c r="P298" s="18">
        <f t="shared" si="42"/>
        <v>0</v>
      </c>
      <c r="Q298" s="22" t="s">
        <v>292</v>
      </c>
      <c r="R298" s="23">
        <f t="shared" si="43"/>
        <v>0</v>
      </c>
      <c r="S298" s="23">
        <f t="shared" si="39"/>
        <v>0</v>
      </c>
    </row>
    <row r="299" spans="1:19" s="17" customFormat="1">
      <c r="A299" s="109" t="s">
        <v>300</v>
      </c>
      <c r="B299" s="17" t="s">
        <v>19</v>
      </c>
      <c r="C299" s="18"/>
      <c r="D299" s="19" t="s">
        <v>104</v>
      </c>
      <c r="E299" s="20"/>
      <c r="F299" s="21">
        <v>1</v>
      </c>
      <c r="G299" s="22" t="s">
        <v>21</v>
      </c>
      <c r="H299" s="21">
        <v>50</v>
      </c>
      <c r="I299" s="22" t="s">
        <v>104</v>
      </c>
      <c r="J299" s="23">
        <v>15500</v>
      </c>
      <c r="K299" s="19" t="s">
        <v>104</v>
      </c>
      <c r="L299" s="24">
        <v>0.125</v>
      </c>
      <c r="M299" s="24">
        <v>0.05</v>
      </c>
      <c r="N299" s="18"/>
      <c r="O299" s="22" t="s">
        <v>104</v>
      </c>
      <c r="P299" s="18">
        <f t="shared" si="42"/>
        <v>0</v>
      </c>
      <c r="Q299" s="22" t="s">
        <v>104</v>
      </c>
      <c r="R299" s="23">
        <f t="shared" si="43"/>
        <v>0</v>
      </c>
      <c r="S299" s="23">
        <f t="shared" si="39"/>
        <v>0</v>
      </c>
    </row>
    <row r="300" spans="1:19" s="45" customFormat="1">
      <c r="A300" s="44" t="s">
        <v>301</v>
      </c>
      <c r="B300" s="45" t="s">
        <v>26</v>
      </c>
      <c r="C300" s="46">
        <v>100</v>
      </c>
      <c r="D300" s="47" t="s">
        <v>302</v>
      </c>
      <c r="E300" s="48">
        <f>1+2</f>
        <v>3</v>
      </c>
      <c r="F300" s="49">
        <v>1</v>
      </c>
      <c r="G300" s="50" t="s">
        <v>21</v>
      </c>
      <c r="H300" s="49">
        <v>50</v>
      </c>
      <c r="I300" s="50" t="s">
        <v>302</v>
      </c>
      <c r="J300" s="51">
        <f>975000/50</f>
        <v>19500</v>
      </c>
      <c r="K300" s="47" t="s">
        <v>302</v>
      </c>
      <c r="L300" s="52"/>
      <c r="M300" s="52">
        <v>0.17</v>
      </c>
      <c r="N300" s="46"/>
      <c r="O300" s="50" t="s">
        <v>302</v>
      </c>
      <c r="P300" s="46">
        <f t="shared" si="42"/>
        <v>250</v>
      </c>
      <c r="Q300" s="50" t="s">
        <v>302</v>
      </c>
      <c r="R300" s="51">
        <f t="shared" si="43"/>
        <v>4046250</v>
      </c>
      <c r="S300" s="51">
        <f t="shared" si="39"/>
        <v>3645270.2702702698</v>
      </c>
    </row>
    <row r="301" spans="1:19">
      <c r="A301" s="34" t="s">
        <v>303</v>
      </c>
      <c r="B301" s="2" t="s">
        <v>26</v>
      </c>
      <c r="C301" s="3">
        <v>70</v>
      </c>
      <c r="D301" s="4" t="s">
        <v>302</v>
      </c>
      <c r="F301" s="6">
        <v>1</v>
      </c>
      <c r="G301" s="7" t="s">
        <v>21</v>
      </c>
      <c r="H301" s="6">
        <v>50</v>
      </c>
      <c r="I301" s="7" t="s">
        <v>302</v>
      </c>
      <c r="J301" s="8">
        <f>1275000/50</f>
        <v>25500</v>
      </c>
      <c r="K301" s="4" t="s">
        <v>302</v>
      </c>
      <c r="M301" s="9">
        <v>0.17</v>
      </c>
      <c r="O301" s="7" t="s">
        <v>302</v>
      </c>
      <c r="P301" s="3">
        <f t="shared" si="42"/>
        <v>70</v>
      </c>
      <c r="Q301" s="7" t="s">
        <v>302</v>
      </c>
      <c r="R301" s="8">
        <f t="shared" si="43"/>
        <v>1481550</v>
      </c>
      <c r="S301" s="32">
        <f t="shared" si="39"/>
        <v>1334729.7297297297</v>
      </c>
    </row>
    <row r="302" spans="1:19">
      <c r="A302" s="15" t="s">
        <v>304</v>
      </c>
      <c r="S302" s="23"/>
    </row>
    <row r="303" spans="1:19" s="45" customFormat="1">
      <c r="A303" s="44" t="s">
        <v>305</v>
      </c>
      <c r="B303" s="45" t="s">
        <v>19</v>
      </c>
      <c r="C303" s="46">
        <v>8</v>
      </c>
      <c r="D303" s="47" t="s">
        <v>20</v>
      </c>
      <c r="E303" s="48">
        <f>2+1</f>
        <v>3</v>
      </c>
      <c r="F303" s="49">
        <v>1</v>
      </c>
      <c r="G303" s="50" t="s">
        <v>21</v>
      </c>
      <c r="H303" s="49">
        <v>20</v>
      </c>
      <c r="I303" s="50" t="s">
        <v>20</v>
      </c>
      <c r="J303" s="51">
        <v>40500</v>
      </c>
      <c r="K303" s="47" t="s">
        <v>20</v>
      </c>
      <c r="L303" s="52">
        <v>0.125</v>
      </c>
      <c r="M303" s="52">
        <v>0.05</v>
      </c>
      <c r="N303" s="46">
        <f>20+40+6</f>
        <v>66</v>
      </c>
      <c r="O303" s="50" t="s">
        <v>20</v>
      </c>
      <c r="P303" s="46">
        <f t="shared" ref="P303:P306" si="44">(C303+(E303*F303*H303))-N303</f>
        <v>2</v>
      </c>
      <c r="Q303" s="50" t="s">
        <v>20</v>
      </c>
      <c r="R303" s="51">
        <f t="shared" ref="R303:R306" si="45">P303*(J303-(J303*L303)-((J303-(J303*L303))*M303))</f>
        <v>67331.25</v>
      </c>
      <c r="S303" s="51">
        <f t="shared" si="39"/>
        <v>60658.78378378378</v>
      </c>
    </row>
    <row r="304" spans="1:19" s="45" customFormat="1">
      <c r="A304" s="44" t="s">
        <v>306</v>
      </c>
      <c r="B304" s="45" t="s">
        <v>26</v>
      </c>
      <c r="C304" s="46">
        <v>51</v>
      </c>
      <c r="D304" s="47" t="s">
        <v>20</v>
      </c>
      <c r="E304" s="48">
        <f>1+1+1</f>
        <v>3</v>
      </c>
      <c r="F304" s="49">
        <v>1</v>
      </c>
      <c r="G304" s="50" t="s">
        <v>21</v>
      </c>
      <c r="H304" s="49">
        <v>50</v>
      </c>
      <c r="I304" s="50" t="s">
        <v>20</v>
      </c>
      <c r="J304" s="51">
        <f>2250000/50</f>
        <v>45000</v>
      </c>
      <c r="K304" s="47" t="s">
        <v>20</v>
      </c>
      <c r="L304" s="52"/>
      <c r="M304" s="52">
        <v>0.17</v>
      </c>
      <c r="N304" s="46">
        <f>15+30+12+47+6</f>
        <v>110</v>
      </c>
      <c r="O304" s="50" t="s">
        <v>20</v>
      </c>
      <c r="P304" s="46">
        <f t="shared" si="44"/>
        <v>91</v>
      </c>
      <c r="Q304" s="50" t="s">
        <v>20</v>
      </c>
      <c r="R304" s="51">
        <f t="shared" si="45"/>
        <v>3398850</v>
      </c>
      <c r="S304" s="51">
        <f t="shared" si="39"/>
        <v>3062027.0270270268</v>
      </c>
    </row>
    <row r="305" spans="1:19" s="85" customFormat="1">
      <c r="A305" s="84" t="s">
        <v>307</v>
      </c>
      <c r="B305" s="85" t="s">
        <v>26</v>
      </c>
      <c r="C305" s="86">
        <v>33</v>
      </c>
      <c r="D305" s="87" t="s">
        <v>20</v>
      </c>
      <c r="E305" s="92"/>
      <c r="F305" s="88">
        <v>1</v>
      </c>
      <c r="G305" s="89" t="s">
        <v>21</v>
      </c>
      <c r="H305" s="88">
        <v>50</v>
      </c>
      <c r="I305" s="89" t="s">
        <v>20</v>
      </c>
      <c r="J305" s="90">
        <f>2750000/50</f>
        <v>55000</v>
      </c>
      <c r="K305" s="87" t="s">
        <v>20</v>
      </c>
      <c r="L305" s="91"/>
      <c r="M305" s="91">
        <v>0.17</v>
      </c>
      <c r="N305" s="86"/>
      <c r="O305" s="89" t="s">
        <v>20</v>
      </c>
      <c r="P305" s="86">
        <f t="shared" si="44"/>
        <v>33</v>
      </c>
      <c r="Q305" s="89" t="s">
        <v>20</v>
      </c>
      <c r="R305" s="90">
        <f t="shared" si="45"/>
        <v>1506450</v>
      </c>
      <c r="S305" s="32">
        <f t="shared" si="39"/>
        <v>1357162.1621621621</v>
      </c>
    </row>
    <row r="306" spans="1:19" s="17" customFormat="1">
      <c r="A306" s="93" t="s">
        <v>308</v>
      </c>
      <c r="B306" s="17" t="s">
        <v>26</v>
      </c>
      <c r="C306" s="18"/>
      <c r="D306" s="19" t="s">
        <v>20</v>
      </c>
      <c r="E306" s="20"/>
      <c r="F306" s="21">
        <v>1</v>
      </c>
      <c r="G306" s="22" t="s">
        <v>21</v>
      </c>
      <c r="H306" s="21">
        <v>50</v>
      </c>
      <c r="I306" s="22" t="s">
        <v>20</v>
      </c>
      <c r="J306" s="23">
        <f>4750000/50</f>
        <v>95000</v>
      </c>
      <c r="K306" s="19" t="s">
        <v>20</v>
      </c>
      <c r="L306" s="24"/>
      <c r="M306" s="24">
        <v>0.17</v>
      </c>
      <c r="N306" s="18"/>
      <c r="O306" s="22" t="s">
        <v>20</v>
      </c>
      <c r="P306" s="18">
        <f t="shared" si="44"/>
        <v>0</v>
      </c>
      <c r="Q306" s="22" t="s">
        <v>20</v>
      </c>
      <c r="R306" s="23">
        <f t="shared" si="45"/>
        <v>0</v>
      </c>
      <c r="S306" s="23">
        <f t="shared" si="39"/>
        <v>0</v>
      </c>
    </row>
    <row r="307" spans="1:19">
      <c r="S307" s="23"/>
    </row>
    <row r="308" spans="1:19" ht="15.75">
      <c r="A308" s="14" t="s">
        <v>309</v>
      </c>
      <c r="S308" s="23"/>
    </row>
    <row r="309" spans="1:19" s="17" customFormat="1">
      <c r="A309" s="16" t="s">
        <v>310</v>
      </c>
      <c r="B309" s="17" t="s">
        <v>19</v>
      </c>
      <c r="C309" s="18"/>
      <c r="D309" s="19" t="s">
        <v>104</v>
      </c>
      <c r="E309" s="20"/>
      <c r="F309" s="21">
        <v>1</v>
      </c>
      <c r="G309" s="22" t="s">
        <v>21</v>
      </c>
      <c r="H309" s="21">
        <v>10</v>
      </c>
      <c r="I309" s="22" t="s">
        <v>104</v>
      </c>
      <c r="J309" s="23">
        <v>102000</v>
      </c>
      <c r="K309" s="19" t="s">
        <v>104</v>
      </c>
      <c r="L309" s="24">
        <v>0.125</v>
      </c>
      <c r="M309" s="24">
        <v>0.05</v>
      </c>
      <c r="N309" s="18"/>
      <c r="O309" s="22" t="s">
        <v>104</v>
      </c>
      <c r="P309" s="18">
        <f>(C309+(E309*F309*H309))-N309</f>
        <v>0</v>
      </c>
      <c r="Q309" s="22" t="s">
        <v>104</v>
      </c>
      <c r="R309" s="23">
        <f>P309*(J309-(J309*L309)-((J309-(J309*L309))*M309))</f>
        <v>0</v>
      </c>
      <c r="S309" s="23">
        <f t="shared" si="39"/>
        <v>0</v>
      </c>
    </row>
    <row r="310" spans="1:19" s="17" customFormat="1">
      <c r="A310" s="16" t="s">
        <v>311</v>
      </c>
      <c r="B310" s="17" t="s">
        <v>26</v>
      </c>
      <c r="C310" s="18"/>
      <c r="D310" s="19" t="s">
        <v>104</v>
      </c>
      <c r="E310" s="20"/>
      <c r="F310" s="21">
        <v>1</v>
      </c>
      <c r="G310" s="22" t="s">
        <v>21</v>
      </c>
      <c r="H310" s="21">
        <v>10</v>
      </c>
      <c r="I310" s="22" t="s">
        <v>104</v>
      </c>
      <c r="J310" s="23">
        <f>1150000/10</f>
        <v>115000</v>
      </c>
      <c r="K310" s="19" t="s">
        <v>104</v>
      </c>
      <c r="L310" s="24"/>
      <c r="M310" s="24">
        <v>0.17</v>
      </c>
      <c r="N310" s="18"/>
      <c r="O310" s="22" t="s">
        <v>104</v>
      </c>
      <c r="P310" s="18">
        <f>(C310+(E310*F310*H310))-N310</f>
        <v>0</v>
      </c>
      <c r="Q310" s="22" t="s">
        <v>104</v>
      </c>
      <c r="R310" s="23">
        <f>P310*(J310-(J310*L310)-((J310-(J310*L310))*M310))</f>
        <v>0</v>
      </c>
      <c r="S310" s="23">
        <f t="shared" si="39"/>
        <v>0</v>
      </c>
    </row>
    <row r="311" spans="1:19">
      <c r="S311" s="23"/>
    </row>
    <row r="312" spans="1:19" ht="15.75">
      <c r="A312" s="14" t="s">
        <v>312</v>
      </c>
      <c r="S312" s="23"/>
    </row>
    <row r="313" spans="1:19">
      <c r="A313" s="15" t="s">
        <v>313</v>
      </c>
      <c r="S313" s="23"/>
    </row>
    <row r="314" spans="1:19" s="17" customFormat="1">
      <c r="A314" s="16" t="s">
        <v>314</v>
      </c>
      <c r="B314" s="17" t="s">
        <v>19</v>
      </c>
      <c r="C314" s="18"/>
      <c r="D314" s="19" t="s">
        <v>43</v>
      </c>
      <c r="E314" s="20"/>
      <c r="F314" s="21">
        <v>48</v>
      </c>
      <c r="G314" s="22" t="s">
        <v>34</v>
      </c>
      <c r="H314" s="21">
        <v>1</v>
      </c>
      <c r="I314" s="22" t="s">
        <v>43</v>
      </c>
      <c r="J314" s="23">
        <f>1625*12</f>
        <v>19500</v>
      </c>
      <c r="K314" s="19" t="s">
        <v>43</v>
      </c>
      <c r="L314" s="24">
        <v>0.125</v>
      </c>
      <c r="M314" s="24">
        <v>0.05</v>
      </c>
      <c r="N314" s="18"/>
      <c r="O314" s="22" t="s">
        <v>43</v>
      </c>
      <c r="P314" s="18">
        <f t="shared" ref="P314:P320" si="46">(C314+(E314*F314*H314))-N314</f>
        <v>0</v>
      </c>
      <c r="Q314" s="22" t="s">
        <v>43</v>
      </c>
      <c r="R314" s="23">
        <f t="shared" ref="R314:R320" si="47">P314*(J314-(J314*L314)-((J314-(J314*L314))*M314))</f>
        <v>0</v>
      </c>
      <c r="S314" s="23">
        <f t="shared" si="39"/>
        <v>0</v>
      </c>
    </row>
    <row r="315" spans="1:19" s="17" customFormat="1">
      <c r="A315" s="71" t="s">
        <v>315</v>
      </c>
      <c r="B315" s="17" t="s">
        <v>19</v>
      </c>
      <c r="C315" s="18"/>
      <c r="D315" s="19" t="s">
        <v>43</v>
      </c>
      <c r="E315" s="20"/>
      <c r="F315" s="21">
        <v>48</v>
      </c>
      <c r="G315" s="22" t="s">
        <v>34</v>
      </c>
      <c r="H315" s="21">
        <v>1</v>
      </c>
      <c r="I315" s="22" t="s">
        <v>43</v>
      </c>
      <c r="J315" s="23">
        <f>1550*12</f>
        <v>18600</v>
      </c>
      <c r="K315" s="19" t="s">
        <v>43</v>
      </c>
      <c r="L315" s="24">
        <v>0.125</v>
      </c>
      <c r="M315" s="24">
        <v>0.05</v>
      </c>
      <c r="N315" s="18"/>
      <c r="O315" s="22" t="s">
        <v>43</v>
      </c>
      <c r="P315" s="18">
        <f t="shared" si="46"/>
        <v>0</v>
      </c>
      <c r="Q315" s="22" t="s">
        <v>43</v>
      </c>
      <c r="R315" s="23">
        <f t="shared" si="47"/>
        <v>0</v>
      </c>
      <c r="S315" s="23">
        <f t="shared" si="39"/>
        <v>0</v>
      </c>
    </row>
    <row r="316" spans="1:19" s="26" customFormat="1">
      <c r="A316" s="110" t="s">
        <v>316</v>
      </c>
      <c r="B316" s="26" t="s">
        <v>19</v>
      </c>
      <c r="C316" s="27"/>
      <c r="D316" s="28" t="s">
        <v>43</v>
      </c>
      <c r="E316" s="29">
        <f>2+2</f>
        <v>4</v>
      </c>
      <c r="F316" s="30">
        <v>24</v>
      </c>
      <c r="G316" s="31" t="s">
        <v>34</v>
      </c>
      <c r="H316" s="30">
        <v>1</v>
      </c>
      <c r="I316" s="31" t="s">
        <v>43</v>
      </c>
      <c r="J316" s="32">
        <f>2150*12</f>
        <v>25800</v>
      </c>
      <c r="K316" s="28" t="s">
        <v>43</v>
      </c>
      <c r="L316" s="33">
        <v>0.125</v>
      </c>
      <c r="M316" s="33">
        <v>0.05</v>
      </c>
      <c r="N316" s="27">
        <f>(576/12)</f>
        <v>48</v>
      </c>
      <c r="O316" s="31" t="s">
        <v>43</v>
      </c>
      <c r="P316" s="27">
        <f t="shared" si="46"/>
        <v>48</v>
      </c>
      <c r="Q316" s="31" t="s">
        <v>43</v>
      </c>
      <c r="R316" s="32">
        <f t="shared" si="47"/>
        <v>1029420</v>
      </c>
      <c r="S316" s="32">
        <f t="shared" si="39"/>
        <v>927405.40540540533</v>
      </c>
    </row>
    <row r="317" spans="1:19" s="17" customFormat="1">
      <c r="A317" s="16" t="s">
        <v>317</v>
      </c>
      <c r="B317" s="17" t="s">
        <v>19</v>
      </c>
      <c r="C317" s="18"/>
      <c r="D317" s="19" t="s">
        <v>43</v>
      </c>
      <c r="E317" s="20"/>
      <c r="F317" s="21">
        <v>24</v>
      </c>
      <c r="G317" s="22" t="s">
        <v>34</v>
      </c>
      <c r="H317" s="21">
        <v>1</v>
      </c>
      <c r="I317" s="22" t="s">
        <v>43</v>
      </c>
      <c r="J317" s="23">
        <f>3000*12</f>
        <v>36000</v>
      </c>
      <c r="K317" s="19" t="s">
        <v>43</v>
      </c>
      <c r="L317" s="24">
        <v>0.125</v>
      </c>
      <c r="M317" s="24">
        <v>0.05</v>
      </c>
      <c r="N317" s="18"/>
      <c r="O317" s="22" t="s">
        <v>43</v>
      </c>
      <c r="P317" s="18">
        <f t="shared" si="46"/>
        <v>0</v>
      </c>
      <c r="Q317" s="22" t="s">
        <v>43</v>
      </c>
      <c r="R317" s="23">
        <f t="shared" si="47"/>
        <v>0</v>
      </c>
      <c r="S317" s="23">
        <f t="shared" si="39"/>
        <v>0</v>
      </c>
    </row>
    <row r="318" spans="1:19" s="45" customFormat="1">
      <c r="A318" s="44" t="s">
        <v>318</v>
      </c>
      <c r="B318" s="45" t="s">
        <v>26</v>
      </c>
      <c r="C318" s="46"/>
      <c r="D318" s="47" t="s">
        <v>43</v>
      </c>
      <c r="E318" s="48">
        <v>4</v>
      </c>
      <c r="F318" s="49">
        <v>1</v>
      </c>
      <c r="G318" s="50" t="s">
        <v>21</v>
      </c>
      <c r="H318" s="49">
        <v>20</v>
      </c>
      <c r="I318" s="50" t="s">
        <v>43</v>
      </c>
      <c r="J318" s="51">
        <f>396000/20</f>
        <v>19800</v>
      </c>
      <c r="K318" s="47" t="s">
        <v>43</v>
      </c>
      <c r="L318" s="52"/>
      <c r="M318" s="52">
        <v>0.17</v>
      </c>
      <c r="N318" s="46">
        <f>20+20</f>
        <v>40</v>
      </c>
      <c r="O318" s="50" t="s">
        <v>43</v>
      </c>
      <c r="P318" s="46">
        <f t="shared" si="46"/>
        <v>40</v>
      </c>
      <c r="Q318" s="50" t="s">
        <v>43</v>
      </c>
      <c r="R318" s="51">
        <f t="shared" si="47"/>
        <v>657360</v>
      </c>
      <c r="S318" s="32">
        <f t="shared" si="39"/>
        <v>592216.21621621621</v>
      </c>
    </row>
    <row r="319" spans="1:19" s="45" customFormat="1">
      <c r="A319" s="44" t="s">
        <v>319</v>
      </c>
      <c r="B319" s="45" t="s">
        <v>26</v>
      </c>
      <c r="C319" s="46">
        <v>48</v>
      </c>
      <c r="D319" s="47" t="s">
        <v>43</v>
      </c>
      <c r="E319" s="48"/>
      <c r="F319" s="49">
        <v>1</v>
      </c>
      <c r="G319" s="50" t="s">
        <v>21</v>
      </c>
      <c r="H319" s="49">
        <v>20</v>
      </c>
      <c r="I319" s="50" t="s">
        <v>43</v>
      </c>
      <c r="J319" s="51">
        <f>504000/20</f>
        <v>25200</v>
      </c>
      <c r="K319" s="47" t="s">
        <v>43</v>
      </c>
      <c r="L319" s="52"/>
      <c r="M319" s="52">
        <v>0.17</v>
      </c>
      <c r="N319" s="46">
        <f>20+4+3</f>
        <v>27</v>
      </c>
      <c r="O319" s="50" t="s">
        <v>43</v>
      </c>
      <c r="P319" s="46">
        <f t="shared" si="46"/>
        <v>21</v>
      </c>
      <c r="Q319" s="50" t="s">
        <v>43</v>
      </c>
      <c r="R319" s="51">
        <f t="shared" si="47"/>
        <v>439236</v>
      </c>
      <c r="S319" s="32">
        <f t="shared" si="39"/>
        <v>395708.10810810805</v>
      </c>
    </row>
    <row r="320" spans="1:19" s="63" customFormat="1">
      <c r="A320" s="72" t="s">
        <v>320</v>
      </c>
      <c r="B320" s="63" t="s">
        <v>26</v>
      </c>
      <c r="C320" s="64"/>
      <c r="D320" s="65" t="s">
        <v>43</v>
      </c>
      <c r="E320" s="66"/>
      <c r="F320" s="67">
        <v>1</v>
      </c>
      <c r="G320" s="68" t="s">
        <v>21</v>
      </c>
      <c r="H320" s="67">
        <v>20</v>
      </c>
      <c r="I320" s="68" t="s">
        <v>43</v>
      </c>
      <c r="J320" s="69">
        <f>480000/20</f>
        <v>24000</v>
      </c>
      <c r="K320" s="65" t="s">
        <v>43</v>
      </c>
      <c r="L320" s="70"/>
      <c r="M320" s="70">
        <v>0.17</v>
      </c>
      <c r="N320" s="64"/>
      <c r="O320" s="68" t="s">
        <v>43</v>
      </c>
      <c r="P320" s="64">
        <f t="shared" si="46"/>
        <v>0</v>
      </c>
      <c r="Q320" s="68" t="s">
        <v>43</v>
      </c>
      <c r="R320" s="69">
        <f t="shared" si="47"/>
        <v>0</v>
      </c>
      <c r="S320" s="23">
        <f t="shared" si="39"/>
        <v>0</v>
      </c>
    </row>
    <row r="321" spans="1:19">
      <c r="A321" s="15" t="s">
        <v>321</v>
      </c>
      <c r="S321" s="23">
        <f t="shared" si="39"/>
        <v>0</v>
      </c>
    </row>
    <row r="322" spans="1:19" s="17" customFormat="1">
      <c r="A322" s="16" t="s">
        <v>322</v>
      </c>
      <c r="B322" s="17" t="s">
        <v>19</v>
      </c>
      <c r="C322" s="18"/>
      <c r="D322" s="19" t="s">
        <v>34</v>
      </c>
      <c r="E322" s="20">
        <v>1</v>
      </c>
      <c r="F322" s="21">
        <v>1</v>
      </c>
      <c r="G322" s="22" t="s">
        <v>21</v>
      </c>
      <c r="H322" s="21">
        <v>64</v>
      </c>
      <c r="I322" s="22" t="s">
        <v>34</v>
      </c>
      <c r="J322" s="23">
        <f>2200*12</f>
        <v>26400</v>
      </c>
      <c r="K322" s="19" t="s">
        <v>34</v>
      </c>
      <c r="L322" s="24">
        <v>0.125</v>
      </c>
      <c r="M322" s="24">
        <v>0.05</v>
      </c>
      <c r="N322" s="18">
        <v>64</v>
      </c>
      <c r="O322" s="22" t="s">
        <v>34</v>
      </c>
      <c r="P322" s="18">
        <f t="shared" ref="P322:P330" si="48">(C322+(E322*F322*H322))-N322</f>
        <v>0</v>
      </c>
      <c r="Q322" s="22" t="s">
        <v>34</v>
      </c>
      <c r="R322" s="23">
        <f t="shared" ref="R322:R330" si="49">P322*(J322-(J322*L322)-((J322-(J322*L322))*M322))</f>
        <v>0</v>
      </c>
      <c r="S322" s="23">
        <f t="shared" si="39"/>
        <v>0</v>
      </c>
    </row>
    <row r="323" spans="1:19" s="26" customFormat="1">
      <c r="A323" s="25" t="s">
        <v>323</v>
      </c>
      <c r="B323" s="26" t="s">
        <v>19</v>
      </c>
      <c r="C323" s="27">
        <v>44</v>
      </c>
      <c r="D323" s="28" t="s">
        <v>34</v>
      </c>
      <c r="E323" s="29"/>
      <c r="F323" s="30">
        <v>1</v>
      </c>
      <c r="G323" s="31" t="s">
        <v>21</v>
      </c>
      <c r="H323" s="30">
        <v>54</v>
      </c>
      <c r="I323" s="31" t="s">
        <v>34</v>
      </c>
      <c r="J323" s="32">
        <f>3400*12</f>
        <v>40800</v>
      </c>
      <c r="K323" s="28" t="s">
        <v>34</v>
      </c>
      <c r="L323" s="33">
        <v>0.125</v>
      </c>
      <c r="M323" s="33">
        <v>0.05</v>
      </c>
      <c r="N323" s="27"/>
      <c r="O323" s="31" t="s">
        <v>34</v>
      </c>
      <c r="P323" s="27">
        <f t="shared" si="48"/>
        <v>44</v>
      </c>
      <c r="Q323" s="31" t="s">
        <v>34</v>
      </c>
      <c r="R323" s="32">
        <f t="shared" si="49"/>
        <v>1492260</v>
      </c>
      <c r="S323" s="32">
        <f t="shared" si="39"/>
        <v>1344378.3783783782</v>
      </c>
    </row>
    <row r="324" spans="1:19" s="63" customFormat="1">
      <c r="A324" s="72" t="s">
        <v>324</v>
      </c>
      <c r="B324" s="63" t="s">
        <v>19</v>
      </c>
      <c r="C324" s="64"/>
      <c r="D324" s="65" t="s">
        <v>34</v>
      </c>
      <c r="E324" s="66"/>
      <c r="F324" s="67">
        <v>1</v>
      </c>
      <c r="G324" s="68" t="s">
        <v>21</v>
      </c>
      <c r="H324" s="67">
        <v>36</v>
      </c>
      <c r="I324" s="68" t="s">
        <v>34</v>
      </c>
      <c r="J324" s="69">
        <f>2200*24</f>
        <v>52800</v>
      </c>
      <c r="K324" s="65" t="s">
        <v>34</v>
      </c>
      <c r="L324" s="70">
        <v>0.125</v>
      </c>
      <c r="M324" s="70">
        <v>0.05</v>
      </c>
      <c r="N324" s="64"/>
      <c r="O324" s="68" t="s">
        <v>34</v>
      </c>
      <c r="P324" s="64">
        <f t="shared" si="48"/>
        <v>0</v>
      </c>
      <c r="Q324" s="68" t="s">
        <v>34</v>
      </c>
      <c r="R324" s="69">
        <f t="shared" si="49"/>
        <v>0</v>
      </c>
      <c r="S324" s="23">
        <f t="shared" si="39"/>
        <v>0</v>
      </c>
    </row>
    <row r="325" spans="1:19" s="17" customFormat="1">
      <c r="A325" s="16" t="s">
        <v>325</v>
      </c>
      <c r="B325" s="17" t="s">
        <v>19</v>
      </c>
      <c r="C325" s="18"/>
      <c r="D325" s="19" t="s">
        <v>34</v>
      </c>
      <c r="E325" s="20"/>
      <c r="F325" s="21">
        <v>1</v>
      </c>
      <c r="G325" s="22" t="s">
        <v>21</v>
      </c>
      <c r="H325" s="21">
        <v>32</v>
      </c>
      <c r="I325" s="22" t="s">
        <v>34</v>
      </c>
      <c r="J325" s="23">
        <f>1300*12</f>
        <v>15600</v>
      </c>
      <c r="K325" s="19" t="s">
        <v>34</v>
      </c>
      <c r="L325" s="24">
        <v>0.125</v>
      </c>
      <c r="M325" s="24">
        <v>0.05</v>
      </c>
      <c r="N325" s="18"/>
      <c r="O325" s="22" t="s">
        <v>34</v>
      </c>
      <c r="P325" s="18">
        <f t="shared" si="48"/>
        <v>0</v>
      </c>
      <c r="Q325" s="22" t="s">
        <v>34</v>
      </c>
      <c r="R325" s="23">
        <f t="shared" si="49"/>
        <v>0</v>
      </c>
      <c r="S325" s="23">
        <f t="shared" si="39"/>
        <v>0</v>
      </c>
    </row>
    <row r="326" spans="1:19" s="63" customFormat="1">
      <c r="A326" s="111" t="s">
        <v>326</v>
      </c>
      <c r="B326" s="63" t="s">
        <v>19</v>
      </c>
      <c r="C326" s="64"/>
      <c r="D326" s="65" t="s">
        <v>34</v>
      </c>
      <c r="E326" s="66"/>
      <c r="F326" s="67">
        <v>1</v>
      </c>
      <c r="G326" s="68" t="s">
        <v>21</v>
      </c>
      <c r="H326" s="67">
        <v>36</v>
      </c>
      <c r="I326" s="68" t="s">
        <v>34</v>
      </c>
      <c r="J326" s="69">
        <f>2300*24</f>
        <v>55200</v>
      </c>
      <c r="K326" s="65" t="s">
        <v>34</v>
      </c>
      <c r="L326" s="70">
        <v>0.125</v>
      </c>
      <c r="M326" s="70">
        <v>0.05</v>
      </c>
      <c r="N326" s="64"/>
      <c r="O326" s="68" t="s">
        <v>34</v>
      </c>
      <c r="P326" s="64">
        <f>(C326+(E326*F326*H326))-N326</f>
        <v>0</v>
      </c>
      <c r="Q326" s="68" t="s">
        <v>34</v>
      </c>
      <c r="R326" s="69">
        <f t="shared" si="49"/>
        <v>0</v>
      </c>
      <c r="S326" s="23">
        <f t="shared" si="39"/>
        <v>0</v>
      </c>
    </row>
    <row r="327" spans="1:19" s="63" customFormat="1">
      <c r="A327" s="111" t="s">
        <v>327</v>
      </c>
      <c r="B327" s="63" t="s">
        <v>19</v>
      </c>
      <c r="C327" s="64"/>
      <c r="D327" s="65" t="s">
        <v>34</v>
      </c>
      <c r="E327" s="66">
        <v>10</v>
      </c>
      <c r="F327" s="67">
        <v>1</v>
      </c>
      <c r="G327" s="68" t="s">
        <v>21</v>
      </c>
      <c r="H327" s="67">
        <v>36</v>
      </c>
      <c r="I327" s="68" t="s">
        <v>34</v>
      </c>
      <c r="J327" s="69">
        <f>2450*24</f>
        <v>58800</v>
      </c>
      <c r="K327" s="65" t="s">
        <v>34</v>
      </c>
      <c r="L327" s="70">
        <v>0.125</v>
      </c>
      <c r="M327" s="70">
        <v>0.05</v>
      </c>
      <c r="N327" s="64">
        <v>360</v>
      </c>
      <c r="O327" s="68" t="s">
        <v>34</v>
      </c>
      <c r="P327" s="64">
        <f>(C327+(E327*F327*H327))-N327</f>
        <v>0</v>
      </c>
      <c r="Q327" s="68" t="s">
        <v>34</v>
      </c>
      <c r="R327" s="69">
        <f t="shared" si="49"/>
        <v>0</v>
      </c>
      <c r="S327" s="23">
        <f t="shared" si="39"/>
        <v>0</v>
      </c>
    </row>
    <row r="328" spans="1:19" s="45" customFormat="1">
      <c r="A328" s="44" t="s">
        <v>328</v>
      </c>
      <c r="B328" s="45" t="s">
        <v>26</v>
      </c>
      <c r="C328" s="46">
        <v>136</v>
      </c>
      <c r="D328" s="47" t="s">
        <v>34</v>
      </c>
      <c r="E328" s="48">
        <v>1</v>
      </c>
      <c r="F328" s="49">
        <v>1</v>
      </c>
      <c r="G328" s="50" t="s">
        <v>21</v>
      </c>
      <c r="H328" s="49">
        <v>36</v>
      </c>
      <c r="I328" s="50" t="s">
        <v>34</v>
      </c>
      <c r="J328" s="51">
        <f>2376000/36</f>
        <v>66000</v>
      </c>
      <c r="K328" s="47" t="s">
        <v>34</v>
      </c>
      <c r="L328" s="52"/>
      <c r="M328" s="52">
        <v>0.17</v>
      </c>
      <c r="N328" s="46">
        <f>36+3+3+36</f>
        <v>78</v>
      </c>
      <c r="O328" s="50" t="s">
        <v>34</v>
      </c>
      <c r="P328" s="46">
        <f t="shared" si="48"/>
        <v>94</v>
      </c>
      <c r="Q328" s="50" t="s">
        <v>34</v>
      </c>
      <c r="R328" s="51">
        <f t="shared" si="49"/>
        <v>5149320</v>
      </c>
      <c r="S328" s="51">
        <f t="shared" si="39"/>
        <v>4639027.0270270268</v>
      </c>
    </row>
    <row r="329" spans="1:19">
      <c r="A329" s="34" t="s">
        <v>329</v>
      </c>
      <c r="B329" s="2" t="s">
        <v>26</v>
      </c>
      <c r="C329" s="3">
        <v>228</v>
      </c>
      <c r="D329" s="4" t="s">
        <v>34</v>
      </c>
      <c r="F329" s="6">
        <v>1</v>
      </c>
      <c r="G329" s="7" t="s">
        <v>21</v>
      </c>
      <c r="H329" s="6">
        <v>36</v>
      </c>
      <c r="I329" s="7" t="s">
        <v>34</v>
      </c>
      <c r="J329" s="8">
        <f>2592000/36</f>
        <v>72000</v>
      </c>
      <c r="K329" s="4" t="s">
        <v>34</v>
      </c>
      <c r="M329" s="9">
        <v>0.17</v>
      </c>
      <c r="N329" s="3">
        <f>3+2+36+36</f>
        <v>77</v>
      </c>
      <c r="O329" s="7" t="s">
        <v>34</v>
      </c>
      <c r="P329" s="3">
        <f t="shared" si="48"/>
        <v>151</v>
      </c>
      <c r="Q329" s="7" t="s">
        <v>34</v>
      </c>
      <c r="R329" s="8">
        <f t="shared" si="49"/>
        <v>9023760</v>
      </c>
      <c r="S329" s="32">
        <f t="shared" si="39"/>
        <v>8129513.5135135129</v>
      </c>
    </row>
    <row r="330" spans="1:19" s="63" customFormat="1">
      <c r="A330" s="72" t="s">
        <v>330</v>
      </c>
      <c r="B330" s="63" t="s">
        <v>26</v>
      </c>
      <c r="C330" s="64"/>
      <c r="D330" s="65" t="s">
        <v>34</v>
      </c>
      <c r="E330" s="66">
        <v>1</v>
      </c>
      <c r="F330" s="67">
        <v>1</v>
      </c>
      <c r="G330" s="68" t="s">
        <v>21</v>
      </c>
      <c r="H330" s="67">
        <v>36</v>
      </c>
      <c r="I330" s="68" t="s">
        <v>34</v>
      </c>
      <c r="J330" s="69">
        <f>2160000/36</f>
        <v>60000</v>
      </c>
      <c r="K330" s="65" t="s">
        <v>34</v>
      </c>
      <c r="L330" s="70"/>
      <c r="M330" s="70">
        <v>0.17</v>
      </c>
      <c r="N330" s="64">
        <v>36</v>
      </c>
      <c r="O330" s="68" t="s">
        <v>34</v>
      </c>
      <c r="P330" s="64">
        <f t="shared" si="48"/>
        <v>0</v>
      </c>
      <c r="Q330" s="68" t="s">
        <v>34</v>
      </c>
      <c r="R330" s="69">
        <f t="shared" si="49"/>
        <v>0</v>
      </c>
      <c r="S330" s="23">
        <f t="shared" si="39"/>
        <v>0</v>
      </c>
    </row>
    <row r="331" spans="1:19">
      <c r="A331" s="15" t="s">
        <v>331</v>
      </c>
      <c r="S331" s="23"/>
    </row>
    <row r="332" spans="1:19" s="63" customFormat="1">
      <c r="A332" s="72" t="s">
        <v>332</v>
      </c>
      <c r="B332" s="63" t="s">
        <v>26</v>
      </c>
      <c r="C332" s="64"/>
      <c r="D332" s="65" t="s">
        <v>108</v>
      </c>
      <c r="E332" s="66"/>
      <c r="F332" s="67">
        <v>1</v>
      </c>
      <c r="G332" s="68" t="s">
        <v>21</v>
      </c>
      <c r="H332" s="67">
        <v>60</v>
      </c>
      <c r="I332" s="68" t="s">
        <v>108</v>
      </c>
      <c r="J332" s="69">
        <v>18600</v>
      </c>
      <c r="K332" s="65" t="s">
        <v>108</v>
      </c>
      <c r="L332" s="70"/>
      <c r="M332" s="70">
        <v>0.17</v>
      </c>
      <c r="N332" s="64"/>
      <c r="O332" s="68" t="s">
        <v>108</v>
      </c>
      <c r="P332" s="64">
        <f>(C332+(E332*F332*H332))-N332</f>
        <v>0</v>
      </c>
      <c r="Q332" s="68" t="s">
        <v>108</v>
      </c>
      <c r="R332" s="69">
        <f>P332*(J332-(J332*L332)-((J332-(J332*L332))*M332))</f>
        <v>0</v>
      </c>
      <c r="S332" s="23">
        <f t="shared" si="39"/>
        <v>0</v>
      </c>
    </row>
    <row r="333" spans="1:19">
      <c r="A333" s="15" t="s">
        <v>333</v>
      </c>
      <c r="S333" s="23"/>
    </row>
    <row r="334" spans="1:19" s="45" customFormat="1">
      <c r="A334" s="44" t="s">
        <v>334</v>
      </c>
      <c r="B334" s="45" t="s">
        <v>335</v>
      </c>
      <c r="C334" s="46">
        <v>799</v>
      </c>
      <c r="D334" s="47" t="s">
        <v>336</v>
      </c>
      <c r="E334" s="48"/>
      <c r="F334" s="49">
        <v>1</v>
      </c>
      <c r="G334" s="50" t="s">
        <v>21</v>
      </c>
      <c r="H334" s="49">
        <v>25</v>
      </c>
      <c r="I334" s="50" t="s">
        <v>336</v>
      </c>
      <c r="J334" s="51">
        <v>55000</v>
      </c>
      <c r="K334" s="47" t="s">
        <v>336</v>
      </c>
      <c r="L334" s="52"/>
      <c r="M334" s="52"/>
      <c r="N334" s="46">
        <f>15+25</f>
        <v>40</v>
      </c>
      <c r="O334" s="50" t="s">
        <v>336</v>
      </c>
      <c r="P334" s="46">
        <f>(C334+(E334*F334*H334))-N334</f>
        <v>759</v>
      </c>
      <c r="Q334" s="50" t="s">
        <v>336</v>
      </c>
      <c r="R334" s="51">
        <f>P334*(J334-(J334*L334)-((J334-(J334*L334))*M334))</f>
        <v>41745000</v>
      </c>
      <c r="S334" s="23">
        <f t="shared" si="39"/>
        <v>37608108.108108103</v>
      </c>
    </row>
    <row r="335" spans="1:19">
      <c r="S335" s="23"/>
    </row>
    <row r="336" spans="1:19" ht="15.75">
      <c r="A336" s="14" t="s">
        <v>337</v>
      </c>
      <c r="S336" s="23"/>
    </row>
    <row r="337" spans="1:19" s="17" customFormat="1">
      <c r="A337" s="16" t="s">
        <v>338</v>
      </c>
      <c r="B337" s="17" t="s">
        <v>19</v>
      </c>
      <c r="C337" s="18"/>
      <c r="D337" s="19" t="s">
        <v>104</v>
      </c>
      <c r="E337" s="20"/>
      <c r="F337" s="21">
        <v>1</v>
      </c>
      <c r="G337" s="22" t="s">
        <v>21</v>
      </c>
      <c r="H337" s="21">
        <v>192</v>
      </c>
      <c r="I337" s="22" t="s">
        <v>104</v>
      </c>
      <c r="J337" s="23">
        <v>3450</v>
      </c>
      <c r="K337" s="19" t="s">
        <v>104</v>
      </c>
      <c r="L337" s="24">
        <v>0.125</v>
      </c>
      <c r="M337" s="24">
        <v>0.05</v>
      </c>
      <c r="N337" s="18"/>
      <c r="O337" s="22" t="s">
        <v>104</v>
      </c>
      <c r="P337" s="18">
        <f t="shared" ref="P337:P345" si="50">(C337+(E337*F337*H337))-N337</f>
        <v>0</v>
      </c>
      <c r="Q337" s="22" t="s">
        <v>104</v>
      </c>
      <c r="R337" s="23">
        <f t="shared" ref="R337:R345" si="51">P337*(J337-(J337*L337)-((J337-(J337*L337))*M337))</f>
        <v>0</v>
      </c>
      <c r="S337" s="23">
        <f t="shared" ref="S337:S403" si="52">R337/1.11</f>
        <v>0</v>
      </c>
    </row>
    <row r="338" spans="1:19" s="17" customFormat="1">
      <c r="A338" s="16" t="s">
        <v>339</v>
      </c>
      <c r="B338" s="17" t="s">
        <v>19</v>
      </c>
      <c r="C338" s="18"/>
      <c r="D338" s="19" t="s">
        <v>104</v>
      </c>
      <c r="E338" s="20"/>
      <c r="F338" s="21">
        <v>1</v>
      </c>
      <c r="G338" s="22" t="s">
        <v>21</v>
      </c>
      <c r="H338" s="21">
        <v>160</v>
      </c>
      <c r="I338" s="22" t="s">
        <v>104</v>
      </c>
      <c r="J338" s="23">
        <v>5400</v>
      </c>
      <c r="K338" s="19" t="s">
        <v>104</v>
      </c>
      <c r="L338" s="24">
        <v>0.125</v>
      </c>
      <c r="M338" s="24">
        <v>0.05</v>
      </c>
      <c r="N338" s="18"/>
      <c r="O338" s="22" t="s">
        <v>104</v>
      </c>
      <c r="P338" s="18">
        <f t="shared" si="50"/>
        <v>0</v>
      </c>
      <c r="Q338" s="22" t="s">
        <v>104</v>
      </c>
      <c r="R338" s="23">
        <f t="shared" si="51"/>
        <v>0</v>
      </c>
      <c r="S338" s="23">
        <f t="shared" si="52"/>
        <v>0</v>
      </c>
    </row>
    <row r="339" spans="1:19" s="17" customFormat="1">
      <c r="A339" s="16" t="s">
        <v>340</v>
      </c>
      <c r="B339" s="17" t="s">
        <v>19</v>
      </c>
      <c r="C339" s="18"/>
      <c r="D339" s="19" t="s">
        <v>104</v>
      </c>
      <c r="E339" s="20"/>
      <c r="F339" s="21">
        <v>1</v>
      </c>
      <c r="G339" s="22" t="s">
        <v>21</v>
      </c>
      <c r="H339" s="21">
        <v>192</v>
      </c>
      <c r="I339" s="22" t="s">
        <v>104</v>
      </c>
      <c r="J339" s="23">
        <v>3450</v>
      </c>
      <c r="K339" s="19" t="s">
        <v>104</v>
      </c>
      <c r="L339" s="24">
        <v>0.125</v>
      </c>
      <c r="M339" s="24">
        <v>0.05</v>
      </c>
      <c r="N339" s="18"/>
      <c r="O339" s="22" t="s">
        <v>104</v>
      </c>
      <c r="P339" s="18">
        <f t="shared" si="50"/>
        <v>0</v>
      </c>
      <c r="Q339" s="22" t="s">
        <v>104</v>
      </c>
      <c r="R339" s="23">
        <f t="shared" si="51"/>
        <v>0</v>
      </c>
      <c r="S339" s="23">
        <f t="shared" si="52"/>
        <v>0</v>
      </c>
    </row>
    <row r="340" spans="1:19" s="26" customFormat="1">
      <c r="A340" s="25" t="s">
        <v>341</v>
      </c>
      <c r="B340" s="26" t="s">
        <v>19</v>
      </c>
      <c r="C340" s="27">
        <v>47</v>
      </c>
      <c r="D340" s="28" t="s">
        <v>104</v>
      </c>
      <c r="E340" s="29"/>
      <c r="F340" s="30">
        <v>1</v>
      </c>
      <c r="G340" s="31" t="s">
        <v>21</v>
      </c>
      <c r="H340" s="30">
        <v>96</v>
      </c>
      <c r="I340" s="31" t="s">
        <v>104</v>
      </c>
      <c r="J340" s="32">
        <v>6600</v>
      </c>
      <c r="K340" s="28" t="s">
        <v>104</v>
      </c>
      <c r="L340" s="33">
        <v>0.125</v>
      </c>
      <c r="M340" s="33">
        <v>0.05</v>
      </c>
      <c r="N340" s="27"/>
      <c r="O340" s="31" t="s">
        <v>104</v>
      </c>
      <c r="P340" s="27">
        <f t="shared" si="50"/>
        <v>47</v>
      </c>
      <c r="Q340" s="31" t="s">
        <v>104</v>
      </c>
      <c r="R340" s="32">
        <f t="shared" si="51"/>
        <v>257853.75</v>
      </c>
      <c r="S340" s="32">
        <f t="shared" si="52"/>
        <v>232300.67567567565</v>
      </c>
    </row>
    <row r="341" spans="1:19" s="26" customFormat="1">
      <c r="A341" s="25" t="s">
        <v>342</v>
      </c>
      <c r="B341" s="26" t="s">
        <v>19</v>
      </c>
      <c r="C341" s="27">
        <v>650</v>
      </c>
      <c r="D341" s="28" t="s">
        <v>104</v>
      </c>
      <c r="E341" s="29"/>
      <c r="F341" s="30">
        <v>1</v>
      </c>
      <c r="G341" s="31" t="s">
        <v>21</v>
      </c>
      <c r="H341" s="30">
        <v>80</v>
      </c>
      <c r="I341" s="31" t="s">
        <v>104</v>
      </c>
      <c r="J341" s="32">
        <v>10200</v>
      </c>
      <c r="K341" s="28" t="s">
        <v>104</v>
      </c>
      <c r="L341" s="33">
        <v>0.125</v>
      </c>
      <c r="M341" s="33">
        <v>0.05</v>
      </c>
      <c r="N341" s="27">
        <f>47+80</f>
        <v>127</v>
      </c>
      <c r="O341" s="31" t="s">
        <v>104</v>
      </c>
      <c r="P341" s="27">
        <f t="shared" si="50"/>
        <v>523</v>
      </c>
      <c r="Q341" s="31" t="s">
        <v>104</v>
      </c>
      <c r="R341" s="32">
        <f t="shared" si="51"/>
        <v>4434386.25</v>
      </c>
      <c r="S341" s="32">
        <f t="shared" si="52"/>
        <v>3994942.5675675673</v>
      </c>
    </row>
    <row r="342" spans="1:19" s="26" customFormat="1">
      <c r="A342" s="25" t="s">
        <v>343</v>
      </c>
      <c r="B342" s="26" t="s">
        <v>26</v>
      </c>
      <c r="C342" s="27">
        <v>82</v>
      </c>
      <c r="D342" s="28" t="s">
        <v>104</v>
      </c>
      <c r="E342" s="29"/>
      <c r="F342" s="30">
        <v>1</v>
      </c>
      <c r="G342" s="31" t="s">
        <v>21</v>
      </c>
      <c r="H342" s="30">
        <v>192</v>
      </c>
      <c r="I342" s="31" t="s">
        <v>104</v>
      </c>
      <c r="J342" s="32">
        <f>691200/192</f>
        <v>3600</v>
      </c>
      <c r="K342" s="28" t="s">
        <v>104</v>
      </c>
      <c r="L342" s="33"/>
      <c r="M342" s="33">
        <v>0.17</v>
      </c>
      <c r="N342" s="27">
        <v>72</v>
      </c>
      <c r="O342" s="31" t="s">
        <v>104</v>
      </c>
      <c r="P342" s="27">
        <f t="shared" si="50"/>
        <v>10</v>
      </c>
      <c r="Q342" s="31" t="s">
        <v>104</v>
      </c>
      <c r="R342" s="32">
        <f t="shared" si="51"/>
        <v>29880</v>
      </c>
      <c r="S342" s="32">
        <f t="shared" si="52"/>
        <v>26918.918918918916</v>
      </c>
    </row>
    <row r="343" spans="1:19" s="45" customFormat="1">
      <c r="A343" s="44" t="s">
        <v>344</v>
      </c>
      <c r="B343" s="45" t="s">
        <v>26</v>
      </c>
      <c r="C343" s="46">
        <v>181</v>
      </c>
      <c r="D343" s="47" t="s">
        <v>104</v>
      </c>
      <c r="E343" s="48">
        <v>2</v>
      </c>
      <c r="F343" s="49">
        <v>1</v>
      </c>
      <c r="G343" s="50" t="s">
        <v>21</v>
      </c>
      <c r="H343" s="49">
        <v>96</v>
      </c>
      <c r="I343" s="50" t="s">
        <v>104</v>
      </c>
      <c r="J343" s="51">
        <f>700800/96</f>
        <v>7300</v>
      </c>
      <c r="K343" s="47" t="s">
        <v>104</v>
      </c>
      <c r="L343" s="52"/>
      <c r="M343" s="52">
        <v>0.17</v>
      </c>
      <c r="N343" s="46">
        <f>96+96+43</f>
        <v>235</v>
      </c>
      <c r="O343" s="50" t="s">
        <v>104</v>
      </c>
      <c r="P343" s="46">
        <f t="shared" si="50"/>
        <v>138</v>
      </c>
      <c r="Q343" s="50" t="s">
        <v>104</v>
      </c>
      <c r="R343" s="51">
        <f t="shared" si="51"/>
        <v>836142</v>
      </c>
      <c r="S343" s="51">
        <f t="shared" si="52"/>
        <v>753281.08108108107</v>
      </c>
    </row>
    <row r="344" spans="1:19" s="26" customFormat="1">
      <c r="A344" s="25" t="s">
        <v>345</v>
      </c>
      <c r="B344" s="26" t="s">
        <v>26</v>
      </c>
      <c r="C344" s="27">
        <v>190</v>
      </c>
      <c r="D344" s="28" t="s">
        <v>104</v>
      </c>
      <c r="E344" s="29"/>
      <c r="F344" s="30">
        <v>1</v>
      </c>
      <c r="G344" s="31" t="s">
        <v>21</v>
      </c>
      <c r="H344" s="30">
        <v>160</v>
      </c>
      <c r="I344" s="31" t="s">
        <v>104</v>
      </c>
      <c r="J344" s="32">
        <f>904000/160</f>
        <v>5650</v>
      </c>
      <c r="K344" s="28" t="s">
        <v>104</v>
      </c>
      <c r="L344" s="33"/>
      <c r="M344" s="33">
        <v>0.17</v>
      </c>
      <c r="N344" s="27">
        <v>100</v>
      </c>
      <c r="O344" s="31" t="s">
        <v>104</v>
      </c>
      <c r="P344" s="27">
        <f t="shared" si="50"/>
        <v>90</v>
      </c>
      <c r="Q344" s="31" t="s">
        <v>104</v>
      </c>
      <c r="R344" s="32">
        <f t="shared" si="51"/>
        <v>422055</v>
      </c>
      <c r="S344" s="32">
        <f t="shared" si="52"/>
        <v>380229.7297297297</v>
      </c>
    </row>
    <row r="345" spans="1:19">
      <c r="A345" s="34" t="s">
        <v>346</v>
      </c>
      <c r="B345" s="2" t="s">
        <v>26</v>
      </c>
      <c r="C345" s="3">
        <v>350</v>
      </c>
      <c r="D345" s="4" t="s">
        <v>104</v>
      </c>
      <c r="F345" s="6">
        <v>1</v>
      </c>
      <c r="G345" s="7" t="s">
        <v>21</v>
      </c>
      <c r="H345" s="6">
        <v>80</v>
      </c>
      <c r="I345" s="7" t="s">
        <v>104</v>
      </c>
      <c r="J345" s="8">
        <f>852000/80</f>
        <v>10650</v>
      </c>
      <c r="K345" s="4" t="s">
        <v>104</v>
      </c>
      <c r="M345" s="9">
        <v>0.17</v>
      </c>
      <c r="N345" s="3">
        <f>24+80+50</f>
        <v>154</v>
      </c>
      <c r="O345" s="7" t="s">
        <v>104</v>
      </c>
      <c r="P345" s="3">
        <f t="shared" si="50"/>
        <v>196</v>
      </c>
      <c r="Q345" s="7" t="s">
        <v>104</v>
      </c>
      <c r="R345" s="8">
        <f t="shared" si="51"/>
        <v>1732542</v>
      </c>
      <c r="S345" s="32">
        <f t="shared" si="52"/>
        <v>1560848.6486486485</v>
      </c>
    </row>
    <row r="346" spans="1:19">
      <c r="S346" s="23"/>
    </row>
    <row r="347" spans="1:19" ht="15.75">
      <c r="A347" s="14" t="s">
        <v>225</v>
      </c>
      <c r="L347" s="112"/>
      <c r="M347" s="112"/>
      <c r="S347" s="23"/>
    </row>
    <row r="348" spans="1:19">
      <c r="A348" s="15" t="s">
        <v>225</v>
      </c>
      <c r="L348" s="112"/>
      <c r="M348" s="112"/>
      <c r="S348" s="23"/>
    </row>
    <row r="349" spans="1:19" s="26" customFormat="1">
      <c r="A349" s="25" t="s">
        <v>347</v>
      </c>
      <c r="B349" s="26" t="s">
        <v>19</v>
      </c>
      <c r="C349" s="27">
        <v>1</v>
      </c>
      <c r="D349" s="28" t="s">
        <v>20</v>
      </c>
      <c r="E349" s="29"/>
      <c r="F349" s="30">
        <v>1</v>
      </c>
      <c r="G349" s="31" t="s">
        <v>21</v>
      </c>
      <c r="H349" s="30">
        <v>48</v>
      </c>
      <c r="I349" s="31" t="s">
        <v>20</v>
      </c>
      <c r="J349" s="32">
        <v>17000</v>
      </c>
      <c r="K349" s="28" t="s">
        <v>20</v>
      </c>
      <c r="L349" s="33">
        <v>0.125</v>
      </c>
      <c r="M349" s="33">
        <v>0.05</v>
      </c>
      <c r="N349" s="27"/>
      <c r="O349" s="31" t="s">
        <v>20</v>
      </c>
      <c r="P349" s="27">
        <f>(C349+(E349*F349*H349))-N349</f>
        <v>1</v>
      </c>
      <c r="Q349" s="31" t="s">
        <v>20</v>
      </c>
      <c r="R349" s="32">
        <f>P349*(J349-(J349*L349)-((J349-(J349*L349))*M349))</f>
        <v>14131.25</v>
      </c>
      <c r="S349" s="32">
        <f t="shared" si="52"/>
        <v>12730.855855855854</v>
      </c>
    </row>
    <row r="350" spans="1:19">
      <c r="S350" s="32"/>
    </row>
    <row r="351" spans="1:19" ht="15.75">
      <c r="A351" s="14" t="s">
        <v>348</v>
      </c>
      <c r="L351" s="112"/>
      <c r="M351" s="112"/>
      <c r="S351" s="32"/>
    </row>
    <row r="352" spans="1:19">
      <c r="A352" s="15" t="s">
        <v>349</v>
      </c>
      <c r="L352" s="112"/>
      <c r="M352" s="112"/>
      <c r="S352" s="32"/>
    </row>
    <row r="353" spans="1:19" s="17" customFormat="1">
      <c r="A353" s="16" t="s">
        <v>350</v>
      </c>
      <c r="B353" s="17" t="s">
        <v>19</v>
      </c>
      <c r="C353" s="18"/>
      <c r="D353" s="19" t="s">
        <v>20</v>
      </c>
      <c r="E353" s="20"/>
      <c r="F353" s="21">
        <v>1</v>
      </c>
      <c r="G353" s="22" t="s">
        <v>21</v>
      </c>
      <c r="H353" s="21">
        <v>24</v>
      </c>
      <c r="I353" s="22" t="s">
        <v>20</v>
      </c>
      <c r="J353" s="23">
        <v>35000</v>
      </c>
      <c r="K353" s="19" t="s">
        <v>20</v>
      </c>
      <c r="L353" s="24">
        <v>0.125</v>
      </c>
      <c r="M353" s="24">
        <v>0.05</v>
      </c>
      <c r="N353" s="18"/>
      <c r="O353" s="22" t="s">
        <v>20</v>
      </c>
      <c r="P353" s="18">
        <f t="shared" ref="P353:P362" si="53">(C353+(E353*F353*H353))-N353</f>
        <v>0</v>
      </c>
      <c r="Q353" s="22" t="s">
        <v>20</v>
      </c>
      <c r="R353" s="23">
        <f t="shared" ref="R353:R361" si="54">P353*(J353-(J353*L353)-((J353-(J353*L353))*M353))</f>
        <v>0</v>
      </c>
      <c r="S353" s="23">
        <f t="shared" si="52"/>
        <v>0</v>
      </c>
    </row>
    <row r="354" spans="1:19" s="17" customFormat="1">
      <c r="A354" s="95" t="s">
        <v>351</v>
      </c>
      <c r="B354" s="96" t="s">
        <v>19</v>
      </c>
      <c r="C354" s="97">
        <v>432</v>
      </c>
      <c r="D354" s="98" t="s">
        <v>20</v>
      </c>
      <c r="E354" s="105"/>
      <c r="F354" s="100">
        <v>1</v>
      </c>
      <c r="G354" s="101" t="s">
        <v>21</v>
      </c>
      <c r="H354" s="100">
        <v>72</v>
      </c>
      <c r="I354" s="101" t="s">
        <v>20</v>
      </c>
      <c r="J354" s="102">
        <v>15500</v>
      </c>
      <c r="K354" s="98" t="s">
        <v>20</v>
      </c>
      <c r="L354" s="103">
        <v>0.125</v>
      </c>
      <c r="M354" s="103">
        <v>0.05</v>
      </c>
      <c r="N354" s="97">
        <f>576-144</f>
        <v>432</v>
      </c>
      <c r="O354" s="101" t="s">
        <v>20</v>
      </c>
      <c r="P354" s="97">
        <f t="shared" si="53"/>
        <v>0</v>
      </c>
      <c r="Q354" s="101" t="s">
        <v>20</v>
      </c>
      <c r="R354" s="102">
        <f t="shared" si="54"/>
        <v>0</v>
      </c>
      <c r="S354" s="102">
        <f t="shared" si="52"/>
        <v>0</v>
      </c>
    </row>
    <row r="355" spans="1:19" s="17" customFormat="1">
      <c r="A355" s="95" t="s">
        <v>351</v>
      </c>
      <c r="B355" s="96" t="s">
        <v>19</v>
      </c>
      <c r="C355" s="97">
        <v>144</v>
      </c>
      <c r="D355" s="98" t="s">
        <v>20</v>
      </c>
      <c r="E355" s="105">
        <v>2</v>
      </c>
      <c r="F355" s="100">
        <v>1</v>
      </c>
      <c r="G355" s="101" t="s">
        <v>21</v>
      </c>
      <c r="H355" s="100">
        <v>72</v>
      </c>
      <c r="I355" s="101" t="s">
        <v>20</v>
      </c>
      <c r="J355" s="102">
        <v>15800</v>
      </c>
      <c r="K355" s="98" t="s">
        <v>20</v>
      </c>
      <c r="L355" s="103">
        <v>0.125</v>
      </c>
      <c r="M355" s="103">
        <v>0.05</v>
      </c>
      <c r="N355" s="97">
        <f>(576-432)+144</f>
        <v>288</v>
      </c>
      <c r="O355" s="101" t="s">
        <v>20</v>
      </c>
      <c r="P355" s="97">
        <f t="shared" si="53"/>
        <v>0</v>
      </c>
      <c r="Q355" s="101" t="s">
        <v>20</v>
      </c>
      <c r="R355" s="102">
        <f t="shared" si="54"/>
        <v>0</v>
      </c>
      <c r="S355" s="102">
        <f t="shared" si="52"/>
        <v>0</v>
      </c>
    </row>
    <row r="356" spans="1:19" s="26" customFormat="1">
      <c r="A356" s="25" t="s">
        <v>352</v>
      </c>
      <c r="B356" s="26" t="s">
        <v>19</v>
      </c>
      <c r="C356" s="27">
        <v>516</v>
      </c>
      <c r="D356" s="28" t="s">
        <v>20</v>
      </c>
      <c r="E356" s="29"/>
      <c r="F356" s="30">
        <v>1</v>
      </c>
      <c r="G356" s="31" t="s">
        <v>21</v>
      </c>
      <c r="H356" s="30">
        <v>72</v>
      </c>
      <c r="I356" s="31" t="s">
        <v>20</v>
      </c>
      <c r="J356" s="32">
        <v>15500</v>
      </c>
      <c r="K356" s="28" t="s">
        <v>20</v>
      </c>
      <c r="L356" s="33">
        <v>0.125</v>
      </c>
      <c r="M356" s="33">
        <v>0.05</v>
      </c>
      <c r="N356" s="27"/>
      <c r="O356" s="31" t="s">
        <v>20</v>
      </c>
      <c r="P356" s="27">
        <f t="shared" si="53"/>
        <v>516</v>
      </c>
      <c r="Q356" s="31" t="s">
        <v>20</v>
      </c>
      <c r="R356" s="32">
        <f t="shared" si="54"/>
        <v>6648337.5</v>
      </c>
      <c r="S356" s="32">
        <f t="shared" si="52"/>
        <v>5989493.2432432426</v>
      </c>
    </row>
    <row r="357" spans="1:19" s="26" customFormat="1">
      <c r="A357" s="35" t="s">
        <v>353</v>
      </c>
      <c r="B357" s="36" t="s">
        <v>19</v>
      </c>
      <c r="C357" s="37">
        <v>684</v>
      </c>
      <c r="D357" s="38" t="s">
        <v>20</v>
      </c>
      <c r="E357" s="39"/>
      <c r="F357" s="40">
        <v>1</v>
      </c>
      <c r="G357" s="41" t="s">
        <v>21</v>
      </c>
      <c r="H357" s="40">
        <v>72</v>
      </c>
      <c r="I357" s="41" t="s">
        <v>20</v>
      </c>
      <c r="J357" s="42">
        <v>20000</v>
      </c>
      <c r="K357" s="38" t="s">
        <v>20</v>
      </c>
      <c r="L357" s="43">
        <v>0.125</v>
      </c>
      <c r="M357" s="43">
        <v>0.05</v>
      </c>
      <c r="N357" s="37">
        <f>216+72</f>
        <v>288</v>
      </c>
      <c r="O357" s="41" t="s">
        <v>20</v>
      </c>
      <c r="P357" s="37">
        <f t="shared" si="53"/>
        <v>396</v>
      </c>
      <c r="Q357" s="41" t="s">
        <v>20</v>
      </c>
      <c r="R357" s="42">
        <f t="shared" si="54"/>
        <v>6583500</v>
      </c>
      <c r="S357" s="42">
        <f t="shared" si="52"/>
        <v>5931081.0810810803</v>
      </c>
    </row>
    <row r="358" spans="1:19" s="26" customFormat="1">
      <c r="A358" s="35" t="s">
        <v>353</v>
      </c>
      <c r="B358" s="36" t="s">
        <v>19</v>
      </c>
      <c r="C358" s="37">
        <v>144</v>
      </c>
      <c r="D358" s="38" t="s">
        <v>20</v>
      </c>
      <c r="E358" s="39"/>
      <c r="F358" s="40">
        <v>1</v>
      </c>
      <c r="G358" s="41" t="s">
        <v>21</v>
      </c>
      <c r="H358" s="40">
        <v>72</v>
      </c>
      <c r="I358" s="41" t="s">
        <v>20</v>
      </c>
      <c r="J358" s="42">
        <v>20700</v>
      </c>
      <c r="K358" s="38" t="s">
        <v>20</v>
      </c>
      <c r="L358" s="43">
        <v>0.125</v>
      </c>
      <c r="M358" s="43">
        <v>0.05</v>
      </c>
      <c r="N358" s="37"/>
      <c r="O358" s="41" t="s">
        <v>20</v>
      </c>
      <c r="P358" s="37">
        <f t="shared" si="53"/>
        <v>144</v>
      </c>
      <c r="Q358" s="41" t="s">
        <v>20</v>
      </c>
      <c r="R358" s="42">
        <f t="shared" si="54"/>
        <v>2477790</v>
      </c>
      <c r="S358" s="42">
        <f t="shared" si="52"/>
        <v>2232243.2432432431</v>
      </c>
    </row>
    <row r="359" spans="1:19" s="26" customFormat="1">
      <c r="A359" s="25" t="s">
        <v>354</v>
      </c>
      <c r="B359" s="26" t="s">
        <v>19</v>
      </c>
      <c r="C359" s="27">
        <v>336</v>
      </c>
      <c r="D359" s="28" t="s">
        <v>20</v>
      </c>
      <c r="E359" s="29"/>
      <c r="F359" s="30">
        <v>1</v>
      </c>
      <c r="G359" s="31" t="s">
        <v>21</v>
      </c>
      <c r="H359" s="30">
        <v>72</v>
      </c>
      <c r="I359" s="31" t="s">
        <v>20</v>
      </c>
      <c r="J359" s="32">
        <v>20000</v>
      </c>
      <c r="K359" s="28" t="s">
        <v>20</v>
      </c>
      <c r="L359" s="33">
        <v>0.125</v>
      </c>
      <c r="M359" s="33">
        <v>0.05</v>
      </c>
      <c r="N359" s="27">
        <v>216</v>
      </c>
      <c r="O359" s="31" t="s">
        <v>20</v>
      </c>
      <c r="P359" s="27">
        <f t="shared" si="53"/>
        <v>120</v>
      </c>
      <c r="Q359" s="31" t="s">
        <v>20</v>
      </c>
      <c r="R359" s="32">
        <f t="shared" si="54"/>
        <v>1995000</v>
      </c>
      <c r="S359" s="32">
        <f t="shared" si="52"/>
        <v>1797297.297297297</v>
      </c>
    </row>
    <row r="360" spans="1:19" s="26" customFormat="1">
      <c r="A360" s="25" t="s">
        <v>355</v>
      </c>
      <c r="B360" s="26" t="s">
        <v>26</v>
      </c>
      <c r="C360" s="27">
        <v>36</v>
      </c>
      <c r="D360" s="28" t="s">
        <v>20</v>
      </c>
      <c r="E360" s="29"/>
      <c r="F360" s="30">
        <v>1</v>
      </c>
      <c r="G360" s="31" t="s">
        <v>21</v>
      </c>
      <c r="H360" s="30">
        <v>72</v>
      </c>
      <c r="I360" s="31" t="s">
        <v>20</v>
      </c>
      <c r="J360" s="32">
        <f>1224000/72</f>
        <v>17000</v>
      </c>
      <c r="K360" s="28" t="s">
        <v>20</v>
      </c>
      <c r="L360" s="33"/>
      <c r="M360" s="33">
        <v>0.17</v>
      </c>
      <c r="N360" s="27"/>
      <c r="O360" s="31" t="s">
        <v>20</v>
      </c>
      <c r="P360" s="27">
        <f t="shared" si="53"/>
        <v>36</v>
      </c>
      <c r="Q360" s="31" t="s">
        <v>20</v>
      </c>
      <c r="R360" s="32">
        <f t="shared" si="54"/>
        <v>507960</v>
      </c>
      <c r="S360" s="32">
        <f t="shared" si="52"/>
        <v>457621.6216216216</v>
      </c>
    </row>
    <row r="361" spans="1:19" s="26" customFormat="1">
      <c r="A361" s="25" t="s">
        <v>356</v>
      </c>
      <c r="B361" s="2" t="s">
        <v>26</v>
      </c>
      <c r="C361" s="27">
        <v>12</v>
      </c>
      <c r="D361" s="28" t="s">
        <v>20</v>
      </c>
      <c r="E361" s="29"/>
      <c r="F361" s="30">
        <v>1</v>
      </c>
      <c r="G361" s="31" t="s">
        <v>21</v>
      </c>
      <c r="H361" s="30">
        <v>72</v>
      </c>
      <c r="I361" s="31" t="s">
        <v>20</v>
      </c>
      <c r="J361" s="32">
        <f>1512000/72</f>
        <v>21000</v>
      </c>
      <c r="K361" s="28" t="s">
        <v>20</v>
      </c>
      <c r="L361" s="33">
        <v>0.125</v>
      </c>
      <c r="M361" s="33">
        <v>0.05</v>
      </c>
      <c r="N361" s="27"/>
      <c r="O361" s="31" t="s">
        <v>20</v>
      </c>
      <c r="P361" s="27">
        <f t="shared" si="53"/>
        <v>12</v>
      </c>
      <c r="Q361" s="31" t="s">
        <v>20</v>
      </c>
      <c r="R361" s="32">
        <f t="shared" si="54"/>
        <v>209475</v>
      </c>
      <c r="S361" s="32">
        <f t="shared" si="52"/>
        <v>188716.21621621621</v>
      </c>
    </row>
    <row r="362" spans="1:19" s="63" customFormat="1">
      <c r="A362" s="72" t="s">
        <v>357</v>
      </c>
      <c r="B362" s="63" t="s">
        <v>26</v>
      </c>
      <c r="C362" s="64"/>
      <c r="D362" s="65" t="s">
        <v>20</v>
      </c>
      <c r="E362" s="66"/>
      <c r="F362" s="67">
        <v>1</v>
      </c>
      <c r="G362" s="68" t="s">
        <v>21</v>
      </c>
      <c r="H362" s="67">
        <v>120</v>
      </c>
      <c r="I362" s="68" t="s">
        <v>20</v>
      </c>
      <c r="J362" s="69">
        <v>9000</v>
      </c>
      <c r="K362" s="65" t="s">
        <v>20</v>
      </c>
      <c r="L362" s="70"/>
      <c r="M362" s="70">
        <v>0.17</v>
      </c>
      <c r="N362" s="64"/>
      <c r="O362" s="68" t="s">
        <v>20</v>
      </c>
      <c r="P362" s="64">
        <f t="shared" si="53"/>
        <v>0</v>
      </c>
      <c r="Q362" s="68" t="s">
        <v>20</v>
      </c>
      <c r="R362" s="69">
        <f>P362*(J362-(J362*L362)-((J362-(J362*L362))*M362))</f>
        <v>0</v>
      </c>
      <c r="S362" s="23">
        <f t="shared" si="52"/>
        <v>0</v>
      </c>
    </row>
    <row r="363" spans="1:19">
      <c r="A363" s="15" t="s">
        <v>358</v>
      </c>
      <c r="S363" s="23"/>
    </row>
    <row r="364" spans="1:19" s="17" customFormat="1">
      <c r="A364" s="16" t="s">
        <v>359</v>
      </c>
      <c r="B364" s="17" t="s">
        <v>19</v>
      </c>
      <c r="C364" s="18"/>
      <c r="D364" s="19" t="s">
        <v>20</v>
      </c>
      <c r="E364" s="20"/>
      <c r="F364" s="21">
        <v>2</v>
      </c>
      <c r="G364" s="22" t="s">
        <v>34</v>
      </c>
      <c r="H364" s="21">
        <v>24</v>
      </c>
      <c r="I364" s="22" t="s">
        <v>20</v>
      </c>
      <c r="J364" s="23">
        <v>8000</v>
      </c>
      <c r="K364" s="19" t="s">
        <v>20</v>
      </c>
      <c r="L364" s="24">
        <v>0.125</v>
      </c>
      <c r="M364" s="24">
        <v>0.05</v>
      </c>
      <c r="N364" s="18"/>
      <c r="O364" s="22" t="s">
        <v>20</v>
      </c>
      <c r="P364" s="18">
        <f t="shared" ref="P364" si="55">(C364+(E364*F364*H364))-N364</f>
        <v>0</v>
      </c>
      <c r="Q364" s="22" t="s">
        <v>20</v>
      </c>
      <c r="R364" s="23">
        <f t="shared" ref="R364" si="56">P364*(J364-(J364*L364)-((J364-(J364*L364))*M364))</f>
        <v>0</v>
      </c>
      <c r="S364" s="23">
        <f t="shared" si="52"/>
        <v>0</v>
      </c>
    </row>
    <row r="365" spans="1:19" s="17" customFormat="1">
      <c r="A365" s="95" t="s">
        <v>360</v>
      </c>
      <c r="B365" s="96" t="s">
        <v>26</v>
      </c>
      <c r="C365" s="97">
        <v>5</v>
      </c>
      <c r="D365" s="98" t="s">
        <v>43</v>
      </c>
      <c r="E365" s="105"/>
      <c r="F365" s="100">
        <v>1</v>
      </c>
      <c r="G365" s="101" t="s">
        <v>21</v>
      </c>
      <c r="H365" s="100">
        <v>12</v>
      </c>
      <c r="I365" s="101" t="s">
        <v>43</v>
      </c>
      <c r="J365" s="102">
        <f>619200/12</f>
        <v>51600</v>
      </c>
      <c r="K365" s="98" t="s">
        <v>43</v>
      </c>
      <c r="L365" s="103"/>
      <c r="M365" s="103">
        <v>0.17</v>
      </c>
      <c r="N365" s="97">
        <v>5</v>
      </c>
      <c r="O365" s="101" t="s">
        <v>43</v>
      </c>
      <c r="P365" s="97">
        <f>(C365+(E365*F365*H365))-N365</f>
        <v>0</v>
      </c>
      <c r="Q365" s="101" t="s">
        <v>43</v>
      </c>
      <c r="R365" s="102">
        <f>P365*(J365-(J365*L365)-((J365-(J365*L365))*M365))</f>
        <v>0</v>
      </c>
      <c r="S365" s="102">
        <f t="shared" si="52"/>
        <v>0</v>
      </c>
    </row>
    <row r="366" spans="1:19" s="17" customFormat="1">
      <c r="A366" s="95" t="s">
        <v>360</v>
      </c>
      <c r="B366" s="96" t="s">
        <v>26</v>
      </c>
      <c r="C366" s="97"/>
      <c r="D366" s="98" t="s">
        <v>43</v>
      </c>
      <c r="E366" s="105">
        <v>1</v>
      </c>
      <c r="F366" s="100">
        <v>1</v>
      </c>
      <c r="G366" s="101" t="s">
        <v>21</v>
      </c>
      <c r="H366" s="100">
        <v>12</v>
      </c>
      <c r="I366" s="101" t="s">
        <v>43</v>
      </c>
      <c r="J366" s="102">
        <f>669600/12</f>
        <v>55800</v>
      </c>
      <c r="K366" s="98" t="s">
        <v>43</v>
      </c>
      <c r="L366" s="103"/>
      <c r="M366" s="103">
        <v>0.17</v>
      </c>
      <c r="N366" s="97">
        <v>12</v>
      </c>
      <c r="O366" s="101" t="s">
        <v>43</v>
      </c>
      <c r="P366" s="97">
        <f>(C366+(E366*F366*H366))-N366</f>
        <v>0</v>
      </c>
      <c r="Q366" s="101" t="s">
        <v>43</v>
      </c>
      <c r="R366" s="102">
        <f>P366*(J366-(J366*L366)-((J366-(J366*L366))*M366))</f>
        <v>0</v>
      </c>
      <c r="S366" s="102">
        <f t="shared" si="52"/>
        <v>0</v>
      </c>
    </row>
    <row r="367" spans="1:19" s="45" customFormat="1">
      <c r="A367" s="44" t="s">
        <v>361</v>
      </c>
      <c r="B367" s="45" t="s">
        <v>26</v>
      </c>
      <c r="C367" s="46">
        <v>122</v>
      </c>
      <c r="D367" s="47" t="s">
        <v>43</v>
      </c>
      <c r="E367" s="48"/>
      <c r="F367" s="49">
        <v>1</v>
      </c>
      <c r="G367" s="50" t="s">
        <v>21</v>
      </c>
      <c r="H367" s="49">
        <v>20</v>
      </c>
      <c r="I367" s="50" t="s">
        <v>43</v>
      </c>
      <c r="J367" s="51">
        <f>684000/20</f>
        <v>34200</v>
      </c>
      <c r="K367" s="47" t="s">
        <v>43</v>
      </c>
      <c r="L367" s="52"/>
      <c r="M367" s="52">
        <v>0.17</v>
      </c>
      <c r="N367" s="46">
        <f>5+3</f>
        <v>8</v>
      </c>
      <c r="O367" s="50" t="s">
        <v>43</v>
      </c>
      <c r="P367" s="46">
        <f>(C367+(E367*F367*H367))-N367</f>
        <v>114</v>
      </c>
      <c r="Q367" s="50" t="s">
        <v>43</v>
      </c>
      <c r="R367" s="51">
        <f>P367*(J367-(J367*L367)-((J367-(J367*L367))*M367))</f>
        <v>3236004</v>
      </c>
      <c r="S367" s="32">
        <f t="shared" si="52"/>
        <v>2915318.9189189188</v>
      </c>
    </row>
    <row r="368" spans="1:19" s="26" customFormat="1">
      <c r="A368" s="35" t="s">
        <v>362</v>
      </c>
      <c r="B368" s="36" t="s">
        <v>26</v>
      </c>
      <c r="C368" s="37">
        <v>4</v>
      </c>
      <c r="D368" s="38" t="s">
        <v>43</v>
      </c>
      <c r="E368" s="39"/>
      <c r="F368" s="40">
        <v>1</v>
      </c>
      <c r="G368" s="41" t="s">
        <v>21</v>
      </c>
      <c r="H368" s="40">
        <v>6</v>
      </c>
      <c r="I368" s="41" t="s">
        <v>43</v>
      </c>
      <c r="J368" s="42">
        <f>666000/6</f>
        <v>111000</v>
      </c>
      <c r="K368" s="38" t="s">
        <v>43</v>
      </c>
      <c r="L368" s="43"/>
      <c r="M368" s="43">
        <v>0.17</v>
      </c>
      <c r="N368" s="113">
        <f>(12/12)+1</f>
        <v>2</v>
      </c>
      <c r="O368" s="41" t="s">
        <v>43</v>
      </c>
      <c r="P368" s="113">
        <f>(C368+(E368*F368*H368))-N368</f>
        <v>2</v>
      </c>
      <c r="Q368" s="41" t="s">
        <v>43</v>
      </c>
      <c r="R368" s="42">
        <f>P368*(J368-(J368*L368)-((J368-(J368*L368))*M368))</f>
        <v>184260</v>
      </c>
      <c r="S368" s="42">
        <f t="shared" si="52"/>
        <v>165999.99999999997</v>
      </c>
    </row>
    <row r="369" spans="1:19" s="17" customFormat="1">
      <c r="A369" s="95" t="s">
        <v>362</v>
      </c>
      <c r="B369" s="96" t="s">
        <v>26</v>
      </c>
      <c r="C369" s="97"/>
      <c r="D369" s="98" t="s">
        <v>43</v>
      </c>
      <c r="E369" s="105">
        <v>3</v>
      </c>
      <c r="F369" s="100">
        <v>1</v>
      </c>
      <c r="G369" s="101" t="s">
        <v>21</v>
      </c>
      <c r="H369" s="100">
        <v>6</v>
      </c>
      <c r="I369" s="101" t="s">
        <v>43</v>
      </c>
      <c r="J369" s="102">
        <f>720000/6</f>
        <v>120000</v>
      </c>
      <c r="K369" s="98" t="s">
        <v>43</v>
      </c>
      <c r="L369" s="103"/>
      <c r="M369" s="103">
        <v>0.17</v>
      </c>
      <c r="N369" s="114">
        <v>18</v>
      </c>
      <c r="O369" s="101" t="s">
        <v>43</v>
      </c>
      <c r="P369" s="114">
        <f>(C369+(E369*F369*H369))-N369</f>
        <v>0</v>
      </c>
      <c r="Q369" s="101" t="s">
        <v>43</v>
      </c>
      <c r="R369" s="102">
        <f>P369*(J369-(J369*L369)-((J369-(J369*L369))*M369))</f>
        <v>0</v>
      </c>
      <c r="S369" s="102">
        <f t="shared" si="52"/>
        <v>0</v>
      </c>
    </row>
    <row r="370" spans="1:19">
      <c r="A370" s="15" t="s">
        <v>363</v>
      </c>
      <c r="L370" s="112"/>
      <c r="M370" s="112"/>
      <c r="S370" s="23"/>
    </row>
    <row r="371" spans="1:19" s="17" customFormat="1">
      <c r="A371" s="16" t="s">
        <v>364</v>
      </c>
      <c r="B371" s="17" t="s">
        <v>19</v>
      </c>
      <c r="C371" s="18"/>
      <c r="D371" s="19" t="s">
        <v>162</v>
      </c>
      <c r="E371" s="20"/>
      <c r="F371" s="21">
        <v>36</v>
      </c>
      <c r="G371" s="22" t="s">
        <v>34</v>
      </c>
      <c r="H371" s="21">
        <v>30</v>
      </c>
      <c r="I371" s="22" t="s">
        <v>162</v>
      </c>
      <c r="J371" s="23">
        <v>3200</v>
      </c>
      <c r="K371" s="19" t="s">
        <v>162</v>
      </c>
      <c r="L371" s="24">
        <v>0.125</v>
      </c>
      <c r="M371" s="24">
        <v>0.05</v>
      </c>
      <c r="N371" s="18"/>
      <c r="O371" s="22" t="s">
        <v>162</v>
      </c>
      <c r="P371" s="18">
        <f>(C371+(E371*F371*H371))-N371</f>
        <v>0</v>
      </c>
      <c r="Q371" s="22" t="s">
        <v>162</v>
      </c>
      <c r="R371" s="23">
        <f>P371*(J371-(J371*L371)-((J371-(J371*L371))*M371))</f>
        <v>0</v>
      </c>
      <c r="S371" s="23">
        <f t="shared" si="52"/>
        <v>0</v>
      </c>
    </row>
    <row r="372" spans="1:19" s="17" customFormat="1">
      <c r="A372" s="16" t="s">
        <v>365</v>
      </c>
      <c r="B372" s="17" t="s">
        <v>19</v>
      </c>
      <c r="C372" s="18"/>
      <c r="D372" s="19" t="s">
        <v>162</v>
      </c>
      <c r="E372" s="20"/>
      <c r="F372" s="21">
        <v>36</v>
      </c>
      <c r="G372" s="22" t="s">
        <v>34</v>
      </c>
      <c r="H372" s="21">
        <v>30</v>
      </c>
      <c r="I372" s="22" t="s">
        <v>162</v>
      </c>
      <c r="J372" s="23">
        <v>2900</v>
      </c>
      <c r="K372" s="19" t="s">
        <v>162</v>
      </c>
      <c r="L372" s="24">
        <v>0.125</v>
      </c>
      <c r="M372" s="24">
        <v>0.05</v>
      </c>
      <c r="N372" s="18"/>
      <c r="O372" s="22" t="s">
        <v>162</v>
      </c>
      <c r="P372" s="18">
        <f>(C372+(E372*F372*H372))-N372</f>
        <v>0</v>
      </c>
      <c r="Q372" s="22" t="s">
        <v>162</v>
      </c>
      <c r="R372" s="23">
        <f>P372*(J372-(J372*L372)-((J372-(J372*L372))*M372))</f>
        <v>0</v>
      </c>
      <c r="S372" s="23">
        <f t="shared" si="52"/>
        <v>0</v>
      </c>
    </row>
    <row r="373" spans="1:19">
      <c r="S373" s="23"/>
    </row>
    <row r="374" spans="1:19" ht="15.75">
      <c r="A374" s="14" t="s">
        <v>366</v>
      </c>
      <c r="S374" s="23"/>
    </row>
    <row r="375" spans="1:19" s="17" customFormat="1">
      <c r="A375" s="93" t="s">
        <v>367</v>
      </c>
      <c r="B375" s="17" t="s">
        <v>26</v>
      </c>
      <c r="C375" s="18"/>
      <c r="D375" s="19" t="s">
        <v>34</v>
      </c>
      <c r="E375" s="20"/>
      <c r="F375" s="21">
        <v>10</v>
      </c>
      <c r="G375" s="22" t="s">
        <v>104</v>
      </c>
      <c r="H375" s="21">
        <v>10</v>
      </c>
      <c r="I375" s="22" t="s">
        <v>34</v>
      </c>
      <c r="J375" s="23">
        <f>925000/100</f>
        <v>9250</v>
      </c>
      <c r="K375" s="19" t="s">
        <v>34</v>
      </c>
      <c r="L375" s="24"/>
      <c r="M375" s="24">
        <v>0.17</v>
      </c>
      <c r="N375" s="18"/>
      <c r="O375" s="22" t="s">
        <v>34</v>
      </c>
      <c r="P375" s="18">
        <f>(C375+(E375*F375*H375))-N375</f>
        <v>0</v>
      </c>
      <c r="Q375" s="22" t="s">
        <v>34</v>
      </c>
      <c r="R375" s="23">
        <f>P375*(J375-(J375*L375)-((J375-(J375*L375))*M375))</f>
        <v>0</v>
      </c>
      <c r="S375" s="23">
        <f t="shared" si="52"/>
        <v>0</v>
      </c>
    </row>
    <row r="376" spans="1:19" s="17" customFormat="1">
      <c r="A376" s="93" t="s">
        <v>368</v>
      </c>
      <c r="B376" s="17" t="s">
        <v>26</v>
      </c>
      <c r="C376" s="18"/>
      <c r="D376" s="19" t="s">
        <v>34</v>
      </c>
      <c r="E376" s="20"/>
      <c r="F376" s="21">
        <v>10</v>
      </c>
      <c r="G376" s="22" t="s">
        <v>104</v>
      </c>
      <c r="H376" s="21">
        <v>10</v>
      </c>
      <c r="I376" s="22" t="s">
        <v>34</v>
      </c>
      <c r="J376" s="23">
        <v>8350</v>
      </c>
      <c r="K376" s="19" t="s">
        <v>34</v>
      </c>
      <c r="L376" s="24"/>
      <c r="M376" s="24">
        <v>0.17</v>
      </c>
      <c r="N376" s="18"/>
      <c r="O376" s="22" t="s">
        <v>34</v>
      </c>
      <c r="P376" s="18">
        <f>(C376+(E376*F376*H376))-N376</f>
        <v>0</v>
      </c>
      <c r="Q376" s="22" t="s">
        <v>34</v>
      </c>
      <c r="R376" s="23">
        <f>P376*(J376-(J376*L376)-((J376-(J376*L376))*M376))</f>
        <v>0</v>
      </c>
      <c r="S376" s="23">
        <f t="shared" si="52"/>
        <v>0</v>
      </c>
    </row>
    <row r="377" spans="1:19" s="17" customFormat="1">
      <c r="A377" s="93" t="s">
        <v>369</v>
      </c>
      <c r="B377" s="17" t="s">
        <v>19</v>
      </c>
      <c r="C377" s="18"/>
      <c r="D377" s="19" t="s">
        <v>104</v>
      </c>
      <c r="E377" s="20"/>
      <c r="F377" s="21">
        <v>1</v>
      </c>
      <c r="G377" s="22" t="s">
        <v>21</v>
      </c>
      <c r="H377" s="21">
        <v>100</v>
      </c>
      <c r="I377" s="22" t="s">
        <v>104</v>
      </c>
      <c r="J377" s="23">
        <v>7800</v>
      </c>
      <c r="K377" s="19" t="s">
        <v>104</v>
      </c>
      <c r="L377" s="24">
        <v>0.125</v>
      </c>
      <c r="M377" s="24">
        <v>0.05</v>
      </c>
      <c r="N377" s="18"/>
      <c r="O377" s="22" t="s">
        <v>104</v>
      </c>
      <c r="P377" s="18">
        <f>(C377+(E377*F377*H377))-N377</f>
        <v>0</v>
      </c>
      <c r="Q377" s="22" t="s">
        <v>104</v>
      </c>
      <c r="R377" s="23">
        <f>P377*(J377-(J377*L377)-((J377-(J377*L377))*M377))</f>
        <v>0</v>
      </c>
      <c r="S377" s="23">
        <f t="shared" si="52"/>
        <v>0</v>
      </c>
    </row>
    <row r="378" spans="1:19" s="17" customFormat="1">
      <c r="A378" s="93" t="s">
        <v>370</v>
      </c>
      <c r="B378" s="17" t="s">
        <v>19</v>
      </c>
      <c r="C378" s="18"/>
      <c r="D378" s="19" t="s">
        <v>104</v>
      </c>
      <c r="E378" s="20"/>
      <c r="F378" s="21">
        <v>1</v>
      </c>
      <c r="G378" s="22" t="s">
        <v>21</v>
      </c>
      <c r="H378" s="21">
        <v>100</v>
      </c>
      <c r="I378" s="22" t="s">
        <v>104</v>
      </c>
      <c r="J378" s="23">
        <v>7800</v>
      </c>
      <c r="K378" s="19" t="s">
        <v>104</v>
      </c>
      <c r="L378" s="24">
        <v>0.125</v>
      </c>
      <c r="M378" s="24">
        <v>0.05</v>
      </c>
      <c r="N378" s="18"/>
      <c r="O378" s="22" t="s">
        <v>104</v>
      </c>
      <c r="P378" s="18">
        <f>(C378+(E378*F378*H378))-N378</f>
        <v>0</v>
      </c>
      <c r="Q378" s="22" t="s">
        <v>104</v>
      </c>
      <c r="R378" s="23">
        <f>P378*(J378-(J378*L378)-((J378-(J378*L378))*M378))</f>
        <v>0</v>
      </c>
      <c r="S378" s="23">
        <f t="shared" si="52"/>
        <v>0</v>
      </c>
    </row>
    <row r="379" spans="1:19">
      <c r="S379" s="23"/>
    </row>
    <row r="380" spans="1:19" ht="15.75">
      <c r="A380" s="14" t="s">
        <v>371</v>
      </c>
      <c r="S380" s="23"/>
    </row>
    <row r="381" spans="1:19">
      <c r="A381" s="15" t="s">
        <v>372</v>
      </c>
      <c r="S381" s="23"/>
    </row>
    <row r="382" spans="1:19" s="17" customFormat="1">
      <c r="A382" s="16" t="s">
        <v>373</v>
      </c>
      <c r="B382" s="17" t="s">
        <v>19</v>
      </c>
      <c r="C382" s="18"/>
      <c r="D382" s="19" t="s">
        <v>43</v>
      </c>
      <c r="E382" s="20"/>
      <c r="F382" s="21">
        <v>1</v>
      </c>
      <c r="G382" s="22" t="s">
        <v>21</v>
      </c>
      <c r="H382" s="21">
        <v>144</v>
      </c>
      <c r="I382" s="22" t="s">
        <v>43</v>
      </c>
      <c r="J382" s="23">
        <v>28200</v>
      </c>
      <c r="K382" s="19" t="s">
        <v>43</v>
      </c>
      <c r="L382" s="24">
        <v>0.125</v>
      </c>
      <c r="M382" s="24">
        <v>0.05</v>
      </c>
      <c r="N382" s="18"/>
      <c r="O382" s="22" t="s">
        <v>43</v>
      </c>
      <c r="P382" s="18">
        <f t="shared" ref="P382:P395" si="57">(C382+(E382*F382*H382))-N382</f>
        <v>0</v>
      </c>
      <c r="Q382" s="22" t="s">
        <v>43</v>
      </c>
      <c r="R382" s="23">
        <f t="shared" ref="R382:R395" si="58">P382*(J382-(J382*L382)-((J382-(J382*L382))*M382))</f>
        <v>0</v>
      </c>
      <c r="S382" s="69">
        <f t="shared" si="52"/>
        <v>0</v>
      </c>
    </row>
    <row r="383" spans="1:19" s="63" customFormat="1">
      <c r="A383" s="72" t="s">
        <v>374</v>
      </c>
      <c r="B383" s="63" t="s">
        <v>19</v>
      </c>
      <c r="C383" s="64"/>
      <c r="D383" s="65" t="s">
        <v>43</v>
      </c>
      <c r="E383" s="66"/>
      <c r="F383" s="67">
        <v>1</v>
      </c>
      <c r="G383" s="68" t="s">
        <v>21</v>
      </c>
      <c r="H383" s="67">
        <v>144</v>
      </c>
      <c r="I383" s="68" t="s">
        <v>43</v>
      </c>
      <c r="J383" s="69">
        <v>7800</v>
      </c>
      <c r="K383" s="65" t="s">
        <v>43</v>
      </c>
      <c r="L383" s="70">
        <v>0.1</v>
      </c>
      <c r="M383" s="70">
        <v>0.05</v>
      </c>
      <c r="N383" s="64"/>
      <c r="O383" s="68" t="s">
        <v>43</v>
      </c>
      <c r="P383" s="64">
        <f t="shared" si="57"/>
        <v>0</v>
      </c>
      <c r="Q383" s="68" t="s">
        <v>43</v>
      </c>
      <c r="R383" s="69">
        <f t="shared" si="58"/>
        <v>0</v>
      </c>
      <c r="S383" s="69">
        <f t="shared" si="52"/>
        <v>0</v>
      </c>
    </row>
    <row r="384" spans="1:19" s="45" customFormat="1">
      <c r="A384" s="35" t="s">
        <v>375</v>
      </c>
      <c r="B384" s="36" t="s">
        <v>19</v>
      </c>
      <c r="C384" s="37">
        <f>48+24</f>
        <v>72</v>
      </c>
      <c r="D384" s="38" t="s">
        <v>43</v>
      </c>
      <c r="E384" s="39"/>
      <c r="F384" s="40">
        <v>1</v>
      </c>
      <c r="G384" s="41" t="s">
        <v>21</v>
      </c>
      <c r="H384" s="40">
        <v>144</v>
      </c>
      <c r="I384" s="41" t="s">
        <v>43</v>
      </c>
      <c r="J384" s="42"/>
      <c r="K384" s="38" t="s">
        <v>43</v>
      </c>
      <c r="L384" s="43">
        <v>0.1</v>
      </c>
      <c r="M384" s="43">
        <v>0.05</v>
      </c>
      <c r="N384" s="37">
        <v>24</v>
      </c>
      <c r="O384" s="41" t="s">
        <v>43</v>
      </c>
      <c r="P384" s="37">
        <f t="shared" si="57"/>
        <v>48</v>
      </c>
      <c r="Q384" s="41" t="s">
        <v>43</v>
      </c>
      <c r="R384" s="42">
        <f t="shared" si="58"/>
        <v>0</v>
      </c>
      <c r="S384" s="102">
        <f t="shared" si="52"/>
        <v>0</v>
      </c>
    </row>
    <row r="385" spans="1:19" s="45" customFormat="1">
      <c r="A385" s="35" t="s">
        <v>376</v>
      </c>
      <c r="B385" s="36" t="s">
        <v>19</v>
      </c>
      <c r="C385" s="37">
        <v>156</v>
      </c>
      <c r="D385" s="38" t="s">
        <v>43</v>
      </c>
      <c r="E385" s="39"/>
      <c r="F385" s="40">
        <v>1</v>
      </c>
      <c r="G385" s="41" t="s">
        <v>21</v>
      </c>
      <c r="H385" s="40">
        <v>144</v>
      </c>
      <c r="I385" s="41" t="s">
        <v>43</v>
      </c>
      <c r="J385" s="42">
        <v>6900</v>
      </c>
      <c r="K385" s="38" t="s">
        <v>43</v>
      </c>
      <c r="L385" s="43">
        <v>0.125</v>
      </c>
      <c r="M385" s="43">
        <v>0.05</v>
      </c>
      <c r="N385" s="37"/>
      <c r="O385" s="41" t="s">
        <v>43</v>
      </c>
      <c r="P385" s="37">
        <f t="shared" si="57"/>
        <v>156</v>
      </c>
      <c r="Q385" s="41" t="s">
        <v>43</v>
      </c>
      <c r="R385" s="42">
        <f t="shared" si="58"/>
        <v>894757.5</v>
      </c>
      <c r="S385" s="42">
        <f t="shared" si="52"/>
        <v>806087.83783783775</v>
      </c>
    </row>
    <row r="386" spans="1:19" s="17" customFormat="1">
      <c r="A386" s="16" t="s">
        <v>377</v>
      </c>
      <c r="B386" s="17" t="s">
        <v>19</v>
      </c>
      <c r="C386" s="18"/>
      <c r="D386" s="19" t="s">
        <v>43</v>
      </c>
      <c r="E386" s="20"/>
      <c r="F386" s="21">
        <v>1</v>
      </c>
      <c r="G386" s="22" t="s">
        <v>21</v>
      </c>
      <c r="H386" s="21">
        <v>144</v>
      </c>
      <c r="I386" s="22" t="s">
        <v>43</v>
      </c>
      <c r="J386" s="23">
        <v>7020</v>
      </c>
      <c r="K386" s="19" t="s">
        <v>43</v>
      </c>
      <c r="L386" s="24">
        <v>0.125</v>
      </c>
      <c r="M386" s="24">
        <v>0.05</v>
      </c>
      <c r="N386" s="18"/>
      <c r="O386" s="22" t="s">
        <v>43</v>
      </c>
      <c r="P386" s="18">
        <f t="shared" si="57"/>
        <v>0</v>
      </c>
      <c r="Q386" s="22" t="s">
        <v>43</v>
      </c>
      <c r="R386" s="23">
        <f t="shared" si="58"/>
        <v>0</v>
      </c>
      <c r="S386" s="23">
        <f t="shared" si="52"/>
        <v>0</v>
      </c>
    </row>
    <row r="387" spans="1:19" s="26" customFormat="1">
      <c r="A387" s="25" t="s">
        <v>378</v>
      </c>
      <c r="B387" s="26" t="s">
        <v>19</v>
      </c>
      <c r="C387" s="27">
        <v>864</v>
      </c>
      <c r="D387" s="28" t="s">
        <v>43</v>
      </c>
      <c r="E387" s="29"/>
      <c r="F387" s="30">
        <v>1</v>
      </c>
      <c r="G387" s="31" t="s">
        <v>21</v>
      </c>
      <c r="H387" s="30">
        <v>144</v>
      </c>
      <c r="I387" s="31" t="s">
        <v>43</v>
      </c>
      <c r="J387" s="32">
        <v>5100</v>
      </c>
      <c r="K387" s="28" t="s">
        <v>43</v>
      </c>
      <c r="L387" s="33">
        <v>0.125</v>
      </c>
      <c r="M387" s="33">
        <v>0.05</v>
      </c>
      <c r="N387" s="27"/>
      <c r="O387" s="31" t="s">
        <v>43</v>
      </c>
      <c r="P387" s="27">
        <f t="shared" si="57"/>
        <v>864</v>
      </c>
      <c r="Q387" s="31" t="s">
        <v>43</v>
      </c>
      <c r="R387" s="32">
        <f t="shared" si="58"/>
        <v>3662820</v>
      </c>
      <c r="S387" s="32">
        <f t="shared" si="52"/>
        <v>3299837.8378378376</v>
      </c>
    </row>
    <row r="388" spans="1:19" s="26" customFormat="1">
      <c r="A388" s="25" t="s">
        <v>379</v>
      </c>
      <c r="B388" s="26" t="s">
        <v>19</v>
      </c>
      <c r="C388" s="115">
        <f>60+(12+60)+36+12+24+(12+48)</f>
        <v>264</v>
      </c>
      <c r="D388" s="28" t="s">
        <v>43</v>
      </c>
      <c r="E388" s="29"/>
      <c r="F388" s="30">
        <v>1</v>
      </c>
      <c r="G388" s="31" t="s">
        <v>21</v>
      </c>
      <c r="H388" s="30">
        <v>144</v>
      </c>
      <c r="I388" s="31" t="s">
        <v>43</v>
      </c>
      <c r="J388" s="32"/>
      <c r="K388" s="28" t="s">
        <v>43</v>
      </c>
      <c r="L388" s="33"/>
      <c r="M388" s="33"/>
      <c r="N388" s="27">
        <v>6</v>
      </c>
      <c r="O388" s="31" t="s">
        <v>43</v>
      </c>
      <c r="P388" s="27">
        <f t="shared" si="57"/>
        <v>258</v>
      </c>
      <c r="Q388" s="31" t="s">
        <v>43</v>
      </c>
      <c r="R388" s="32">
        <f t="shared" si="58"/>
        <v>0</v>
      </c>
      <c r="S388" s="32">
        <f t="shared" si="52"/>
        <v>0</v>
      </c>
    </row>
    <row r="389" spans="1:19" s="17" customFormat="1">
      <c r="A389" s="93" t="s">
        <v>380</v>
      </c>
      <c r="B389" s="17" t="s">
        <v>26</v>
      </c>
      <c r="C389" s="18"/>
      <c r="D389" s="19" t="s">
        <v>43</v>
      </c>
      <c r="E389" s="20"/>
      <c r="F389" s="21">
        <v>1</v>
      </c>
      <c r="G389" s="22" t="s">
        <v>21</v>
      </c>
      <c r="H389" s="21">
        <v>144</v>
      </c>
      <c r="I389" s="22" t="s">
        <v>43</v>
      </c>
      <c r="J389" s="23">
        <v>22200</v>
      </c>
      <c r="K389" s="19" t="s">
        <v>43</v>
      </c>
      <c r="L389" s="24"/>
      <c r="M389" s="24">
        <v>0.17</v>
      </c>
      <c r="N389" s="18"/>
      <c r="O389" s="22" t="s">
        <v>43</v>
      </c>
      <c r="P389" s="18">
        <f t="shared" si="57"/>
        <v>0</v>
      </c>
      <c r="Q389" s="22" t="s">
        <v>43</v>
      </c>
      <c r="R389" s="23">
        <f t="shared" si="58"/>
        <v>0</v>
      </c>
      <c r="S389" s="23">
        <f t="shared" si="52"/>
        <v>0</v>
      </c>
    </row>
    <row r="390" spans="1:19" s="17" customFormat="1">
      <c r="A390" s="93" t="s">
        <v>381</v>
      </c>
      <c r="B390" s="17" t="s">
        <v>26</v>
      </c>
      <c r="C390" s="18"/>
      <c r="D390" s="19" t="s">
        <v>43</v>
      </c>
      <c r="E390" s="20"/>
      <c r="F390" s="21">
        <v>1</v>
      </c>
      <c r="G390" s="22" t="s">
        <v>21</v>
      </c>
      <c r="H390" s="21">
        <v>144</v>
      </c>
      <c r="I390" s="22" t="s">
        <v>43</v>
      </c>
      <c r="J390" s="23">
        <v>13800</v>
      </c>
      <c r="K390" s="19" t="s">
        <v>43</v>
      </c>
      <c r="L390" s="24"/>
      <c r="M390" s="24">
        <v>0.17</v>
      </c>
      <c r="N390" s="18"/>
      <c r="O390" s="22" t="s">
        <v>43</v>
      </c>
      <c r="P390" s="18">
        <f t="shared" si="57"/>
        <v>0</v>
      </c>
      <c r="Q390" s="22" t="s">
        <v>43</v>
      </c>
      <c r="R390" s="23">
        <f t="shared" si="58"/>
        <v>0</v>
      </c>
      <c r="S390" s="23">
        <f t="shared" si="52"/>
        <v>0</v>
      </c>
    </row>
    <row r="391" spans="1:19" s="17" customFormat="1">
      <c r="A391" s="93" t="s">
        <v>382</v>
      </c>
      <c r="B391" s="17" t="s">
        <v>26</v>
      </c>
      <c r="C391" s="18"/>
      <c r="D391" s="19" t="s">
        <v>43</v>
      </c>
      <c r="E391" s="20"/>
      <c r="F391" s="21">
        <v>1</v>
      </c>
      <c r="G391" s="22" t="s">
        <v>21</v>
      </c>
      <c r="H391" s="21">
        <v>144</v>
      </c>
      <c r="I391" s="22" t="s">
        <v>43</v>
      </c>
      <c r="J391" s="23">
        <v>13800</v>
      </c>
      <c r="K391" s="19" t="s">
        <v>43</v>
      </c>
      <c r="L391" s="24"/>
      <c r="M391" s="24">
        <v>0.17</v>
      </c>
      <c r="N391" s="18"/>
      <c r="O391" s="22" t="s">
        <v>43</v>
      </c>
      <c r="P391" s="18">
        <f t="shared" si="57"/>
        <v>0</v>
      </c>
      <c r="Q391" s="22" t="s">
        <v>43</v>
      </c>
      <c r="R391" s="23">
        <f t="shared" si="58"/>
        <v>0</v>
      </c>
      <c r="S391" s="23">
        <f t="shared" si="52"/>
        <v>0</v>
      </c>
    </row>
    <row r="392" spans="1:19" s="17" customFormat="1">
      <c r="A392" s="93" t="s">
        <v>383</v>
      </c>
      <c r="B392" s="17" t="s">
        <v>26</v>
      </c>
      <c r="C392" s="18"/>
      <c r="D392" s="19" t="s">
        <v>43</v>
      </c>
      <c r="E392" s="20"/>
      <c r="F392" s="21">
        <v>1</v>
      </c>
      <c r="G392" s="22" t="s">
        <v>21</v>
      </c>
      <c r="H392" s="21">
        <v>144</v>
      </c>
      <c r="I392" s="22" t="s">
        <v>43</v>
      </c>
      <c r="J392" s="23">
        <v>13800</v>
      </c>
      <c r="K392" s="19" t="s">
        <v>43</v>
      </c>
      <c r="L392" s="24"/>
      <c r="M392" s="24">
        <v>0.17</v>
      </c>
      <c r="N392" s="18"/>
      <c r="O392" s="22" t="s">
        <v>43</v>
      </c>
      <c r="P392" s="18">
        <f t="shared" si="57"/>
        <v>0</v>
      </c>
      <c r="Q392" s="22" t="s">
        <v>43</v>
      </c>
      <c r="R392" s="23">
        <f t="shared" si="58"/>
        <v>0</v>
      </c>
      <c r="S392" s="23">
        <f t="shared" si="52"/>
        <v>0</v>
      </c>
    </row>
    <row r="393" spans="1:19" s="17" customFormat="1">
      <c r="A393" s="93" t="s">
        <v>384</v>
      </c>
      <c r="B393" s="17" t="s">
        <v>26</v>
      </c>
      <c r="C393" s="18"/>
      <c r="D393" s="19" t="s">
        <v>43</v>
      </c>
      <c r="E393" s="20"/>
      <c r="F393" s="21">
        <v>1</v>
      </c>
      <c r="G393" s="22" t="s">
        <v>21</v>
      </c>
      <c r="H393" s="21">
        <v>144</v>
      </c>
      <c r="I393" s="22" t="s">
        <v>43</v>
      </c>
      <c r="J393" s="23">
        <v>13800</v>
      </c>
      <c r="K393" s="19" t="s">
        <v>43</v>
      </c>
      <c r="L393" s="24"/>
      <c r="M393" s="24">
        <v>0.17</v>
      </c>
      <c r="N393" s="18"/>
      <c r="O393" s="22" t="s">
        <v>43</v>
      </c>
      <c r="P393" s="18">
        <f t="shared" si="57"/>
        <v>0</v>
      </c>
      <c r="Q393" s="22" t="s">
        <v>43</v>
      </c>
      <c r="R393" s="23">
        <f t="shared" si="58"/>
        <v>0</v>
      </c>
      <c r="S393" s="23">
        <f t="shared" si="52"/>
        <v>0</v>
      </c>
    </row>
    <row r="394" spans="1:19" s="17" customFormat="1">
      <c r="A394" s="93" t="s">
        <v>385</v>
      </c>
      <c r="B394" s="17" t="s">
        <v>26</v>
      </c>
      <c r="C394" s="18"/>
      <c r="D394" s="19" t="s">
        <v>43</v>
      </c>
      <c r="E394" s="20"/>
      <c r="F394" s="21">
        <v>1</v>
      </c>
      <c r="G394" s="22" t="s">
        <v>21</v>
      </c>
      <c r="H394" s="21">
        <v>144</v>
      </c>
      <c r="I394" s="22" t="s">
        <v>43</v>
      </c>
      <c r="J394" s="23">
        <f>1987200/144</f>
        <v>13800</v>
      </c>
      <c r="K394" s="19" t="s">
        <v>43</v>
      </c>
      <c r="L394" s="24"/>
      <c r="M394" s="24">
        <v>0.17</v>
      </c>
      <c r="N394" s="18"/>
      <c r="O394" s="22" t="s">
        <v>43</v>
      </c>
      <c r="P394" s="18">
        <f t="shared" si="57"/>
        <v>0</v>
      </c>
      <c r="Q394" s="22" t="s">
        <v>43</v>
      </c>
      <c r="R394" s="23">
        <f t="shared" si="58"/>
        <v>0</v>
      </c>
      <c r="S394" s="23">
        <f t="shared" si="52"/>
        <v>0</v>
      </c>
    </row>
    <row r="395" spans="1:19" s="17" customFormat="1">
      <c r="A395" s="93" t="s">
        <v>386</v>
      </c>
      <c r="B395" s="17" t="s">
        <v>26</v>
      </c>
      <c r="C395" s="18"/>
      <c r="D395" s="19" t="s">
        <v>43</v>
      </c>
      <c r="E395" s="20"/>
      <c r="F395" s="21">
        <v>1</v>
      </c>
      <c r="G395" s="22" t="s">
        <v>21</v>
      </c>
      <c r="H395" s="21">
        <v>144</v>
      </c>
      <c r="I395" s="22" t="s">
        <v>43</v>
      </c>
      <c r="J395" s="23">
        <f>2073600/12/12</f>
        <v>14400</v>
      </c>
      <c r="K395" s="19" t="s">
        <v>43</v>
      </c>
      <c r="L395" s="24"/>
      <c r="M395" s="24">
        <v>0.17</v>
      </c>
      <c r="N395" s="18"/>
      <c r="O395" s="22" t="s">
        <v>43</v>
      </c>
      <c r="P395" s="18">
        <f t="shared" si="57"/>
        <v>0</v>
      </c>
      <c r="Q395" s="22" t="s">
        <v>43</v>
      </c>
      <c r="R395" s="23">
        <f t="shared" si="58"/>
        <v>0</v>
      </c>
      <c r="S395" s="23">
        <f t="shared" si="52"/>
        <v>0</v>
      </c>
    </row>
    <row r="396" spans="1:19">
      <c r="A396" s="15" t="s">
        <v>387</v>
      </c>
      <c r="S396" s="23"/>
    </row>
    <row r="397" spans="1:19">
      <c r="A397" s="34" t="s">
        <v>388</v>
      </c>
      <c r="B397" s="2" t="s">
        <v>192</v>
      </c>
      <c r="C397" s="3">
        <v>2587</v>
      </c>
      <c r="D397" s="4" t="s">
        <v>43</v>
      </c>
      <c r="F397" s="6">
        <v>1</v>
      </c>
      <c r="G397" s="7" t="s">
        <v>21</v>
      </c>
      <c r="H397" s="6">
        <v>240</v>
      </c>
      <c r="I397" s="7" t="s">
        <v>43</v>
      </c>
      <c r="J397" s="8">
        <v>10000</v>
      </c>
      <c r="K397" s="4" t="s">
        <v>43</v>
      </c>
      <c r="N397" s="3">
        <f>240+24+36+2</f>
        <v>302</v>
      </c>
      <c r="O397" s="7" t="s">
        <v>43</v>
      </c>
      <c r="P397" s="3">
        <f t="shared" ref="P397:P429" si="59">(C397+(E397*F397*H397))-N397</f>
        <v>2285</v>
      </c>
      <c r="Q397" s="7" t="s">
        <v>43</v>
      </c>
      <c r="R397" s="8">
        <f t="shared" ref="R397:R429" si="60">P397*(J397-(J397*L397)-((J397-(J397*L397))*M397))</f>
        <v>22850000</v>
      </c>
      <c r="S397" s="32">
        <f t="shared" si="52"/>
        <v>20585585.585585583</v>
      </c>
    </row>
    <row r="398" spans="1:19">
      <c r="A398" s="34" t="s">
        <v>389</v>
      </c>
      <c r="B398" s="2" t="s">
        <v>192</v>
      </c>
      <c r="C398" s="3">
        <v>2167</v>
      </c>
      <c r="D398" s="4" t="s">
        <v>43</v>
      </c>
      <c r="F398" s="6">
        <v>1</v>
      </c>
      <c r="G398" s="7" t="s">
        <v>21</v>
      </c>
      <c r="H398" s="6">
        <v>240</v>
      </c>
      <c r="I398" s="7" t="s">
        <v>43</v>
      </c>
      <c r="J398" s="8">
        <v>10000</v>
      </c>
      <c r="K398" s="4" t="s">
        <v>43</v>
      </c>
      <c r="N398" s="3">
        <f>240+24+2</f>
        <v>266</v>
      </c>
      <c r="O398" s="7" t="s">
        <v>43</v>
      </c>
      <c r="P398" s="3">
        <f t="shared" si="59"/>
        <v>1901</v>
      </c>
      <c r="Q398" s="7" t="s">
        <v>43</v>
      </c>
      <c r="R398" s="8">
        <f t="shared" si="60"/>
        <v>19010000</v>
      </c>
      <c r="S398" s="32">
        <f t="shared" si="52"/>
        <v>17126126.126126125</v>
      </c>
    </row>
    <row r="399" spans="1:19">
      <c r="A399" s="34" t="s">
        <v>390</v>
      </c>
      <c r="B399" s="2" t="s">
        <v>192</v>
      </c>
      <c r="C399" s="3">
        <v>2097</v>
      </c>
      <c r="D399" s="4" t="s">
        <v>43</v>
      </c>
      <c r="F399" s="6">
        <v>1</v>
      </c>
      <c r="G399" s="7" t="s">
        <v>21</v>
      </c>
      <c r="H399" s="6">
        <v>240</v>
      </c>
      <c r="I399" s="7" t="s">
        <v>43</v>
      </c>
      <c r="J399" s="8">
        <v>10000</v>
      </c>
      <c r="K399" s="4" t="s">
        <v>43</v>
      </c>
      <c r="N399" s="3">
        <f>240+(36/12)+12+2</f>
        <v>257</v>
      </c>
      <c r="O399" s="7" t="s">
        <v>43</v>
      </c>
      <c r="P399" s="3">
        <f t="shared" si="59"/>
        <v>1840</v>
      </c>
      <c r="Q399" s="7" t="s">
        <v>43</v>
      </c>
      <c r="R399" s="8">
        <f t="shared" si="60"/>
        <v>18400000</v>
      </c>
      <c r="S399" s="32">
        <f t="shared" si="52"/>
        <v>16576576.576576576</v>
      </c>
    </row>
    <row r="400" spans="1:19">
      <c r="A400" s="34" t="s">
        <v>391</v>
      </c>
      <c r="B400" s="2" t="s">
        <v>192</v>
      </c>
      <c r="C400" s="3">
        <v>250</v>
      </c>
      <c r="D400" s="4" t="s">
        <v>43</v>
      </c>
      <c r="F400" s="6">
        <v>1</v>
      </c>
      <c r="G400" s="7" t="s">
        <v>21</v>
      </c>
      <c r="H400" s="6">
        <v>240</v>
      </c>
      <c r="I400" s="7" t="s">
        <v>43</v>
      </c>
      <c r="J400" s="8">
        <v>10000</v>
      </c>
      <c r="K400" s="4" t="s">
        <v>43</v>
      </c>
      <c r="N400" s="3">
        <v>2</v>
      </c>
      <c r="O400" s="7" t="s">
        <v>43</v>
      </c>
      <c r="P400" s="3">
        <f t="shared" si="59"/>
        <v>248</v>
      </c>
      <c r="Q400" s="7" t="s">
        <v>43</v>
      </c>
      <c r="R400" s="8">
        <f t="shared" si="60"/>
        <v>2480000</v>
      </c>
      <c r="S400" s="32">
        <f t="shared" si="52"/>
        <v>2234234.2342342339</v>
      </c>
    </row>
    <row r="401" spans="1:19" s="17" customFormat="1">
      <c r="A401" s="16" t="s">
        <v>392</v>
      </c>
      <c r="B401" s="17" t="s">
        <v>19</v>
      </c>
      <c r="C401" s="18"/>
      <c r="D401" s="19" t="s">
        <v>43</v>
      </c>
      <c r="E401" s="20"/>
      <c r="F401" s="21">
        <v>1</v>
      </c>
      <c r="G401" s="22" t="s">
        <v>21</v>
      </c>
      <c r="H401" s="21">
        <v>144</v>
      </c>
      <c r="I401" s="22" t="s">
        <v>43</v>
      </c>
      <c r="J401" s="23">
        <v>19800</v>
      </c>
      <c r="K401" s="19" t="s">
        <v>43</v>
      </c>
      <c r="L401" s="24">
        <v>0.125</v>
      </c>
      <c r="M401" s="24">
        <v>0.05</v>
      </c>
      <c r="N401" s="18"/>
      <c r="O401" s="22" t="s">
        <v>43</v>
      </c>
      <c r="P401" s="18">
        <f t="shared" si="59"/>
        <v>0</v>
      </c>
      <c r="Q401" s="22" t="s">
        <v>43</v>
      </c>
      <c r="R401" s="23">
        <f t="shared" si="60"/>
        <v>0</v>
      </c>
      <c r="S401" s="23">
        <f t="shared" si="52"/>
        <v>0</v>
      </c>
    </row>
    <row r="402" spans="1:19" s="26" customFormat="1">
      <c r="A402" s="25" t="s">
        <v>393</v>
      </c>
      <c r="B402" s="26" t="s">
        <v>19</v>
      </c>
      <c r="C402" s="27">
        <v>48</v>
      </c>
      <c r="D402" s="28" t="s">
        <v>43</v>
      </c>
      <c r="E402" s="29"/>
      <c r="F402" s="30">
        <v>1</v>
      </c>
      <c r="G402" s="31" t="s">
        <v>21</v>
      </c>
      <c r="H402" s="30">
        <v>144</v>
      </c>
      <c r="I402" s="31" t="s">
        <v>43</v>
      </c>
      <c r="J402" s="32">
        <v>20400</v>
      </c>
      <c r="K402" s="28" t="s">
        <v>43</v>
      </c>
      <c r="L402" s="33">
        <v>0.125</v>
      </c>
      <c r="M402" s="33">
        <v>0.05</v>
      </c>
      <c r="N402" s="27">
        <f>36+10</f>
        <v>46</v>
      </c>
      <c r="O402" s="31" t="s">
        <v>43</v>
      </c>
      <c r="P402" s="27">
        <f t="shared" si="59"/>
        <v>2</v>
      </c>
      <c r="Q402" s="31" t="s">
        <v>43</v>
      </c>
      <c r="R402" s="32">
        <f t="shared" si="60"/>
        <v>33915</v>
      </c>
      <c r="S402" s="32">
        <f t="shared" si="52"/>
        <v>30554.05405405405</v>
      </c>
    </row>
    <row r="403" spans="1:19" s="17" customFormat="1">
      <c r="A403" s="93" t="s">
        <v>394</v>
      </c>
      <c r="B403" s="17" t="s">
        <v>19</v>
      </c>
      <c r="C403" s="18"/>
      <c r="D403" s="19" t="s">
        <v>43</v>
      </c>
      <c r="E403" s="20"/>
      <c r="F403" s="21">
        <v>1</v>
      </c>
      <c r="G403" s="22" t="s">
        <v>21</v>
      </c>
      <c r="H403" s="21">
        <v>144</v>
      </c>
      <c r="I403" s="22" t="s">
        <v>43</v>
      </c>
      <c r="J403" s="23">
        <v>27000</v>
      </c>
      <c r="K403" s="19" t="s">
        <v>43</v>
      </c>
      <c r="L403" s="24">
        <v>0.125</v>
      </c>
      <c r="M403" s="24">
        <v>0.05</v>
      </c>
      <c r="N403" s="18"/>
      <c r="O403" s="22" t="s">
        <v>43</v>
      </c>
      <c r="P403" s="18">
        <f t="shared" si="59"/>
        <v>0</v>
      </c>
      <c r="Q403" s="22" t="s">
        <v>43</v>
      </c>
      <c r="R403" s="23">
        <f t="shared" si="60"/>
        <v>0</v>
      </c>
      <c r="S403" s="23">
        <f t="shared" si="52"/>
        <v>0</v>
      </c>
    </row>
    <row r="404" spans="1:19" s="17" customFormat="1">
      <c r="A404" s="93" t="s">
        <v>395</v>
      </c>
      <c r="B404" s="17" t="s">
        <v>19</v>
      </c>
      <c r="C404" s="18"/>
      <c r="D404" s="19" t="s">
        <v>43</v>
      </c>
      <c r="E404" s="20"/>
      <c r="F404" s="21">
        <v>1</v>
      </c>
      <c r="G404" s="22" t="s">
        <v>21</v>
      </c>
      <c r="H404" s="21">
        <v>144</v>
      </c>
      <c r="I404" s="22" t="s">
        <v>43</v>
      </c>
      <c r="J404" s="23">
        <v>43200</v>
      </c>
      <c r="K404" s="19" t="s">
        <v>43</v>
      </c>
      <c r="L404" s="24">
        <v>0.125</v>
      </c>
      <c r="M404" s="24">
        <v>0.05</v>
      </c>
      <c r="N404" s="18"/>
      <c r="O404" s="22" t="s">
        <v>43</v>
      </c>
      <c r="P404" s="18">
        <f t="shared" si="59"/>
        <v>0</v>
      </c>
      <c r="Q404" s="22" t="s">
        <v>43</v>
      </c>
      <c r="R404" s="23">
        <f t="shared" si="60"/>
        <v>0</v>
      </c>
      <c r="S404" s="23">
        <f t="shared" ref="S404:S470" si="61">R404/1.11</f>
        <v>0</v>
      </c>
    </row>
    <row r="405" spans="1:19" s="17" customFormat="1">
      <c r="A405" s="93" t="s">
        <v>396</v>
      </c>
      <c r="B405" s="17" t="s">
        <v>19</v>
      </c>
      <c r="C405" s="18"/>
      <c r="D405" s="19" t="s">
        <v>43</v>
      </c>
      <c r="E405" s="20"/>
      <c r="F405" s="21">
        <v>1</v>
      </c>
      <c r="G405" s="22" t="s">
        <v>21</v>
      </c>
      <c r="H405" s="21">
        <v>144</v>
      </c>
      <c r="I405" s="22" t="s">
        <v>43</v>
      </c>
      <c r="J405" s="23">
        <v>22800</v>
      </c>
      <c r="K405" s="19" t="s">
        <v>43</v>
      </c>
      <c r="L405" s="24">
        <v>0.125</v>
      </c>
      <c r="M405" s="24">
        <v>0.05</v>
      </c>
      <c r="N405" s="18"/>
      <c r="O405" s="22" t="s">
        <v>43</v>
      </c>
      <c r="P405" s="18">
        <f t="shared" si="59"/>
        <v>0</v>
      </c>
      <c r="Q405" s="22" t="s">
        <v>43</v>
      </c>
      <c r="R405" s="23">
        <f t="shared" si="60"/>
        <v>0</v>
      </c>
      <c r="S405" s="23">
        <f t="shared" si="61"/>
        <v>0</v>
      </c>
    </row>
    <row r="406" spans="1:19" s="45" customFormat="1">
      <c r="A406" s="94" t="s">
        <v>397</v>
      </c>
      <c r="B406" s="45" t="s">
        <v>19</v>
      </c>
      <c r="C406" s="46">
        <v>143</v>
      </c>
      <c r="D406" s="47" t="s">
        <v>43</v>
      </c>
      <c r="E406" s="48">
        <v>1</v>
      </c>
      <c r="F406" s="49">
        <v>1</v>
      </c>
      <c r="G406" s="50" t="s">
        <v>21</v>
      </c>
      <c r="H406" s="49">
        <v>144</v>
      </c>
      <c r="I406" s="50" t="s">
        <v>43</v>
      </c>
      <c r="J406" s="51">
        <v>26400</v>
      </c>
      <c r="K406" s="47" t="s">
        <v>43</v>
      </c>
      <c r="L406" s="52">
        <v>0.125</v>
      </c>
      <c r="M406" s="52">
        <v>0.05</v>
      </c>
      <c r="N406" s="82">
        <f>36+72+6+25</f>
        <v>139</v>
      </c>
      <c r="O406" s="116" t="s">
        <v>43</v>
      </c>
      <c r="P406" s="82">
        <f t="shared" si="59"/>
        <v>148</v>
      </c>
      <c r="Q406" s="50" t="s">
        <v>43</v>
      </c>
      <c r="R406" s="51">
        <f t="shared" si="60"/>
        <v>3247860</v>
      </c>
      <c r="S406" s="51">
        <f t="shared" si="61"/>
        <v>2925999.9999999995</v>
      </c>
    </row>
    <row r="407" spans="1:19" s="17" customFormat="1">
      <c r="A407" s="93" t="s">
        <v>398</v>
      </c>
      <c r="B407" s="17" t="s">
        <v>19</v>
      </c>
      <c r="C407" s="18"/>
      <c r="D407" s="19" t="s">
        <v>43</v>
      </c>
      <c r="E407" s="20"/>
      <c r="F407" s="21">
        <v>1</v>
      </c>
      <c r="G407" s="22" t="s">
        <v>21</v>
      </c>
      <c r="H407" s="21">
        <v>144</v>
      </c>
      <c r="I407" s="22" t="s">
        <v>43</v>
      </c>
      <c r="J407" s="23">
        <v>27000</v>
      </c>
      <c r="K407" s="19" t="s">
        <v>43</v>
      </c>
      <c r="L407" s="24">
        <v>0.125</v>
      </c>
      <c r="M407" s="24">
        <v>0.05</v>
      </c>
      <c r="N407" s="18"/>
      <c r="O407" s="22" t="s">
        <v>43</v>
      </c>
      <c r="P407" s="18">
        <f t="shared" si="59"/>
        <v>0</v>
      </c>
      <c r="Q407" s="22" t="s">
        <v>43</v>
      </c>
      <c r="R407" s="23">
        <f t="shared" si="60"/>
        <v>0</v>
      </c>
      <c r="S407" s="23">
        <f t="shared" si="61"/>
        <v>0</v>
      </c>
    </row>
    <row r="408" spans="1:19" s="17" customFormat="1">
      <c r="A408" s="93" t="s">
        <v>399</v>
      </c>
      <c r="B408" s="17" t="s">
        <v>19</v>
      </c>
      <c r="C408" s="18"/>
      <c r="D408" s="19" t="s">
        <v>43</v>
      </c>
      <c r="E408" s="20"/>
      <c r="F408" s="21">
        <v>1</v>
      </c>
      <c r="G408" s="22" t="s">
        <v>21</v>
      </c>
      <c r="H408" s="21">
        <v>144</v>
      </c>
      <c r="I408" s="22" t="s">
        <v>43</v>
      </c>
      <c r="J408" s="23">
        <v>25800</v>
      </c>
      <c r="K408" s="19" t="s">
        <v>43</v>
      </c>
      <c r="L408" s="24">
        <v>0.125</v>
      </c>
      <c r="M408" s="24">
        <v>0.05</v>
      </c>
      <c r="N408" s="18"/>
      <c r="O408" s="22" t="s">
        <v>43</v>
      </c>
      <c r="P408" s="18">
        <f t="shared" si="59"/>
        <v>0</v>
      </c>
      <c r="Q408" s="22" t="s">
        <v>43</v>
      </c>
      <c r="R408" s="23">
        <f t="shared" si="60"/>
        <v>0</v>
      </c>
      <c r="S408" s="23">
        <f t="shared" si="61"/>
        <v>0</v>
      </c>
    </row>
    <row r="409" spans="1:19" s="17" customFormat="1">
      <c r="A409" s="16" t="s">
        <v>400</v>
      </c>
      <c r="B409" s="17" t="s">
        <v>19</v>
      </c>
      <c r="C409" s="18"/>
      <c r="D409" s="19" t="s">
        <v>43</v>
      </c>
      <c r="E409" s="20"/>
      <c r="F409" s="21">
        <v>1</v>
      </c>
      <c r="G409" s="22" t="s">
        <v>21</v>
      </c>
      <c r="H409" s="21">
        <v>144</v>
      </c>
      <c r="I409" s="22" t="s">
        <v>43</v>
      </c>
      <c r="J409" s="23">
        <v>14100</v>
      </c>
      <c r="K409" s="19" t="s">
        <v>43</v>
      </c>
      <c r="L409" s="24">
        <v>0.125</v>
      </c>
      <c r="M409" s="24">
        <v>0.05</v>
      </c>
      <c r="N409" s="18"/>
      <c r="O409" s="22" t="s">
        <v>43</v>
      </c>
      <c r="P409" s="18">
        <f t="shared" si="59"/>
        <v>0</v>
      </c>
      <c r="Q409" s="22" t="s">
        <v>43</v>
      </c>
      <c r="R409" s="23">
        <f t="shared" si="60"/>
        <v>0</v>
      </c>
      <c r="S409" s="23">
        <f t="shared" si="61"/>
        <v>0</v>
      </c>
    </row>
    <row r="410" spans="1:19" s="26" customFormat="1">
      <c r="A410" s="25" t="s">
        <v>401</v>
      </c>
      <c r="B410" s="26" t="s">
        <v>19</v>
      </c>
      <c r="C410" s="27">
        <v>288</v>
      </c>
      <c r="D410" s="28" t="s">
        <v>43</v>
      </c>
      <c r="E410" s="29"/>
      <c r="F410" s="30">
        <v>1</v>
      </c>
      <c r="G410" s="31" t="s">
        <v>21</v>
      </c>
      <c r="H410" s="30">
        <v>144</v>
      </c>
      <c r="I410" s="31" t="s">
        <v>43</v>
      </c>
      <c r="J410" s="32">
        <v>20400</v>
      </c>
      <c r="K410" s="28" t="s">
        <v>43</v>
      </c>
      <c r="L410" s="33">
        <v>0.125</v>
      </c>
      <c r="M410" s="33">
        <v>0.05</v>
      </c>
      <c r="N410" s="27"/>
      <c r="O410" s="31" t="s">
        <v>43</v>
      </c>
      <c r="P410" s="27">
        <f t="shared" si="59"/>
        <v>288</v>
      </c>
      <c r="Q410" s="31" t="s">
        <v>43</v>
      </c>
      <c r="R410" s="32">
        <f t="shared" si="60"/>
        <v>4883760</v>
      </c>
      <c r="S410" s="32">
        <f t="shared" si="61"/>
        <v>4399783.7837837832</v>
      </c>
    </row>
    <row r="411" spans="1:19" s="17" customFormat="1">
      <c r="A411" s="16" t="s">
        <v>402</v>
      </c>
      <c r="B411" s="17" t="s">
        <v>26</v>
      </c>
      <c r="C411" s="18"/>
      <c r="D411" s="19" t="s">
        <v>43</v>
      </c>
      <c r="E411" s="20"/>
      <c r="F411" s="21">
        <v>1</v>
      </c>
      <c r="G411" s="22" t="s">
        <v>21</v>
      </c>
      <c r="H411" s="21">
        <v>144</v>
      </c>
      <c r="I411" s="22" t="s">
        <v>43</v>
      </c>
      <c r="J411" s="23">
        <v>25200</v>
      </c>
      <c r="K411" s="19" t="s">
        <v>43</v>
      </c>
      <c r="L411" s="24"/>
      <c r="M411" s="24">
        <v>0.17</v>
      </c>
      <c r="N411" s="18"/>
      <c r="O411" s="22" t="s">
        <v>43</v>
      </c>
      <c r="P411" s="18">
        <f t="shared" si="59"/>
        <v>0</v>
      </c>
      <c r="Q411" s="22" t="s">
        <v>43</v>
      </c>
      <c r="R411" s="23">
        <f t="shared" si="60"/>
        <v>0</v>
      </c>
      <c r="S411" s="23">
        <f t="shared" si="61"/>
        <v>0</v>
      </c>
    </row>
    <row r="412" spans="1:19" s="26" customFormat="1">
      <c r="A412" s="25" t="s">
        <v>403</v>
      </c>
      <c r="B412" s="26" t="s">
        <v>26</v>
      </c>
      <c r="C412" s="27">
        <v>144</v>
      </c>
      <c r="D412" s="28" t="s">
        <v>43</v>
      </c>
      <c r="E412" s="29"/>
      <c r="F412" s="30">
        <v>1</v>
      </c>
      <c r="G412" s="31" t="s">
        <v>21</v>
      </c>
      <c r="H412" s="30">
        <v>144</v>
      </c>
      <c r="I412" s="31" t="s">
        <v>43</v>
      </c>
      <c r="J412" s="32">
        <f>3715200/144</f>
        <v>25800</v>
      </c>
      <c r="K412" s="28" t="s">
        <v>43</v>
      </c>
      <c r="L412" s="33"/>
      <c r="M412" s="33">
        <v>0.17</v>
      </c>
      <c r="N412" s="27">
        <v>12</v>
      </c>
      <c r="O412" s="31" t="s">
        <v>43</v>
      </c>
      <c r="P412" s="27">
        <f t="shared" si="59"/>
        <v>132</v>
      </c>
      <c r="Q412" s="31" t="s">
        <v>43</v>
      </c>
      <c r="R412" s="32">
        <f t="shared" si="60"/>
        <v>2826648</v>
      </c>
      <c r="S412" s="32">
        <f t="shared" si="61"/>
        <v>2546529.7297297297</v>
      </c>
    </row>
    <row r="413" spans="1:19" s="26" customFormat="1">
      <c r="A413" s="94" t="s">
        <v>404</v>
      </c>
      <c r="B413" s="26" t="s">
        <v>26</v>
      </c>
      <c r="C413" s="27">
        <v>161</v>
      </c>
      <c r="D413" s="28" t="s">
        <v>43</v>
      </c>
      <c r="E413" s="29"/>
      <c r="F413" s="30">
        <v>1</v>
      </c>
      <c r="G413" s="31" t="s">
        <v>21</v>
      </c>
      <c r="H413" s="30">
        <v>144</v>
      </c>
      <c r="I413" s="31" t="s">
        <v>43</v>
      </c>
      <c r="J413" s="32">
        <f>3628800/144</f>
        <v>25200</v>
      </c>
      <c r="K413" s="28" t="s">
        <v>43</v>
      </c>
      <c r="L413" s="33"/>
      <c r="M413" s="33">
        <v>0.17</v>
      </c>
      <c r="N413" s="27">
        <v>12</v>
      </c>
      <c r="O413" s="31" t="s">
        <v>43</v>
      </c>
      <c r="P413" s="27">
        <f t="shared" si="59"/>
        <v>149</v>
      </c>
      <c r="Q413" s="31" t="s">
        <v>43</v>
      </c>
      <c r="R413" s="32">
        <f t="shared" si="60"/>
        <v>3116484</v>
      </c>
      <c r="S413" s="32">
        <f t="shared" si="61"/>
        <v>2807643.2432432431</v>
      </c>
    </row>
    <row r="414" spans="1:19">
      <c r="A414" s="93" t="s">
        <v>405</v>
      </c>
      <c r="B414" s="17" t="s">
        <v>26</v>
      </c>
      <c r="C414" s="18"/>
      <c r="D414" s="19" t="s">
        <v>43</v>
      </c>
      <c r="E414" s="20"/>
      <c r="F414" s="21">
        <v>1</v>
      </c>
      <c r="G414" s="22" t="s">
        <v>21</v>
      </c>
      <c r="H414" s="21">
        <v>144</v>
      </c>
      <c r="I414" s="22" t="s">
        <v>43</v>
      </c>
      <c r="J414" s="23">
        <f>3628800/144</f>
        <v>25200</v>
      </c>
      <c r="K414" s="19" t="s">
        <v>43</v>
      </c>
      <c r="L414" s="24"/>
      <c r="M414" s="24">
        <v>0.17</v>
      </c>
      <c r="N414" s="18"/>
      <c r="O414" s="22" t="s">
        <v>43</v>
      </c>
      <c r="P414" s="18">
        <f t="shared" si="59"/>
        <v>0</v>
      </c>
      <c r="Q414" s="22" t="s">
        <v>43</v>
      </c>
      <c r="R414" s="23">
        <f t="shared" si="60"/>
        <v>0</v>
      </c>
      <c r="S414" s="23">
        <f t="shared" si="61"/>
        <v>0</v>
      </c>
    </row>
    <row r="415" spans="1:19" s="17" customFormat="1">
      <c r="A415" s="93" t="s">
        <v>406</v>
      </c>
      <c r="B415" s="17" t="s">
        <v>26</v>
      </c>
      <c r="C415" s="18"/>
      <c r="D415" s="19" t="s">
        <v>43</v>
      </c>
      <c r="E415" s="20">
        <v>1</v>
      </c>
      <c r="F415" s="21">
        <v>1</v>
      </c>
      <c r="G415" s="22" t="s">
        <v>21</v>
      </c>
      <c r="H415" s="21">
        <v>144</v>
      </c>
      <c r="I415" s="22" t="s">
        <v>43</v>
      </c>
      <c r="J415" s="23">
        <f>3628800/144</f>
        <v>25200</v>
      </c>
      <c r="K415" s="19" t="s">
        <v>43</v>
      </c>
      <c r="L415" s="24"/>
      <c r="M415" s="24">
        <v>0.17</v>
      </c>
      <c r="N415" s="18">
        <f>(288-144)</f>
        <v>144</v>
      </c>
      <c r="O415" s="22" t="s">
        <v>43</v>
      </c>
      <c r="P415" s="18">
        <f t="shared" si="59"/>
        <v>0</v>
      </c>
      <c r="Q415" s="22" t="s">
        <v>43</v>
      </c>
      <c r="R415" s="23">
        <f t="shared" si="60"/>
        <v>0</v>
      </c>
      <c r="S415" s="23">
        <f t="shared" si="61"/>
        <v>0</v>
      </c>
    </row>
    <row r="416" spans="1:19" s="45" customFormat="1">
      <c r="A416" s="44" t="s">
        <v>407</v>
      </c>
      <c r="B416" s="45" t="s">
        <v>26</v>
      </c>
      <c r="C416" s="46">
        <f>1415+108</f>
        <v>1523</v>
      </c>
      <c r="D416" s="47" t="s">
        <v>43</v>
      </c>
      <c r="E416" s="48">
        <f>1+(7+2)</f>
        <v>10</v>
      </c>
      <c r="F416" s="49">
        <v>1</v>
      </c>
      <c r="G416" s="50" t="s">
        <v>21</v>
      </c>
      <c r="H416" s="49">
        <v>144</v>
      </c>
      <c r="I416" s="50" t="s">
        <v>43</v>
      </c>
      <c r="J416" s="51">
        <f>5356800/144</f>
        <v>37200</v>
      </c>
      <c r="K416" s="47" t="s">
        <v>43</v>
      </c>
      <c r="L416" s="52"/>
      <c r="M416" s="52">
        <v>0.17</v>
      </c>
      <c r="N416" s="46">
        <f>36+36+(12+12)+72+144+36+36+36+36+36+3+24+12+36+72+72+36+36+36+47+24+24+36+36+36+72+36+24+24+10+144+24+36+24+12+48+36+36+72+24+24</f>
        <v>1668</v>
      </c>
      <c r="O416" s="50" t="s">
        <v>43</v>
      </c>
      <c r="P416" s="46">
        <f t="shared" si="59"/>
        <v>1295</v>
      </c>
      <c r="Q416" s="50" t="s">
        <v>43</v>
      </c>
      <c r="R416" s="51">
        <f t="shared" si="60"/>
        <v>39984420</v>
      </c>
      <c r="S416" s="51">
        <f t="shared" si="61"/>
        <v>36022000</v>
      </c>
    </row>
    <row r="417" spans="1:19">
      <c r="A417" s="34" t="s">
        <v>408</v>
      </c>
      <c r="B417" s="2" t="s">
        <v>26</v>
      </c>
      <c r="C417" s="117">
        <v>72</v>
      </c>
      <c r="D417" s="4" t="s">
        <v>43</v>
      </c>
      <c r="E417" s="5">
        <f>3+1</f>
        <v>4</v>
      </c>
      <c r="F417" s="6">
        <v>1</v>
      </c>
      <c r="G417" s="7" t="s">
        <v>21</v>
      </c>
      <c r="H417" s="6">
        <v>144</v>
      </c>
      <c r="I417" s="7" t="s">
        <v>43</v>
      </c>
      <c r="J417" s="8">
        <f>5356800/144</f>
        <v>37200</v>
      </c>
      <c r="K417" s="4" t="s">
        <v>43</v>
      </c>
      <c r="M417" s="9">
        <v>0.17</v>
      </c>
      <c r="N417" s="3">
        <f>144+288+144</f>
        <v>576</v>
      </c>
      <c r="O417" s="7" t="s">
        <v>43</v>
      </c>
      <c r="P417" s="3">
        <f t="shared" si="59"/>
        <v>72</v>
      </c>
      <c r="Q417" s="7" t="s">
        <v>43</v>
      </c>
      <c r="R417" s="8">
        <f t="shared" si="60"/>
        <v>2223072</v>
      </c>
      <c r="S417" s="8">
        <f t="shared" si="61"/>
        <v>2002767.5675675673</v>
      </c>
    </row>
    <row r="418" spans="1:19" s="26" customFormat="1">
      <c r="A418" s="25" t="s">
        <v>409</v>
      </c>
      <c r="B418" s="26" t="s">
        <v>26</v>
      </c>
      <c r="C418" s="27">
        <v>1583</v>
      </c>
      <c r="D418" s="28" t="s">
        <v>43</v>
      </c>
      <c r="E418" s="29"/>
      <c r="F418" s="30">
        <v>1</v>
      </c>
      <c r="G418" s="31" t="s">
        <v>21</v>
      </c>
      <c r="H418" s="30">
        <v>144</v>
      </c>
      <c r="I418" s="31" t="s">
        <v>43</v>
      </c>
      <c r="J418" s="32">
        <f>5184000/144</f>
        <v>36000</v>
      </c>
      <c r="K418" s="28" t="s">
        <v>43</v>
      </c>
      <c r="L418" s="33"/>
      <c r="M418" s="33">
        <v>0.17</v>
      </c>
      <c r="N418" s="27">
        <f>(144+144+144+144+96)+72+(144+144+144)+48+48</f>
        <v>1272</v>
      </c>
      <c r="O418" s="31" t="s">
        <v>43</v>
      </c>
      <c r="P418" s="27">
        <f t="shared" si="59"/>
        <v>311</v>
      </c>
      <c r="Q418" s="31" t="s">
        <v>43</v>
      </c>
      <c r="R418" s="32">
        <f t="shared" si="60"/>
        <v>9292680</v>
      </c>
      <c r="S418" s="32">
        <f t="shared" si="61"/>
        <v>8371783.7837837832</v>
      </c>
    </row>
    <row r="419" spans="1:19" s="45" customFormat="1">
      <c r="A419" s="44" t="s">
        <v>410</v>
      </c>
      <c r="B419" s="45" t="s">
        <v>26</v>
      </c>
      <c r="C419" s="46">
        <v>56</v>
      </c>
      <c r="D419" s="47" t="s">
        <v>43</v>
      </c>
      <c r="E419" s="48">
        <v>1</v>
      </c>
      <c r="F419" s="49">
        <v>1</v>
      </c>
      <c r="G419" s="50" t="s">
        <v>21</v>
      </c>
      <c r="H419" s="49">
        <v>144</v>
      </c>
      <c r="I419" s="50" t="s">
        <v>43</v>
      </c>
      <c r="J419" s="51">
        <f>5443200/144</f>
        <v>37800</v>
      </c>
      <c r="K419" s="47" t="s">
        <v>43</v>
      </c>
      <c r="L419" s="52"/>
      <c r="M419" s="52">
        <v>0.17</v>
      </c>
      <c r="N419" s="46">
        <f>6+36+36+36+36+36</f>
        <v>186</v>
      </c>
      <c r="O419" s="50" t="s">
        <v>43</v>
      </c>
      <c r="P419" s="46">
        <f t="shared" si="59"/>
        <v>14</v>
      </c>
      <c r="Q419" s="50" t="s">
        <v>43</v>
      </c>
      <c r="R419" s="51">
        <f t="shared" si="60"/>
        <v>439236</v>
      </c>
      <c r="S419" s="51">
        <f t="shared" si="61"/>
        <v>395708.10810810805</v>
      </c>
    </row>
    <row r="420" spans="1:19" s="17" customFormat="1">
      <c r="A420" s="25" t="s">
        <v>411</v>
      </c>
      <c r="B420" s="26" t="s">
        <v>26</v>
      </c>
      <c r="C420" s="27">
        <v>235</v>
      </c>
      <c r="D420" s="28" t="s">
        <v>43</v>
      </c>
      <c r="E420" s="29"/>
      <c r="F420" s="30">
        <v>1</v>
      </c>
      <c r="G420" s="31" t="s">
        <v>21</v>
      </c>
      <c r="H420" s="30">
        <v>144</v>
      </c>
      <c r="I420" s="31" t="s">
        <v>43</v>
      </c>
      <c r="J420" s="32">
        <f>2764800/144</f>
        <v>19200</v>
      </c>
      <c r="K420" s="28" t="s">
        <v>43</v>
      </c>
      <c r="L420" s="33"/>
      <c r="M420" s="33">
        <v>0.17</v>
      </c>
      <c r="N420" s="27">
        <f>24+3+36</f>
        <v>63</v>
      </c>
      <c r="O420" s="31" t="s">
        <v>43</v>
      </c>
      <c r="P420" s="27">
        <f t="shared" si="59"/>
        <v>172</v>
      </c>
      <c r="Q420" s="31" t="s">
        <v>43</v>
      </c>
      <c r="R420" s="32">
        <f t="shared" si="60"/>
        <v>2740992</v>
      </c>
      <c r="S420" s="32">
        <f t="shared" si="61"/>
        <v>2469362.1621621619</v>
      </c>
    </row>
    <row r="421" spans="1:19" s="26" customFormat="1">
      <c r="A421" s="16" t="s">
        <v>412</v>
      </c>
      <c r="B421" s="17" t="s">
        <v>26</v>
      </c>
      <c r="C421" s="18"/>
      <c r="D421" s="19" t="s">
        <v>43</v>
      </c>
      <c r="E421" s="20"/>
      <c r="F421" s="21">
        <v>1</v>
      </c>
      <c r="G421" s="22" t="s">
        <v>21</v>
      </c>
      <c r="H421" s="21">
        <v>144</v>
      </c>
      <c r="I421" s="22" t="s">
        <v>43</v>
      </c>
      <c r="J421" s="23">
        <f>2764800/144</f>
        <v>19200</v>
      </c>
      <c r="K421" s="19" t="s">
        <v>43</v>
      </c>
      <c r="L421" s="24"/>
      <c r="M421" s="24">
        <v>0.17</v>
      </c>
      <c r="N421" s="18"/>
      <c r="O421" s="22" t="s">
        <v>43</v>
      </c>
      <c r="P421" s="18">
        <f t="shared" si="59"/>
        <v>0</v>
      </c>
      <c r="Q421" s="22" t="s">
        <v>43</v>
      </c>
      <c r="R421" s="23">
        <f t="shared" si="60"/>
        <v>0</v>
      </c>
      <c r="S421" s="23">
        <f t="shared" si="61"/>
        <v>0</v>
      </c>
    </row>
    <row r="422" spans="1:19" s="26" customFormat="1">
      <c r="A422" s="16" t="s">
        <v>413</v>
      </c>
      <c r="B422" s="17" t="s">
        <v>26</v>
      </c>
      <c r="C422" s="18"/>
      <c r="D422" s="19" t="s">
        <v>43</v>
      </c>
      <c r="E422" s="20"/>
      <c r="F422" s="21">
        <v>1</v>
      </c>
      <c r="G422" s="22" t="s">
        <v>21</v>
      </c>
      <c r="H422" s="21">
        <v>144</v>
      </c>
      <c r="I422" s="22" t="s">
        <v>43</v>
      </c>
      <c r="J422" s="23">
        <v>23400</v>
      </c>
      <c r="K422" s="19" t="s">
        <v>43</v>
      </c>
      <c r="L422" s="24"/>
      <c r="M422" s="24">
        <v>0.17</v>
      </c>
      <c r="N422" s="18"/>
      <c r="O422" s="22" t="s">
        <v>43</v>
      </c>
      <c r="P422" s="18">
        <f t="shared" si="59"/>
        <v>0</v>
      </c>
      <c r="Q422" s="22" t="s">
        <v>43</v>
      </c>
      <c r="R422" s="23">
        <f t="shared" si="60"/>
        <v>0</v>
      </c>
      <c r="S422" s="23">
        <f t="shared" si="61"/>
        <v>0</v>
      </c>
    </row>
    <row r="423" spans="1:19" s="17" customFormat="1">
      <c r="A423" s="16" t="s">
        <v>414</v>
      </c>
      <c r="B423" s="17" t="s">
        <v>26</v>
      </c>
      <c r="C423" s="18"/>
      <c r="D423" s="19" t="s">
        <v>43</v>
      </c>
      <c r="E423" s="20"/>
      <c r="F423" s="21">
        <v>1</v>
      </c>
      <c r="G423" s="22" t="s">
        <v>21</v>
      </c>
      <c r="H423" s="21">
        <v>144</v>
      </c>
      <c r="I423" s="22" t="s">
        <v>43</v>
      </c>
      <c r="J423" s="23">
        <v>25800</v>
      </c>
      <c r="K423" s="19" t="s">
        <v>43</v>
      </c>
      <c r="L423" s="24"/>
      <c r="M423" s="24">
        <v>0.17</v>
      </c>
      <c r="N423" s="18"/>
      <c r="O423" s="22" t="s">
        <v>43</v>
      </c>
      <c r="P423" s="18">
        <f t="shared" si="59"/>
        <v>0</v>
      </c>
      <c r="Q423" s="22" t="s">
        <v>43</v>
      </c>
      <c r="R423" s="23">
        <f t="shared" si="60"/>
        <v>0</v>
      </c>
      <c r="S423" s="23">
        <f t="shared" si="61"/>
        <v>0</v>
      </c>
    </row>
    <row r="424" spans="1:19" s="45" customFormat="1">
      <c r="A424" s="44" t="s">
        <v>415</v>
      </c>
      <c r="B424" s="45" t="s">
        <v>26</v>
      </c>
      <c r="C424" s="46">
        <f>336+108</f>
        <v>444</v>
      </c>
      <c r="D424" s="47" t="s">
        <v>43</v>
      </c>
      <c r="E424" s="48"/>
      <c r="F424" s="49">
        <v>1</v>
      </c>
      <c r="G424" s="50" t="s">
        <v>21</v>
      </c>
      <c r="H424" s="49">
        <v>144</v>
      </c>
      <c r="I424" s="50" t="s">
        <v>43</v>
      </c>
      <c r="J424" s="51">
        <f>3369600/144</f>
        <v>23400</v>
      </c>
      <c r="K424" s="47" t="s">
        <v>43</v>
      </c>
      <c r="L424" s="52"/>
      <c r="M424" s="52">
        <v>0.17</v>
      </c>
      <c r="N424" s="46">
        <f>24+48+24+12+12</f>
        <v>120</v>
      </c>
      <c r="O424" s="50" t="s">
        <v>43</v>
      </c>
      <c r="P424" s="46">
        <f t="shared" si="59"/>
        <v>324</v>
      </c>
      <c r="Q424" s="50" t="s">
        <v>43</v>
      </c>
      <c r="R424" s="51">
        <f t="shared" si="60"/>
        <v>6292728</v>
      </c>
      <c r="S424" s="51">
        <f t="shared" si="61"/>
        <v>5669124.3243243238</v>
      </c>
    </row>
    <row r="425" spans="1:19" s="45" customFormat="1">
      <c r="A425" s="44" t="s">
        <v>416</v>
      </c>
      <c r="B425" s="45" t="s">
        <v>26</v>
      </c>
      <c r="C425" s="46">
        <v>1908</v>
      </c>
      <c r="D425" s="47" t="s">
        <v>43</v>
      </c>
      <c r="E425" s="48">
        <f>5+(5+5)+2</f>
        <v>17</v>
      </c>
      <c r="F425" s="49">
        <v>1</v>
      </c>
      <c r="G425" s="50" t="s">
        <v>21</v>
      </c>
      <c r="H425" s="49">
        <v>144</v>
      </c>
      <c r="I425" s="50" t="s">
        <v>43</v>
      </c>
      <c r="J425" s="51">
        <f>3110400/144</f>
        <v>21600</v>
      </c>
      <c r="K425" s="47" t="s">
        <v>43</v>
      </c>
      <c r="L425" s="52"/>
      <c r="M425" s="52">
        <v>0.17</v>
      </c>
      <c r="N425" s="46">
        <f>36+144+36+144+36+144+144+144+24+36+36+36+144+36+144+36+144+144</f>
        <v>1608</v>
      </c>
      <c r="O425" s="50" t="s">
        <v>43</v>
      </c>
      <c r="P425" s="46">
        <f t="shared" si="59"/>
        <v>2748</v>
      </c>
      <c r="Q425" s="50" t="s">
        <v>43</v>
      </c>
      <c r="R425" s="51">
        <f t="shared" si="60"/>
        <v>49266144</v>
      </c>
      <c r="S425" s="51">
        <f t="shared" si="61"/>
        <v>44383913.513513513</v>
      </c>
    </row>
    <row r="426" spans="1:19" s="45" customFormat="1">
      <c r="A426" s="44" t="s">
        <v>417</v>
      </c>
      <c r="B426" s="45" t="s">
        <v>26</v>
      </c>
      <c r="C426" s="46">
        <v>144</v>
      </c>
      <c r="D426" s="47" t="s">
        <v>43</v>
      </c>
      <c r="E426" s="48">
        <v>2</v>
      </c>
      <c r="F426" s="49">
        <v>1</v>
      </c>
      <c r="G426" s="50" t="s">
        <v>21</v>
      </c>
      <c r="H426" s="49">
        <v>144</v>
      </c>
      <c r="I426" s="50" t="s">
        <v>43</v>
      </c>
      <c r="J426" s="51">
        <f>3628800/144</f>
        <v>25200</v>
      </c>
      <c r="K426" s="47" t="s">
        <v>43</v>
      </c>
      <c r="L426" s="52"/>
      <c r="M426" s="52">
        <v>0.17</v>
      </c>
      <c r="N426" s="46">
        <f>144+144</f>
        <v>288</v>
      </c>
      <c r="O426" s="50" t="s">
        <v>43</v>
      </c>
      <c r="P426" s="46">
        <f t="shared" si="59"/>
        <v>144</v>
      </c>
      <c r="Q426" s="50" t="s">
        <v>43</v>
      </c>
      <c r="R426" s="51">
        <f t="shared" si="60"/>
        <v>3011904</v>
      </c>
      <c r="S426" s="51">
        <f t="shared" si="61"/>
        <v>2713427.0270270268</v>
      </c>
    </row>
    <row r="427" spans="1:19" s="26" customFormat="1">
      <c r="A427" s="34" t="s">
        <v>418</v>
      </c>
      <c r="B427" s="2" t="s">
        <v>26</v>
      </c>
      <c r="C427" s="3">
        <v>132</v>
      </c>
      <c r="D427" s="4" t="s">
        <v>43</v>
      </c>
      <c r="E427" s="5"/>
      <c r="F427" s="6">
        <v>1</v>
      </c>
      <c r="G427" s="7" t="s">
        <v>21</v>
      </c>
      <c r="H427" s="6">
        <v>144</v>
      </c>
      <c r="I427" s="7" t="s">
        <v>43</v>
      </c>
      <c r="J427" s="8">
        <f>5270400/144</f>
        <v>36600</v>
      </c>
      <c r="K427" s="4" t="s">
        <v>43</v>
      </c>
      <c r="L427" s="9">
        <v>0.05</v>
      </c>
      <c r="M427" s="9">
        <v>0.17</v>
      </c>
      <c r="N427" s="3">
        <f>((36+36+36)/12)+24</f>
        <v>33</v>
      </c>
      <c r="O427" s="7" t="s">
        <v>43</v>
      </c>
      <c r="P427" s="3">
        <f t="shared" si="59"/>
        <v>99</v>
      </c>
      <c r="Q427" s="7" t="s">
        <v>43</v>
      </c>
      <c r="R427" s="8">
        <f t="shared" si="60"/>
        <v>2857050.9</v>
      </c>
      <c r="S427" s="32">
        <f t="shared" si="61"/>
        <v>2573919.7297297292</v>
      </c>
    </row>
    <row r="428" spans="1:19" s="26" customFormat="1">
      <c r="A428" s="34" t="s">
        <v>419</v>
      </c>
      <c r="B428" s="2" t="s">
        <v>26</v>
      </c>
      <c r="C428" s="3">
        <v>135</v>
      </c>
      <c r="D428" s="4" t="s">
        <v>43</v>
      </c>
      <c r="E428" s="5"/>
      <c r="F428" s="6">
        <v>1</v>
      </c>
      <c r="G428" s="7" t="s">
        <v>21</v>
      </c>
      <c r="H428" s="6">
        <v>144</v>
      </c>
      <c r="I428" s="7" t="s">
        <v>43</v>
      </c>
      <c r="J428" s="8">
        <f>5616000/144</f>
        <v>39000</v>
      </c>
      <c r="K428" s="4" t="s">
        <v>43</v>
      </c>
      <c r="L428" s="9">
        <v>0.05</v>
      </c>
      <c r="M428" s="9">
        <v>0.17</v>
      </c>
      <c r="N428" s="3"/>
      <c r="O428" s="7" t="s">
        <v>43</v>
      </c>
      <c r="P428" s="3">
        <f t="shared" si="59"/>
        <v>135</v>
      </c>
      <c r="Q428" s="7" t="s">
        <v>43</v>
      </c>
      <c r="R428" s="8">
        <f t="shared" si="60"/>
        <v>4151452.5</v>
      </c>
      <c r="S428" s="32">
        <f t="shared" si="61"/>
        <v>3740047.297297297</v>
      </c>
    </row>
    <row r="429" spans="1:19" s="26" customFormat="1">
      <c r="A429" s="34" t="s">
        <v>420</v>
      </c>
      <c r="B429" s="2" t="s">
        <v>26</v>
      </c>
      <c r="C429" s="3">
        <v>56</v>
      </c>
      <c r="D429" s="4" t="s">
        <v>43</v>
      </c>
      <c r="E429" s="5"/>
      <c r="F429" s="6">
        <v>1</v>
      </c>
      <c r="G429" s="7" t="s">
        <v>21</v>
      </c>
      <c r="H429" s="6">
        <v>144</v>
      </c>
      <c r="I429" s="7" t="s">
        <v>43</v>
      </c>
      <c r="J429" s="8">
        <f>5616000/144</f>
        <v>39000</v>
      </c>
      <c r="K429" s="4" t="s">
        <v>43</v>
      </c>
      <c r="L429" s="9">
        <v>0.05</v>
      </c>
      <c r="M429" s="9">
        <v>0.17</v>
      </c>
      <c r="N429" s="3">
        <v>36</v>
      </c>
      <c r="O429" s="7" t="s">
        <v>43</v>
      </c>
      <c r="P429" s="3">
        <f t="shared" si="59"/>
        <v>20</v>
      </c>
      <c r="Q429" s="7" t="s">
        <v>43</v>
      </c>
      <c r="R429" s="8">
        <f t="shared" si="60"/>
        <v>615030</v>
      </c>
      <c r="S429" s="32">
        <f t="shared" si="61"/>
        <v>554081.08108108107</v>
      </c>
    </row>
    <row r="430" spans="1:19" s="26" customFormat="1">
      <c r="A430" s="25" t="s">
        <v>421</v>
      </c>
      <c r="B430" s="26" t="s">
        <v>275</v>
      </c>
      <c r="C430" s="27"/>
      <c r="D430" s="28" t="s">
        <v>43</v>
      </c>
      <c r="E430" s="29">
        <v>1</v>
      </c>
      <c r="F430" s="30">
        <v>1</v>
      </c>
      <c r="G430" s="31" t="s">
        <v>21</v>
      </c>
      <c r="H430" s="30">
        <v>120</v>
      </c>
      <c r="I430" s="31" t="s">
        <v>43</v>
      </c>
      <c r="J430" s="32">
        <v>25500</v>
      </c>
      <c r="K430" s="28" t="s">
        <v>43</v>
      </c>
      <c r="L430" s="33"/>
      <c r="M430" s="33"/>
      <c r="N430" s="27">
        <v>120</v>
      </c>
      <c r="O430" s="31" t="s">
        <v>43</v>
      </c>
      <c r="P430" s="27">
        <f>(C430+(E430*F430*H430))-N430</f>
        <v>0</v>
      </c>
      <c r="Q430" s="31" t="s">
        <v>43</v>
      </c>
      <c r="R430" s="32">
        <f>P430*(J430-(J430*L430)-((J430-(J430*L430))*M430))</f>
        <v>0</v>
      </c>
      <c r="S430" s="32">
        <f t="shared" si="61"/>
        <v>0</v>
      </c>
    </row>
    <row r="431" spans="1:19" s="17" customFormat="1">
      <c r="A431" s="25" t="s">
        <v>422</v>
      </c>
      <c r="B431" s="26" t="s">
        <v>275</v>
      </c>
      <c r="C431" s="27">
        <v>288</v>
      </c>
      <c r="D431" s="28" t="s">
        <v>43</v>
      </c>
      <c r="E431" s="29">
        <v>2</v>
      </c>
      <c r="F431" s="30">
        <v>1</v>
      </c>
      <c r="G431" s="31" t="s">
        <v>21</v>
      </c>
      <c r="H431" s="30">
        <v>144</v>
      </c>
      <c r="I431" s="31" t="s">
        <v>43</v>
      </c>
      <c r="J431" s="32">
        <v>21000</v>
      </c>
      <c r="K431" s="28" t="s">
        <v>43</v>
      </c>
      <c r="L431" s="33"/>
      <c r="M431" s="33"/>
      <c r="N431" s="27">
        <v>288</v>
      </c>
      <c r="O431" s="31" t="s">
        <v>43</v>
      </c>
      <c r="P431" s="27">
        <f>(C431+(E431*F431*H431))-N431</f>
        <v>288</v>
      </c>
      <c r="Q431" s="31" t="s">
        <v>43</v>
      </c>
      <c r="R431" s="32">
        <f>P431*(J431-(J431*L431)-((J431-(J431*L431))*M431))</f>
        <v>6048000</v>
      </c>
      <c r="S431" s="32">
        <f t="shared" si="61"/>
        <v>5448648.6486486485</v>
      </c>
    </row>
    <row r="432" spans="1:19" s="17" customFormat="1">
      <c r="A432" s="16" t="s">
        <v>423</v>
      </c>
      <c r="B432" s="17" t="s">
        <v>275</v>
      </c>
      <c r="C432" s="18"/>
      <c r="D432" s="19" t="s">
        <v>43</v>
      </c>
      <c r="E432" s="20"/>
      <c r="F432" s="21">
        <v>1</v>
      </c>
      <c r="G432" s="22" t="s">
        <v>21</v>
      </c>
      <c r="H432" s="21">
        <v>144</v>
      </c>
      <c r="I432" s="22" t="s">
        <v>43</v>
      </c>
      <c r="J432" s="23">
        <v>26000</v>
      </c>
      <c r="K432" s="19" t="s">
        <v>43</v>
      </c>
      <c r="L432" s="24"/>
      <c r="M432" s="24"/>
      <c r="N432" s="18"/>
      <c r="O432" s="22" t="s">
        <v>43</v>
      </c>
      <c r="P432" s="18">
        <f t="shared" ref="P432:P459" si="62">(C432+(E432*F432*H432))-N432</f>
        <v>0</v>
      </c>
      <c r="Q432" s="22" t="s">
        <v>43</v>
      </c>
      <c r="R432" s="23">
        <f t="shared" ref="R432:R459" si="63">P432*(J432-(J432*L432)-((J432-(J432*L432))*M432))</f>
        <v>0</v>
      </c>
      <c r="S432" s="23">
        <f t="shared" si="61"/>
        <v>0</v>
      </c>
    </row>
    <row r="433" spans="1:19" s="26" customFormat="1">
      <c r="A433" s="25" t="s">
        <v>424</v>
      </c>
      <c r="B433" s="26" t="s">
        <v>275</v>
      </c>
      <c r="C433" s="27">
        <v>864</v>
      </c>
      <c r="D433" s="28" t="s">
        <v>43</v>
      </c>
      <c r="E433" s="29"/>
      <c r="F433" s="30">
        <v>1</v>
      </c>
      <c r="G433" s="31" t="s">
        <v>21</v>
      </c>
      <c r="H433" s="30">
        <v>96</v>
      </c>
      <c r="I433" s="31" t="s">
        <v>43</v>
      </c>
      <c r="J433" s="32">
        <v>29500</v>
      </c>
      <c r="K433" s="28" t="s">
        <v>43</v>
      </c>
      <c r="L433" s="33"/>
      <c r="M433" s="33"/>
      <c r="N433" s="27">
        <v>60</v>
      </c>
      <c r="O433" s="31" t="s">
        <v>43</v>
      </c>
      <c r="P433" s="27">
        <f t="shared" si="62"/>
        <v>804</v>
      </c>
      <c r="Q433" s="31" t="s">
        <v>43</v>
      </c>
      <c r="R433" s="32">
        <f t="shared" si="63"/>
        <v>23718000</v>
      </c>
      <c r="S433" s="32">
        <f t="shared" si="61"/>
        <v>21367567.567567565</v>
      </c>
    </row>
    <row r="434" spans="1:19" s="17" customFormat="1">
      <c r="A434" s="16" t="s">
        <v>425</v>
      </c>
      <c r="B434" s="17" t="s">
        <v>275</v>
      </c>
      <c r="C434" s="18"/>
      <c r="D434" s="19" t="s">
        <v>43</v>
      </c>
      <c r="E434" s="20"/>
      <c r="F434" s="21">
        <v>1</v>
      </c>
      <c r="G434" s="22" t="s">
        <v>21</v>
      </c>
      <c r="H434" s="21">
        <v>144</v>
      </c>
      <c r="I434" s="22" t="s">
        <v>43</v>
      </c>
      <c r="J434" s="23">
        <f>31818+(31818*10%)</f>
        <v>34999.800000000003</v>
      </c>
      <c r="K434" s="19" t="s">
        <v>43</v>
      </c>
      <c r="L434" s="24"/>
      <c r="M434" s="24"/>
      <c r="N434" s="18"/>
      <c r="O434" s="22" t="s">
        <v>43</v>
      </c>
      <c r="P434" s="18">
        <f t="shared" si="62"/>
        <v>0</v>
      </c>
      <c r="Q434" s="22" t="s">
        <v>43</v>
      </c>
      <c r="R434" s="23">
        <f t="shared" si="63"/>
        <v>0</v>
      </c>
      <c r="S434" s="23">
        <f t="shared" si="61"/>
        <v>0</v>
      </c>
    </row>
    <row r="435" spans="1:19" s="17" customFormat="1">
      <c r="A435" s="16" t="s">
        <v>426</v>
      </c>
      <c r="B435" s="17" t="s">
        <v>275</v>
      </c>
      <c r="C435" s="18"/>
      <c r="D435" s="19" t="s">
        <v>43</v>
      </c>
      <c r="E435" s="20"/>
      <c r="F435" s="21">
        <v>1</v>
      </c>
      <c r="G435" s="22" t="s">
        <v>21</v>
      </c>
      <c r="H435" s="21">
        <v>144</v>
      </c>
      <c r="I435" s="22" t="s">
        <v>43</v>
      </c>
      <c r="J435" s="23">
        <v>16175</v>
      </c>
      <c r="K435" s="19" t="s">
        <v>43</v>
      </c>
      <c r="L435" s="24"/>
      <c r="M435" s="24"/>
      <c r="N435" s="18"/>
      <c r="O435" s="22" t="s">
        <v>43</v>
      </c>
      <c r="P435" s="18">
        <f t="shared" si="62"/>
        <v>0</v>
      </c>
      <c r="Q435" s="22" t="s">
        <v>43</v>
      </c>
      <c r="R435" s="23">
        <f t="shared" si="63"/>
        <v>0</v>
      </c>
      <c r="S435" s="23">
        <f t="shared" si="61"/>
        <v>0</v>
      </c>
    </row>
    <row r="436" spans="1:19" s="17" customFormat="1">
      <c r="A436" s="16" t="s">
        <v>427</v>
      </c>
      <c r="B436" s="17" t="s">
        <v>275</v>
      </c>
      <c r="C436" s="18"/>
      <c r="D436" s="19" t="s">
        <v>43</v>
      </c>
      <c r="E436" s="20">
        <v>1</v>
      </c>
      <c r="F436" s="21">
        <v>1</v>
      </c>
      <c r="G436" s="22" t="s">
        <v>21</v>
      </c>
      <c r="H436" s="21">
        <v>144</v>
      </c>
      <c r="I436" s="22" t="s">
        <v>43</v>
      </c>
      <c r="J436" s="23">
        <v>16175</v>
      </c>
      <c r="K436" s="19" t="s">
        <v>43</v>
      </c>
      <c r="L436" s="24"/>
      <c r="M436" s="24"/>
      <c r="N436" s="18">
        <v>144</v>
      </c>
      <c r="O436" s="22" t="s">
        <v>43</v>
      </c>
      <c r="P436" s="18">
        <f t="shared" si="62"/>
        <v>0</v>
      </c>
      <c r="Q436" s="22" t="s">
        <v>43</v>
      </c>
      <c r="R436" s="23">
        <f t="shared" si="63"/>
        <v>0</v>
      </c>
      <c r="S436" s="23">
        <f t="shared" si="61"/>
        <v>0</v>
      </c>
    </row>
    <row r="437" spans="1:19" s="17" customFormat="1">
      <c r="A437" s="16" t="s">
        <v>428</v>
      </c>
      <c r="B437" s="17" t="s">
        <v>275</v>
      </c>
      <c r="C437" s="18"/>
      <c r="D437" s="19" t="s">
        <v>43</v>
      </c>
      <c r="E437" s="20"/>
      <c r="F437" s="21">
        <v>1</v>
      </c>
      <c r="G437" s="22" t="s">
        <v>21</v>
      </c>
      <c r="H437" s="21">
        <v>144</v>
      </c>
      <c r="I437" s="22" t="s">
        <v>43</v>
      </c>
      <c r="J437" s="23">
        <f t="shared" ref="J437:J441" si="64">15682+(15682*10%)</f>
        <v>17250.2</v>
      </c>
      <c r="K437" s="19" t="s">
        <v>43</v>
      </c>
      <c r="L437" s="24"/>
      <c r="M437" s="24"/>
      <c r="N437" s="18"/>
      <c r="O437" s="22" t="s">
        <v>43</v>
      </c>
      <c r="P437" s="18">
        <f t="shared" si="62"/>
        <v>0</v>
      </c>
      <c r="Q437" s="22" t="s">
        <v>43</v>
      </c>
      <c r="R437" s="23">
        <f t="shared" si="63"/>
        <v>0</v>
      </c>
      <c r="S437" s="23">
        <f t="shared" si="61"/>
        <v>0</v>
      </c>
    </row>
    <row r="438" spans="1:19" s="17" customFormat="1">
      <c r="A438" s="16" t="s">
        <v>429</v>
      </c>
      <c r="B438" s="17" t="s">
        <v>275</v>
      </c>
      <c r="C438" s="18">
        <v>168</v>
      </c>
      <c r="D438" s="19" t="s">
        <v>43</v>
      </c>
      <c r="E438" s="20"/>
      <c r="F438" s="21">
        <v>1</v>
      </c>
      <c r="G438" s="22" t="s">
        <v>21</v>
      </c>
      <c r="H438" s="21">
        <v>144</v>
      </c>
      <c r="I438" s="22" t="s">
        <v>43</v>
      </c>
      <c r="J438" s="23">
        <f t="shared" si="64"/>
        <v>17250.2</v>
      </c>
      <c r="K438" s="19" t="s">
        <v>43</v>
      </c>
      <c r="L438" s="24"/>
      <c r="M438" s="24"/>
      <c r="N438" s="18">
        <f>144+24</f>
        <v>168</v>
      </c>
      <c r="O438" s="22" t="s">
        <v>43</v>
      </c>
      <c r="P438" s="18">
        <f t="shared" si="62"/>
        <v>0</v>
      </c>
      <c r="Q438" s="22" t="s">
        <v>43</v>
      </c>
      <c r="R438" s="23">
        <f t="shared" si="63"/>
        <v>0</v>
      </c>
      <c r="S438" s="23">
        <f t="shared" si="61"/>
        <v>0</v>
      </c>
    </row>
    <row r="439" spans="1:19" s="17" customFormat="1">
      <c r="A439" s="16" t="s">
        <v>430</v>
      </c>
      <c r="B439" s="17" t="s">
        <v>275</v>
      </c>
      <c r="C439" s="18"/>
      <c r="D439" s="19" t="s">
        <v>43</v>
      </c>
      <c r="E439" s="20"/>
      <c r="F439" s="21">
        <v>1</v>
      </c>
      <c r="G439" s="22" t="s">
        <v>21</v>
      </c>
      <c r="H439" s="21">
        <v>144</v>
      </c>
      <c r="I439" s="22" t="s">
        <v>43</v>
      </c>
      <c r="J439" s="23">
        <f t="shared" si="64"/>
        <v>17250.2</v>
      </c>
      <c r="K439" s="19" t="s">
        <v>43</v>
      </c>
      <c r="L439" s="24"/>
      <c r="M439" s="24"/>
      <c r="N439" s="18"/>
      <c r="O439" s="22" t="s">
        <v>43</v>
      </c>
      <c r="P439" s="18">
        <f t="shared" si="62"/>
        <v>0</v>
      </c>
      <c r="Q439" s="22" t="s">
        <v>43</v>
      </c>
      <c r="R439" s="23">
        <f t="shared" si="63"/>
        <v>0</v>
      </c>
      <c r="S439" s="23">
        <f t="shared" si="61"/>
        <v>0</v>
      </c>
    </row>
    <row r="440" spans="1:19" s="17" customFormat="1">
      <c r="A440" s="16" t="s">
        <v>431</v>
      </c>
      <c r="B440" s="17" t="s">
        <v>275</v>
      </c>
      <c r="C440" s="18"/>
      <c r="D440" s="19" t="s">
        <v>43</v>
      </c>
      <c r="E440" s="20"/>
      <c r="F440" s="21">
        <v>1</v>
      </c>
      <c r="G440" s="22" t="s">
        <v>21</v>
      </c>
      <c r="H440" s="21">
        <v>144</v>
      </c>
      <c r="I440" s="22" t="s">
        <v>43</v>
      </c>
      <c r="J440" s="23">
        <f t="shared" si="64"/>
        <v>17250.2</v>
      </c>
      <c r="K440" s="19" t="s">
        <v>43</v>
      </c>
      <c r="L440" s="24"/>
      <c r="M440" s="24"/>
      <c r="N440" s="18"/>
      <c r="O440" s="22" t="s">
        <v>43</v>
      </c>
      <c r="P440" s="18">
        <f t="shared" si="62"/>
        <v>0</v>
      </c>
      <c r="Q440" s="22" t="s">
        <v>43</v>
      </c>
      <c r="R440" s="23">
        <f t="shared" si="63"/>
        <v>0</v>
      </c>
      <c r="S440" s="23">
        <f t="shared" si="61"/>
        <v>0</v>
      </c>
    </row>
    <row r="441" spans="1:19" s="17" customFormat="1">
      <c r="A441" s="16" t="s">
        <v>432</v>
      </c>
      <c r="B441" s="17" t="s">
        <v>275</v>
      </c>
      <c r="C441" s="18">
        <v>144</v>
      </c>
      <c r="D441" s="19" t="s">
        <v>43</v>
      </c>
      <c r="E441" s="20"/>
      <c r="F441" s="21">
        <v>1</v>
      </c>
      <c r="G441" s="22" t="s">
        <v>21</v>
      </c>
      <c r="H441" s="21">
        <v>144</v>
      </c>
      <c r="I441" s="22" t="s">
        <v>43</v>
      </c>
      <c r="J441" s="23">
        <f t="shared" si="64"/>
        <v>17250.2</v>
      </c>
      <c r="K441" s="19" t="s">
        <v>43</v>
      </c>
      <c r="L441" s="24"/>
      <c r="M441" s="24"/>
      <c r="N441" s="18">
        <v>144</v>
      </c>
      <c r="O441" s="22" t="s">
        <v>43</v>
      </c>
      <c r="P441" s="18">
        <f t="shared" si="62"/>
        <v>0</v>
      </c>
      <c r="Q441" s="22" t="s">
        <v>43</v>
      </c>
      <c r="R441" s="23">
        <f t="shared" si="63"/>
        <v>0</v>
      </c>
      <c r="S441" s="23">
        <f t="shared" si="61"/>
        <v>0</v>
      </c>
    </row>
    <row r="442" spans="1:19" s="17" customFormat="1">
      <c r="A442" s="16" t="s">
        <v>433</v>
      </c>
      <c r="B442" s="17" t="s">
        <v>275</v>
      </c>
      <c r="C442" s="18"/>
      <c r="D442" s="19" t="s">
        <v>43</v>
      </c>
      <c r="E442" s="20">
        <v>1</v>
      </c>
      <c r="F442" s="21">
        <v>1</v>
      </c>
      <c r="G442" s="22" t="s">
        <v>21</v>
      </c>
      <c r="H442" s="21">
        <v>144</v>
      </c>
      <c r="I442" s="22" t="s">
        <v>43</v>
      </c>
      <c r="J442" s="23">
        <v>16175</v>
      </c>
      <c r="K442" s="19" t="s">
        <v>43</v>
      </c>
      <c r="L442" s="24"/>
      <c r="M442" s="24"/>
      <c r="N442" s="18">
        <v>144</v>
      </c>
      <c r="O442" s="22" t="s">
        <v>43</v>
      </c>
      <c r="P442" s="18">
        <f t="shared" si="62"/>
        <v>0</v>
      </c>
      <c r="Q442" s="22" t="s">
        <v>43</v>
      </c>
      <c r="R442" s="23">
        <f t="shared" si="63"/>
        <v>0</v>
      </c>
      <c r="S442" s="23">
        <f t="shared" si="61"/>
        <v>0</v>
      </c>
    </row>
    <row r="443" spans="1:19" s="26" customFormat="1">
      <c r="A443" s="16" t="s">
        <v>434</v>
      </c>
      <c r="B443" s="17" t="s">
        <v>275</v>
      </c>
      <c r="C443" s="18"/>
      <c r="D443" s="19" t="s">
        <v>43</v>
      </c>
      <c r="E443" s="20"/>
      <c r="F443" s="21">
        <v>1</v>
      </c>
      <c r="G443" s="22" t="s">
        <v>21</v>
      </c>
      <c r="H443" s="21">
        <v>144</v>
      </c>
      <c r="I443" s="22" t="s">
        <v>43</v>
      </c>
      <c r="J443" s="23">
        <f t="shared" ref="J443:J457" si="65">15682+(15682*10%)</f>
        <v>17250.2</v>
      </c>
      <c r="K443" s="19" t="s">
        <v>43</v>
      </c>
      <c r="L443" s="24"/>
      <c r="M443" s="24"/>
      <c r="N443" s="18"/>
      <c r="O443" s="22" t="s">
        <v>43</v>
      </c>
      <c r="P443" s="18">
        <f t="shared" si="62"/>
        <v>0</v>
      </c>
      <c r="Q443" s="22" t="s">
        <v>43</v>
      </c>
      <c r="R443" s="23">
        <f t="shared" si="63"/>
        <v>0</v>
      </c>
      <c r="S443" s="23">
        <f t="shared" si="61"/>
        <v>0</v>
      </c>
    </row>
    <row r="444" spans="1:19" s="26" customFormat="1">
      <c r="A444" s="16" t="s">
        <v>435</v>
      </c>
      <c r="B444" s="17" t="s">
        <v>275</v>
      </c>
      <c r="C444" s="18"/>
      <c r="D444" s="19" t="s">
        <v>43</v>
      </c>
      <c r="E444" s="20"/>
      <c r="F444" s="21">
        <v>1</v>
      </c>
      <c r="G444" s="22" t="s">
        <v>21</v>
      </c>
      <c r="H444" s="21">
        <v>144</v>
      </c>
      <c r="I444" s="22" t="s">
        <v>43</v>
      </c>
      <c r="J444" s="23">
        <f t="shared" si="65"/>
        <v>17250.2</v>
      </c>
      <c r="K444" s="19" t="s">
        <v>43</v>
      </c>
      <c r="L444" s="24"/>
      <c r="M444" s="24"/>
      <c r="N444" s="18"/>
      <c r="O444" s="22" t="s">
        <v>43</v>
      </c>
      <c r="P444" s="18">
        <f t="shared" si="62"/>
        <v>0</v>
      </c>
      <c r="Q444" s="22" t="s">
        <v>43</v>
      </c>
      <c r="R444" s="23">
        <f t="shared" si="63"/>
        <v>0</v>
      </c>
      <c r="S444" s="23">
        <f t="shared" si="61"/>
        <v>0</v>
      </c>
    </row>
    <row r="445" spans="1:19" s="17" customFormat="1">
      <c r="A445" s="16" t="s">
        <v>436</v>
      </c>
      <c r="B445" s="17" t="s">
        <v>275</v>
      </c>
      <c r="C445" s="18">
        <v>144</v>
      </c>
      <c r="D445" s="19" t="s">
        <v>43</v>
      </c>
      <c r="E445" s="20"/>
      <c r="F445" s="21">
        <v>1</v>
      </c>
      <c r="G445" s="22" t="s">
        <v>21</v>
      </c>
      <c r="H445" s="21">
        <v>144</v>
      </c>
      <c r="I445" s="22" t="s">
        <v>43</v>
      </c>
      <c r="J445" s="23">
        <f t="shared" si="65"/>
        <v>17250.2</v>
      </c>
      <c r="K445" s="19" t="s">
        <v>43</v>
      </c>
      <c r="L445" s="24"/>
      <c r="M445" s="24"/>
      <c r="N445" s="18">
        <v>144</v>
      </c>
      <c r="O445" s="22" t="s">
        <v>43</v>
      </c>
      <c r="P445" s="18">
        <f t="shared" si="62"/>
        <v>0</v>
      </c>
      <c r="Q445" s="22" t="s">
        <v>43</v>
      </c>
      <c r="R445" s="23">
        <f t="shared" si="63"/>
        <v>0</v>
      </c>
      <c r="S445" s="23">
        <f t="shared" si="61"/>
        <v>0</v>
      </c>
    </row>
    <row r="446" spans="1:19" s="17" customFormat="1">
      <c r="A446" s="16" t="s">
        <v>437</v>
      </c>
      <c r="B446" s="17" t="s">
        <v>275</v>
      </c>
      <c r="C446" s="18"/>
      <c r="D446" s="19" t="s">
        <v>43</v>
      </c>
      <c r="E446" s="20"/>
      <c r="F446" s="21">
        <v>1</v>
      </c>
      <c r="G446" s="22" t="s">
        <v>21</v>
      </c>
      <c r="H446" s="21">
        <v>144</v>
      </c>
      <c r="I446" s="22" t="s">
        <v>43</v>
      </c>
      <c r="J446" s="23">
        <f t="shared" si="65"/>
        <v>17250.2</v>
      </c>
      <c r="K446" s="19" t="s">
        <v>43</v>
      </c>
      <c r="L446" s="24"/>
      <c r="M446" s="24"/>
      <c r="N446" s="18"/>
      <c r="O446" s="22" t="s">
        <v>43</v>
      </c>
      <c r="P446" s="18">
        <f t="shared" si="62"/>
        <v>0</v>
      </c>
      <c r="Q446" s="22" t="s">
        <v>43</v>
      </c>
      <c r="R446" s="23">
        <f t="shared" si="63"/>
        <v>0</v>
      </c>
      <c r="S446" s="23">
        <f t="shared" si="61"/>
        <v>0</v>
      </c>
    </row>
    <row r="447" spans="1:19" s="17" customFormat="1">
      <c r="A447" s="16" t="s">
        <v>438</v>
      </c>
      <c r="B447" s="17" t="s">
        <v>275</v>
      </c>
      <c r="C447" s="18"/>
      <c r="D447" s="19" t="s">
        <v>43</v>
      </c>
      <c r="E447" s="20"/>
      <c r="F447" s="21">
        <v>1</v>
      </c>
      <c r="G447" s="22" t="s">
        <v>21</v>
      </c>
      <c r="H447" s="21">
        <v>144</v>
      </c>
      <c r="I447" s="22" t="s">
        <v>43</v>
      </c>
      <c r="J447" s="23">
        <f t="shared" si="65"/>
        <v>17250.2</v>
      </c>
      <c r="K447" s="19" t="s">
        <v>43</v>
      </c>
      <c r="L447" s="24"/>
      <c r="M447" s="24"/>
      <c r="N447" s="18"/>
      <c r="O447" s="22" t="s">
        <v>43</v>
      </c>
      <c r="P447" s="18">
        <f t="shared" si="62"/>
        <v>0</v>
      </c>
      <c r="Q447" s="22" t="s">
        <v>43</v>
      </c>
      <c r="R447" s="23">
        <f t="shared" si="63"/>
        <v>0</v>
      </c>
      <c r="S447" s="23">
        <f t="shared" si="61"/>
        <v>0</v>
      </c>
    </row>
    <row r="448" spans="1:19" s="17" customFormat="1">
      <c r="A448" s="16" t="s">
        <v>439</v>
      </c>
      <c r="B448" s="17" t="s">
        <v>275</v>
      </c>
      <c r="C448" s="18"/>
      <c r="D448" s="19" t="s">
        <v>43</v>
      </c>
      <c r="E448" s="20">
        <v>1</v>
      </c>
      <c r="F448" s="21">
        <v>1</v>
      </c>
      <c r="G448" s="22" t="s">
        <v>21</v>
      </c>
      <c r="H448" s="21">
        <v>144</v>
      </c>
      <c r="I448" s="22" t="s">
        <v>43</v>
      </c>
      <c r="J448" s="23">
        <v>16175</v>
      </c>
      <c r="K448" s="19" t="s">
        <v>43</v>
      </c>
      <c r="L448" s="24"/>
      <c r="M448" s="24"/>
      <c r="N448" s="18">
        <v>144</v>
      </c>
      <c r="O448" s="22" t="s">
        <v>43</v>
      </c>
      <c r="P448" s="18">
        <f t="shared" si="62"/>
        <v>0</v>
      </c>
      <c r="Q448" s="22" t="s">
        <v>43</v>
      </c>
      <c r="R448" s="23">
        <f t="shared" si="63"/>
        <v>0</v>
      </c>
      <c r="S448" s="23">
        <f t="shared" si="61"/>
        <v>0</v>
      </c>
    </row>
    <row r="449" spans="1:19" s="17" customFormat="1">
      <c r="A449" s="16" t="s">
        <v>440</v>
      </c>
      <c r="B449" s="17" t="s">
        <v>275</v>
      </c>
      <c r="C449" s="18"/>
      <c r="D449" s="19" t="s">
        <v>43</v>
      </c>
      <c r="E449" s="20"/>
      <c r="F449" s="21">
        <v>1</v>
      </c>
      <c r="G449" s="22" t="s">
        <v>21</v>
      </c>
      <c r="H449" s="21">
        <v>144</v>
      </c>
      <c r="I449" s="22" t="s">
        <v>43</v>
      </c>
      <c r="J449" s="23">
        <f t="shared" si="65"/>
        <v>17250.2</v>
      </c>
      <c r="K449" s="19" t="s">
        <v>43</v>
      </c>
      <c r="L449" s="24"/>
      <c r="M449" s="24"/>
      <c r="N449" s="18"/>
      <c r="O449" s="22" t="s">
        <v>43</v>
      </c>
      <c r="P449" s="18">
        <f t="shared" si="62"/>
        <v>0</v>
      </c>
      <c r="Q449" s="22" t="s">
        <v>43</v>
      </c>
      <c r="R449" s="23">
        <f t="shared" si="63"/>
        <v>0</v>
      </c>
      <c r="S449" s="23">
        <f t="shared" si="61"/>
        <v>0</v>
      </c>
    </row>
    <row r="450" spans="1:19" s="17" customFormat="1">
      <c r="A450" s="16" t="s">
        <v>441</v>
      </c>
      <c r="B450" s="17" t="s">
        <v>275</v>
      </c>
      <c r="C450" s="18"/>
      <c r="D450" s="19" t="s">
        <v>43</v>
      </c>
      <c r="E450" s="20"/>
      <c r="F450" s="21">
        <v>1</v>
      </c>
      <c r="G450" s="22" t="s">
        <v>21</v>
      </c>
      <c r="H450" s="21">
        <v>144</v>
      </c>
      <c r="I450" s="22" t="s">
        <v>43</v>
      </c>
      <c r="J450" s="23">
        <f t="shared" si="65"/>
        <v>17250.2</v>
      </c>
      <c r="K450" s="19" t="s">
        <v>43</v>
      </c>
      <c r="L450" s="24"/>
      <c r="M450" s="24"/>
      <c r="N450" s="18"/>
      <c r="O450" s="22" t="s">
        <v>43</v>
      </c>
      <c r="P450" s="18">
        <f t="shared" si="62"/>
        <v>0</v>
      </c>
      <c r="Q450" s="22" t="s">
        <v>43</v>
      </c>
      <c r="R450" s="23">
        <f t="shared" si="63"/>
        <v>0</v>
      </c>
      <c r="S450" s="23">
        <f t="shared" si="61"/>
        <v>0</v>
      </c>
    </row>
    <row r="451" spans="1:19" s="17" customFormat="1">
      <c r="A451" s="95" t="s">
        <v>442</v>
      </c>
      <c r="B451" s="96" t="s">
        <v>275</v>
      </c>
      <c r="C451" s="97">
        <v>100</v>
      </c>
      <c r="D451" s="98" t="s">
        <v>43</v>
      </c>
      <c r="E451" s="105"/>
      <c r="F451" s="100">
        <v>1</v>
      </c>
      <c r="G451" s="101" t="s">
        <v>21</v>
      </c>
      <c r="H451" s="100">
        <v>144</v>
      </c>
      <c r="I451" s="101" t="s">
        <v>43</v>
      </c>
      <c r="J451" s="102">
        <f t="shared" si="65"/>
        <v>17250.2</v>
      </c>
      <c r="K451" s="98" t="s">
        <v>43</v>
      </c>
      <c r="L451" s="103"/>
      <c r="M451" s="103"/>
      <c r="N451" s="97">
        <v>100</v>
      </c>
      <c r="O451" s="101" t="s">
        <v>43</v>
      </c>
      <c r="P451" s="97">
        <f t="shared" si="62"/>
        <v>0</v>
      </c>
      <c r="Q451" s="101" t="s">
        <v>43</v>
      </c>
      <c r="R451" s="102">
        <f t="shared" si="63"/>
        <v>0</v>
      </c>
      <c r="S451" s="102">
        <f t="shared" si="61"/>
        <v>0</v>
      </c>
    </row>
    <row r="452" spans="1:19" s="17" customFormat="1">
      <c r="A452" s="95" t="s">
        <v>443</v>
      </c>
      <c r="B452" s="96" t="s">
        <v>275</v>
      </c>
      <c r="C452" s="97"/>
      <c r="D452" s="98" t="s">
        <v>43</v>
      </c>
      <c r="E452" s="105">
        <v>1</v>
      </c>
      <c r="F452" s="100">
        <v>1</v>
      </c>
      <c r="G452" s="101" t="s">
        <v>21</v>
      </c>
      <c r="H452" s="100">
        <v>144</v>
      </c>
      <c r="I452" s="101" t="s">
        <v>43</v>
      </c>
      <c r="J452" s="102">
        <v>16175</v>
      </c>
      <c r="K452" s="98" t="s">
        <v>43</v>
      </c>
      <c r="L452" s="103"/>
      <c r="M452" s="103"/>
      <c r="N452" s="97">
        <v>144</v>
      </c>
      <c r="O452" s="101" t="s">
        <v>43</v>
      </c>
      <c r="P452" s="97">
        <f t="shared" si="62"/>
        <v>0</v>
      </c>
      <c r="Q452" s="101" t="s">
        <v>43</v>
      </c>
      <c r="R452" s="102">
        <f t="shared" si="63"/>
        <v>0</v>
      </c>
      <c r="S452" s="102">
        <f t="shared" si="61"/>
        <v>0</v>
      </c>
    </row>
    <row r="453" spans="1:19" s="17" customFormat="1">
      <c r="A453" s="16" t="s">
        <v>444</v>
      </c>
      <c r="B453" s="17" t="s">
        <v>275</v>
      </c>
      <c r="C453" s="18"/>
      <c r="D453" s="19" t="s">
        <v>43</v>
      </c>
      <c r="E453" s="20"/>
      <c r="F453" s="21">
        <v>1</v>
      </c>
      <c r="G453" s="22" t="s">
        <v>21</v>
      </c>
      <c r="H453" s="21">
        <v>144</v>
      </c>
      <c r="I453" s="22" t="s">
        <v>43</v>
      </c>
      <c r="J453" s="23">
        <f t="shared" si="65"/>
        <v>17250.2</v>
      </c>
      <c r="K453" s="19" t="s">
        <v>43</v>
      </c>
      <c r="L453" s="24"/>
      <c r="M453" s="24"/>
      <c r="N453" s="18"/>
      <c r="O453" s="22" t="s">
        <v>43</v>
      </c>
      <c r="P453" s="18">
        <f t="shared" si="62"/>
        <v>0</v>
      </c>
      <c r="Q453" s="22" t="s">
        <v>43</v>
      </c>
      <c r="R453" s="23">
        <f t="shared" si="63"/>
        <v>0</v>
      </c>
      <c r="S453" s="23">
        <f t="shared" si="61"/>
        <v>0</v>
      </c>
    </row>
    <row r="454" spans="1:19" s="17" customFormat="1">
      <c r="A454" s="16" t="s">
        <v>445</v>
      </c>
      <c r="B454" s="17" t="s">
        <v>275</v>
      </c>
      <c r="C454" s="18"/>
      <c r="D454" s="19" t="s">
        <v>43</v>
      </c>
      <c r="E454" s="20"/>
      <c r="F454" s="21">
        <v>1</v>
      </c>
      <c r="G454" s="22" t="s">
        <v>21</v>
      </c>
      <c r="H454" s="21">
        <v>144</v>
      </c>
      <c r="I454" s="22" t="s">
        <v>43</v>
      </c>
      <c r="J454" s="23">
        <f t="shared" si="65"/>
        <v>17250.2</v>
      </c>
      <c r="K454" s="19" t="s">
        <v>43</v>
      </c>
      <c r="L454" s="24"/>
      <c r="M454" s="24"/>
      <c r="N454" s="18"/>
      <c r="O454" s="22" t="s">
        <v>43</v>
      </c>
      <c r="P454" s="18">
        <f t="shared" si="62"/>
        <v>0</v>
      </c>
      <c r="Q454" s="22" t="s">
        <v>43</v>
      </c>
      <c r="R454" s="23">
        <f t="shared" si="63"/>
        <v>0</v>
      </c>
      <c r="S454" s="23">
        <f t="shared" si="61"/>
        <v>0</v>
      </c>
    </row>
    <row r="455" spans="1:19" s="17" customFormat="1">
      <c r="A455" s="16" t="s">
        <v>446</v>
      </c>
      <c r="B455" s="17" t="s">
        <v>275</v>
      </c>
      <c r="C455" s="18"/>
      <c r="D455" s="19" t="s">
        <v>43</v>
      </c>
      <c r="E455" s="20"/>
      <c r="F455" s="21">
        <v>1</v>
      </c>
      <c r="G455" s="22" t="s">
        <v>21</v>
      </c>
      <c r="H455" s="21">
        <v>144</v>
      </c>
      <c r="I455" s="22" t="s">
        <v>43</v>
      </c>
      <c r="J455" s="23">
        <f t="shared" si="65"/>
        <v>17250.2</v>
      </c>
      <c r="K455" s="19" t="s">
        <v>43</v>
      </c>
      <c r="L455" s="24"/>
      <c r="M455" s="24"/>
      <c r="N455" s="18"/>
      <c r="O455" s="22" t="s">
        <v>43</v>
      </c>
      <c r="P455" s="18">
        <f t="shared" si="62"/>
        <v>0</v>
      </c>
      <c r="Q455" s="22" t="s">
        <v>43</v>
      </c>
      <c r="R455" s="23">
        <f t="shared" si="63"/>
        <v>0</v>
      </c>
      <c r="S455" s="23">
        <f t="shared" si="61"/>
        <v>0</v>
      </c>
    </row>
    <row r="456" spans="1:19" s="17" customFormat="1">
      <c r="A456" s="16" t="s">
        <v>447</v>
      </c>
      <c r="B456" s="17" t="s">
        <v>275</v>
      </c>
      <c r="C456" s="18"/>
      <c r="D456" s="19" t="s">
        <v>43</v>
      </c>
      <c r="E456" s="20">
        <v>1</v>
      </c>
      <c r="F456" s="21">
        <v>1</v>
      </c>
      <c r="G456" s="22" t="s">
        <v>21</v>
      </c>
      <c r="H456" s="21">
        <v>144</v>
      </c>
      <c r="I456" s="22" t="s">
        <v>43</v>
      </c>
      <c r="J456" s="23">
        <v>16175</v>
      </c>
      <c r="K456" s="19" t="s">
        <v>43</v>
      </c>
      <c r="L456" s="24"/>
      <c r="M456" s="24"/>
      <c r="N456" s="18">
        <v>144</v>
      </c>
      <c r="O456" s="22" t="s">
        <v>43</v>
      </c>
      <c r="P456" s="18">
        <f t="shared" si="62"/>
        <v>0</v>
      </c>
      <c r="Q456" s="22" t="s">
        <v>43</v>
      </c>
      <c r="R456" s="23">
        <f t="shared" si="63"/>
        <v>0</v>
      </c>
      <c r="S456" s="23">
        <f t="shared" si="61"/>
        <v>0</v>
      </c>
    </row>
    <row r="457" spans="1:19" s="17" customFormat="1">
      <c r="A457" s="16" t="s">
        <v>448</v>
      </c>
      <c r="B457" s="17" t="s">
        <v>275</v>
      </c>
      <c r="C457" s="18"/>
      <c r="D457" s="19" t="s">
        <v>43</v>
      </c>
      <c r="E457" s="20"/>
      <c r="F457" s="21">
        <v>1</v>
      </c>
      <c r="G457" s="22" t="s">
        <v>21</v>
      </c>
      <c r="H457" s="21">
        <v>144</v>
      </c>
      <c r="I457" s="22" t="s">
        <v>43</v>
      </c>
      <c r="J457" s="23">
        <f t="shared" si="65"/>
        <v>17250.2</v>
      </c>
      <c r="K457" s="19" t="s">
        <v>43</v>
      </c>
      <c r="L457" s="24"/>
      <c r="M457" s="24"/>
      <c r="N457" s="18"/>
      <c r="O457" s="22" t="s">
        <v>43</v>
      </c>
      <c r="P457" s="18">
        <f t="shared" si="62"/>
        <v>0</v>
      </c>
      <c r="Q457" s="22" t="s">
        <v>43</v>
      </c>
      <c r="R457" s="23">
        <f t="shared" si="63"/>
        <v>0</v>
      </c>
      <c r="S457" s="23">
        <f t="shared" si="61"/>
        <v>0</v>
      </c>
    </row>
    <row r="458" spans="1:19" s="17" customFormat="1">
      <c r="A458" s="16" t="s">
        <v>449</v>
      </c>
      <c r="B458" s="17" t="s">
        <v>275</v>
      </c>
      <c r="C458" s="18"/>
      <c r="D458" s="19" t="s">
        <v>43</v>
      </c>
      <c r="E458" s="20">
        <v>1</v>
      </c>
      <c r="F458" s="21">
        <v>1</v>
      </c>
      <c r="G458" s="22" t="s">
        <v>21</v>
      </c>
      <c r="H458" s="21">
        <v>144</v>
      </c>
      <c r="I458" s="22" t="s">
        <v>43</v>
      </c>
      <c r="J458" s="23">
        <v>16175</v>
      </c>
      <c r="K458" s="19" t="s">
        <v>43</v>
      </c>
      <c r="L458" s="24"/>
      <c r="M458" s="24"/>
      <c r="N458" s="18">
        <v>144</v>
      </c>
      <c r="O458" s="22" t="s">
        <v>43</v>
      </c>
      <c r="P458" s="18">
        <f t="shared" si="62"/>
        <v>0</v>
      </c>
      <c r="Q458" s="22" t="s">
        <v>43</v>
      </c>
      <c r="R458" s="23">
        <f t="shared" si="63"/>
        <v>0</v>
      </c>
      <c r="S458" s="23">
        <f t="shared" si="61"/>
        <v>0</v>
      </c>
    </row>
    <row r="459" spans="1:19" s="26" customFormat="1">
      <c r="A459" s="25" t="s">
        <v>450</v>
      </c>
      <c r="B459" s="26" t="s">
        <v>182</v>
      </c>
      <c r="C459" s="27">
        <v>384</v>
      </c>
      <c r="D459" s="28" t="s">
        <v>43</v>
      </c>
      <c r="E459" s="29"/>
      <c r="F459" s="30">
        <v>1</v>
      </c>
      <c r="G459" s="31" t="s">
        <v>21</v>
      </c>
      <c r="H459" s="30">
        <v>192</v>
      </c>
      <c r="I459" s="31" t="s">
        <v>43</v>
      </c>
      <c r="J459" s="32">
        <v>12750</v>
      </c>
      <c r="K459" s="28" t="s">
        <v>43</v>
      </c>
      <c r="L459" s="33">
        <v>0.05</v>
      </c>
      <c r="M459" s="33"/>
      <c r="N459" s="27"/>
      <c r="O459" s="31" t="s">
        <v>43</v>
      </c>
      <c r="P459" s="27">
        <f t="shared" si="62"/>
        <v>384</v>
      </c>
      <c r="Q459" s="31" t="s">
        <v>43</v>
      </c>
      <c r="R459" s="32">
        <f t="shared" si="63"/>
        <v>4651200</v>
      </c>
      <c r="S459" s="32">
        <f t="shared" si="61"/>
        <v>4190270.2702702698</v>
      </c>
    </row>
    <row r="460" spans="1:19">
      <c r="A460" s="15" t="s">
        <v>451</v>
      </c>
      <c r="S460" s="23"/>
    </row>
    <row r="461" spans="1:19" s="17" customFormat="1">
      <c r="A461" s="118" t="s">
        <v>452</v>
      </c>
      <c r="B461" s="96" t="s">
        <v>19</v>
      </c>
      <c r="C461" s="97"/>
      <c r="D461" s="98" t="s">
        <v>162</v>
      </c>
      <c r="E461" s="105"/>
      <c r="F461" s="100">
        <v>8</v>
      </c>
      <c r="G461" s="101" t="s">
        <v>34</v>
      </c>
      <c r="H461" s="100">
        <v>24</v>
      </c>
      <c r="I461" s="101" t="s">
        <v>162</v>
      </c>
      <c r="J461" s="102">
        <v>16500</v>
      </c>
      <c r="K461" s="98" t="s">
        <v>162</v>
      </c>
      <c r="L461" s="103">
        <v>0.125</v>
      </c>
      <c r="M461" s="103">
        <v>0.05</v>
      </c>
      <c r="N461" s="97"/>
      <c r="O461" s="101" t="s">
        <v>162</v>
      </c>
      <c r="P461" s="97">
        <f t="shared" ref="P461:P467" si="66">(C461+(E461*F461*H461))-N461</f>
        <v>0</v>
      </c>
      <c r="Q461" s="101" t="s">
        <v>162</v>
      </c>
      <c r="R461" s="102">
        <f t="shared" ref="R461:R467" si="67">P461*(J461-(J461*L461)-((J461-(J461*L461))*M461))</f>
        <v>0</v>
      </c>
      <c r="S461" s="102">
        <f t="shared" si="61"/>
        <v>0</v>
      </c>
    </row>
    <row r="462" spans="1:19" s="26" customFormat="1">
      <c r="A462" s="119" t="s">
        <v>453</v>
      </c>
      <c r="B462" s="36" t="s">
        <v>19</v>
      </c>
      <c r="C462" s="37">
        <v>48</v>
      </c>
      <c r="D462" s="38" t="s">
        <v>162</v>
      </c>
      <c r="E462" s="39"/>
      <c r="F462" s="40">
        <v>8</v>
      </c>
      <c r="G462" s="41" t="s">
        <v>34</v>
      </c>
      <c r="H462" s="40">
        <v>24</v>
      </c>
      <c r="I462" s="41" t="s">
        <v>162</v>
      </c>
      <c r="J462" s="42"/>
      <c r="K462" s="38" t="s">
        <v>162</v>
      </c>
      <c r="L462" s="43">
        <v>0.1</v>
      </c>
      <c r="M462" s="43">
        <v>0.05</v>
      </c>
      <c r="N462" s="37"/>
      <c r="O462" s="41" t="s">
        <v>162</v>
      </c>
      <c r="P462" s="37">
        <f t="shared" si="66"/>
        <v>48</v>
      </c>
      <c r="Q462" s="41" t="s">
        <v>162</v>
      </c>
      <c r="R462" s="42">
        <f t="shared" si="67"/>
        <v>0</v>
      </c>
      <c r="S462" s="42">
        <f t="shared" si="61"/>
        <v>0</v>
      </c>
    </row>
    <row r="463" spans="1:19" s="26" customFormat="1">
      <c r="A463" s="120" t="s">
        <v>454</v>
      </c>
      <c r="B463" s="26" t="s">
        <v>19</v>
      </c>
      <c r="C463" s="27">
        <v>39</v>
      </c>
      <c r="D463" s="28" t="s">
        <v>162</v>
      </c>
      <c r="E463" s="29"/>
      <c r="F463" s="30">
        <v>8</v>
      </c>
      <c r="G463" s="31" t="s">
        <v>34</v>
      </c>
      <c r="H463" s="30">
        <v>30</v>
      </c>
      <c r="I463" s="31" t="s">
        <v>162</v>
      </c>
      <c r="J463" s="32"/>
      <c r="K463" s="28" t="s">
        <v>162</v>
      </c>
      <c r="L463" s="33">
        <v>0.1</v>
      </c>
      <c r="M463" s="33">
        <v>0.05</v>
      </c>
      <c r="N463" s="27">
        <f>12+6</f>
        <v>18</v>
      </c>
      <c r="O463" s="31" t="s">
        <v>162</v>
      </c>
      <c r="P463" s="27">
        <f t="shared" si="66"/>
        <v>21</v>
      </c>
      <c r="Q463" s="31" t="s">
        <v>162</v>
      </c>
      <c r="R463" s="32">
        <f t="shared" si="67"/>
        <v>0</v>
      </c>
      <c r="S463" s="32">
        <f t="shared" si="61"/>
        <v>0</v>
      </c>
    </row>
    <row r="464" spans="1:19" s="17" customFormat="1">
      <c r="A464" s="121" t="s">
        <v>455</v>
      </c>
      <c r="B464" s="17" t="s">
        <v>19</v>
      </c>
      <c r="C464" s="18"/>
      <c r="D464" s="19" t="s">
        <v>162</v>
      </c>
      <c r="E464" s="20"/>
      <c r="F464" s="21">
        <v>8</v>
      </c>
      <c r="G464" s="22" t="s">
        <v>34</v>
      </c>
      <c r="H464" s="21">
        <v>24</v>
      </c>
      <c r="I464" s="22" t="s">
        <v>162</v>
      </c>
      <c r="J464" s="23">
        <v>21000</v>
      </c>
      <c r="K464" s="19" t="s">
        <v>162</v>
      </c>
      <c r="L464" s="24">
        <v>0.125</v>
      </c>
      <c r="M464" s="24">
        <v>0.05</v>
      </c>
      <c r="N464" s="18"/>
      <c r="O464" s="22" t="s">
        <v>162</v>
      </c>
      <c r="P464" s="18">
        <f t="shared" si="66"/>
        <v>0</v>
      </c>
      <c r="Q464" s="22" t="s">
        <v>162</v>
      </c>
      <c r="R464" s="23">
        <f t="shared" si="67"/>
        <v>0</v>
      </c>
      <c r="S464" s="23">
        <f t="shared" si="61"/>
        <v>0</v>
      </c>
    </row>
    <row r="465" spans="1:19" s="17" customFormat="1">
      <c r="A465" s="121" t="s">
        <v>456</v>
      </c>
      <c r="B465" s="17" t="s">
        <v>19</v>
      </c>
      <c r="C465" s="18"/>
      <c r="D465" s="19" t="s">
        <v>162</v>
      </c>
      <c r="E465" s="20">
        <v>2</v>
      </c>
      <c r="F465" s="21">
        <v>8</v>
      </c>
      <c r="G465" s="22" t="s">
        <v>34</v>
      </c>
      <c r="H465" s="21">
        <v>24</v>
      </c>
      <c r="I465" s="22" t="s">
        <v>162</v>
      </c>
      <c r="J465" s="23">
        <v>15900</v>
      </c>
      <c r="K465" s="19" t="s">
        <v>162</v>
      </c>
      <c r="L465" s="24">
        <v>0.125</v>
      </c>
      <c r="M465" s="24">
        <v>0.05</v>
      </c>
      <c r="N465" s="18">
        <v>384</v>
      </c>
      <c r="O465" s="22" t="s">
        <v>162</v>
      </c>
      <c r="P465" s="18">
        <f t="shared" si="66"/>
        <v>0</v>
      </c>
      <c r="Q465" s="22" t="s">
        <v>162</v>
      </c>
      <c r="R465" s="23">
        <f t="shared" si="67"/>
        <v>0</v>
      </c>
      <c r="S465" s="23">
        <f t="shared" si="61"/>
        <v>0</v>
      </c>
    </row>
    <row r="466" spans="1:19" s="17" customFormat="1">
      <c r="A466" s="121" t="s">
        <v>457</v>
      </c>
      <c r="B466" s="17" t="s">
        <v>19</v>
      </c>
      <c r="C466" s="18"/>
      <c r="D466" s="19" t="s">
        <v>162</v>
      </c>
      <c r="E466" s="20"/>
      <c r="F466" s="21">
        <v>6</v>
      </c>
      <c r="G466" s="22" t="s">
        <v>34</v>
      </c>
      <c r="H466" s="21">
        <v>24</v>
      </c>
      <c r="I466" s="22" t="s">
        <v>162</v>
      </c>
      <c r="J466" s="23">
        <v>21000</v>
      </c>
      <c r="K466" s="19" t="s">
        <v>162</v>
      </c>
      <c r="L466" s="24">
        <v>0.125</v>
      </c>
      <c r="M466" s="24">
        <v>0.05</v>
      </c>
      <c r="N466" s="18"/>
      <c r="O466" s="22" t="s">
        <v>162</v>
      </c>
      <c r="P466" s="18">
        <f t="shared" si="66"/>
        <v>0</v>
      </c>
      <c r="Q466" s="22" t="s">
        <v>162</v>
      </c>
      <c r="R466" s="23">
        <f t="shared" si="67"/>
        <v>0</v>
      </c>
      <c r="S466" s="23">
        <f t="shared" si="61"/>
        <v>0</v>
      </c>
    </row>
    <row r="467" spans="1:19" s="17" customFormat="1">
      <c r="A467" s="16" t="s">
        <v>458</v>
      </c>
      <c r="B467" s="17" t="s">
        <v>26</v>
      </c>
      <c r="C467" s="18"/>
      <c r="D467" s="19" t="s">
        <v>162</v>
      </c>
      <c r="E467" s="20"/>
      <c r="F467" s="21">
        <v>8</v>
      </c>
      <c r="G467" s="22" t="s">
        <v>34</v>
      </c>
      <c r="H467" s="21">
        <v>30</v>
      </c>
      <c r="I467" s="22" t="s">
        <v>162</v>
      </c>
      <c r="J467" s="23">
        <f>4800000/8/30</f>
        <v>20000</v>
      </c>
      <c r="K467" s="19" t="s">
        <v>162</v>
      </c>
      <c r="L467" s="24"/>
      <c r="M467" s="24">
        <v>0.17</v>
      </c>
      <c r="N467" s="18"/>
      <c r="O467" s="22" t="s">
        <v>162</v>
      </c>
      <c r="P467" s="18">
        <f t="shared" si="66"/>
        <v>0</v>
      </c>
      <c r="Q467" s="22" t="s">
        <v>162</v>
      </c>
      <c r="R467" s="23">
        <f t="shared" si="67"/>
        <v>0</v>
      </c>
      <c r="S467" s="23">
        <f t="shared" si="61"/>
        <v>0</v>
      </c>
    </row>
    <row r="468" spans="1:19">
      <c r="A468" s="15" t="s">
        <v>459</v>
      </c>
      <c r="S468" s="23"/>
    </row>
    <row r="469" spans="1:19" s="26" customFormat="1">
      <c r="A469" s="120" t="s">
        <v>460</v>
      </c>
      <c r="B469" s="26" t="s">
        <v>26</v>
      </c>
      <c r="C469" s="27">
        <v>576</v>
      </c>
      <c r="D469" s="28" t="s">
        <v>20</v>
      </c>
      <c r="E469" s="29"/>
      <c r="F469" s="30">
        <v>24</v>
      </c>
      <c r="G469" s="31" t="s">
        <v>34</v>
      </c>
      <c r="H469" s="30">
        <v>24</v>
      </c>
      <c r="I469" s="31" t="s">
        <v>20</v>
      </c>
      <c r="J469" s="32">
        <f>2822400/24/24</f>
        <v>4900</v>
      </c>
      <c r="K469" s="28" t="s">
        <v>20</v>
      </c>
      <c r="L469" s="33"/>
      <c r="M469" s="33">
        <v>0.17</v>
      </c>
      <c r="N469" s="27"/>
      <c r="O469" s="31" t="s">
        <v>20</v>
      </c>
      <c r="P469" s="27">
        <f>(C469+(E469*F469*H469))-N469</f>
        <v>576</v>
      </c>
      <c r="Q469" s="31" t="s">
        <v>20</v>
      </c>
      <c r="R469" s="32">
        <f>P469*(J469-(J469*L469)-((J469-(J469*L469))*M469))</f>
        <v>2342592</v>
      </c>
      <c r="S469" s="32">
        <f t="shared" si="61"/>
        <v>2110443.2432432431</v>
      </c>
    </row>
    <row r="470" spans="1:19" s="26" customFormat="1">
      <c r="A470" s="120" t="s">
        <v>461</v>
      </c>
      <c r="B470" s="26" t="s">
        <v>26</v>
      </c>
      <c r="C470" s="27">
        <v>1836</v>
      </c>
      <c r="D470" s="28" t="s">
        <v>20</v>
      </c>
      <c r="E470" s="29"/>
      <c r="F470" s="30">
        <v>24</v>
      </c>
      <c r="G470" s="31" t="s">
        <v>34</v>
      </c>
      <c r="H470" s="30">
        <v>24</v>
      </c>
      <c r="I470" s="31" t="s">
        <v>20</v>
      </c>
      <c r="J470" s="32">
        <f>1900800/24/24</f>
        <v>3300</v>
      </c>
      <c r="K470" s="28" t="s">
        <v>20</v>
      </c>
      <c r="L470" s="33"/>
      <c r="M470" s="33">
        <v>0.17</v>
      </c>
      <c r="N470" s="27">
        <f>(5+12+1+3)*12</f>
        <v>252</v>
      </c>
      <c r="O470" s="31" t="s">
        <v>20</v>
      </c>
      <c r="P470" s="27">
        <f>(C470+(E470*F470*H470))-N470</f>
        <v>1584</v>
      </c>
      <c r="Q470" s="31" t="s">
        <v>20</v>
      </c>
      <c r="R470" s="32">
        <f>P470*(J470-(J470*L470)-((J470-(J470*L470))*M470))</f>
        <v>4338576</v>
      </c>
      <c r="S470" s="32">
        <f t="shared" si="61"/>
        <v>3908627.0270270268</v>
      </c>
    </row>
    <row r="471" spans="1:19" s="26" customFormat="1">
      <c r="A471" s="25" t="s">
        <v>462</v>
      </c>
      <c r="B471" s="26" t="s">
        <v>19</v>
      </c>
      <c r="C471" s="27"/>
      <c r="D471" s="28" t="s">
        <v>43</v>
      </c>
      <c r="E471" s="29">
        <v>1</v>
      </c>
      <c r="F471" s="30">
        <v>48</v>
      </c>
      <c r="G471" s="31" t="s">
        <v>34</v>
      </c>
      <c r="H471" s="30">
        <v>12</v>
      </c>
      <c r="I471" s="31" t="s">
        <v>20</v>
      </c>
      <c r="J471" s="32">
        <v>5800</v>
      </c>
      <c r="K471" s="28" t="s">
        <v>20</v>
      </c>
      <c r="L471" s="33">
        <v>0.125</v>
      </c>
      <c r="M471" s="33">
        <v>0.05</v>
      </c>
      <c r="N471" s="27"/>
      <c r="O471" s="31" t="s">
        <v>20</v>
      </c>
      <c r="P471" s="27">
        <f>(C471+(E471*F471*H471))-N471</f>
        <v>576</v>
      </c>
      <c r="Q471" s="31" t="s">
        <v>20</v>
      </c>
      <c r="R471" s="32">
        <f>P471*(J471-(J471*L471)-((J471-(J471*L471))*M471))</f>
        <v>2777040</v>
      </c>
      <c r="S471" s="32">
        <f t="shared" ref="S471:S538" si="68">R471/1.11</f>
        <v>2501837.8378378376</v>
      </c>
    </row>
    <row r="472" spans="1:19">
      <c r="A472" s="15" t="s">
        <v>463</v>
      </c>
      <c r="S472" s="23"/>
    </row>
    <row r="473" spans="1:19" s="17" customFormat="1">
      <c r="A473" s="16" t="s">
        <v>464</v>
      </c>
      <c r="B473" s="17" t="s">
        <v>19</v>
      </c>
      <c r="C473" s="18"/>
      <c r="D473" s="19" t="s">
        <v>104</v>
      </c>
      <c r="E473" s="20"/>
      <c r="F473" s="21">
        <v>18</v>
      </c>
      <c r="G473" s="22" t="s">
        <v>34</v>
      </c>
      <c r="H473" s="21">
        <v>12</v>
      </c>
      <c r="I473" s="22" t="s">
        <v>104</v>
      </c>
      <c r="J473" s="23">
        <f>36000/12</f>
        <v>3000</v>
      </c>
      <c r="K473" s="19" t="s">
        <v>104</v>
      </c>
      <c r="L473" s="24">
        <v>0.125</v>
      </c>
      <c r="M473" s="24">
        <v>0.05</v>
      </c>
      <c r="N473" s="18"/>
      <c r="O473" s="22" t="s">
        <v>104</v>
      </c>
      <c r="P473" s="18">
        <f t="shared" ref="P473:P478" si="69">(C473+(E473*F473*H473))-N473</f>
        <v>0</v>
      </c>
      <c r="Q473" s="22" t="s">
        <v>104</v>
      </c>
      <c r="R473" s="23">
        <f t="shared" ref="R473:R478" si="70">P473*(J473-(J473*L473)-((J473-(J473*L473))*M473))</f>
        <v>0</v>
      </c>
      <c r="S473" s="23">
        <f t="shared" si="68"/>
        <v>0</v>
      </c>
    </row>
    <row r="474" spans="1:19" s="17" customFormat="1">
      <c r="A474" s="16" t="s">
        <v>465</v>
      </c>
      <c r="B474" s="17" t="s">
        <v>19</v>
      </c>
      <c r="C474" s="18"/>
      <c r="D474" s="19" t="s">
        <v>43</v>
      </c>
      <c r="E474" s="20"/>
      <c r="F474" s="21">
        <v>18</v>
      </c>
      <c r="G474" s="22" t="s">
        <v>34</v>
      </c>
      <c r="H474" s="21">
        <v>24</v>
      </c>
      <c r="I474" s="22" t="s">
        <v>43</v>
      </c>
      <c r="J474" s="23">
        <v>27600</v>
      </c>
      <c r="K474" s="19" t="s">
        <v>43</v>
      </c>
      <c r="L474" s="24">
        <v>0.125</v>
      </c>
      <c r="M474" s="24">
        <v>0.05</v>
      </c>
      <c r="N474" s="18"/>
      <c r="O474" s="22" t="s">
        <v>43</v>
      </c>
      <c r="P474" s="18">
        <f t="shared" si="69"/>
        <v>0</v>
      </c>
      <c r="Q474" s="22" t="s">
        <v>43</v>
      </c>
      <c r="R474" s="23">
        <f t="shared" si="70"/>
        <v>0</v>
      </c>
      <c r="S474" s="23">
        <f t="shared" si="68"/>
        <v>0</v>
      </c>
    </row>
    <row r="475" spans="1:19" s="26" customFormat="1">
      <c r="A475" s="25" t="s">
        <v>466</v>
      </c>
      <c r="B475" s="26" t="s">
        <v>275</v>
      </c>
      <c r="C475" s="27"/>
      <c r="D475" s="28" t="s">
        <v>43</v>
      </c>
      <c r="E475" s="29">
        <v>4</v>
      </c>
      <c r="F475" s="30">
        <v>1</v>
      </c>
      <c r="G475" s="31" t="s">
        <v>21</v>
      </c>
      <c r="H475" s="30">
        <v>96</v>
      </c>
      <c r="I475" s="31" t="s">
        <v>43</v>
      </c>
      <c r="J475" s="32">
        <v>9500</v>
      </c>
      <c r="K475" s="28" t="s">
        <v>43</v>
      </c>
      <c r="L475" s="33"/>
      <c r="M475" s="33"/>
      <c r="N475" s="27">
        <v>192</v>
      </c>
      <c r="O475" s="31" t="s">
        <v>43</v>
      </c>
      <c r="P475" s="27">
        <f t="shared" si="69"/>
        <v>192</v>
      </c>
      <c r="Q475" s="31" t="s">
        <v>43</v>
      </c>
      <c r="R475" s="32">
        <f t="shared" si="70"/>
        <v>1824000</v>
      </c>
      <c r="S475" s="32">
        <f t="shared" si="68"/>
        <v>1643243.2432432431</v>
      </c>
    </row>
    <row r="476" spans="1:19" s="26" customFormat="1">
      <c r="A476" s="25" t="s">
        <v>467</v>
      </c>
      <c r="B476" s="26" t="s">
        <v>26</v>
      </c>
      <c r="C476" s="27">
        <v>1488</v>
      </c>
      <c r="D476" s="28" t="s">
        <v>20</v>
      </c>
      <c r="E476" s="29"/>
      <c r="F476" s="30">
        <v>144</v>
      </c>
      <c r="G476" s="31" t="s">
        <v>34</v>
      </c>
      <c r="H476" s="30">
        <v>24</v>
      </c>
      <c r="I476" s="31" t="s">
        <v>20</v>
      </c>
      <c r="J476" s="32">
        <f>6739200/144/24</f>
        <v>1950</v>
      </c>
      <c r="K476" s="28" t="s">
        <v>20</v>
      </c>
      <c r="L476" s="33"/>
      <c r="M476" s="33">
        <v>0.17</v>
      </c>
      <c r="N476" s="27">
        <f>(24*12)</f>
        <v>288</v>
      </c>
      <c r="O476" s="31" t="s">
        <v>20</v>
      </c>
      <c r="P476" s="27">
        <f t="shared" si="69"/>
        <v>1200</v>
      </c>
      <c r="Q476" s="31" t="s">
        <v>20</v>
      </c>
      <c r="R476" s="32">
        <f t="shared" si="70"/>
        <v>1942200</v>
      </c>
      <c r="S476" s="32">
        <f t="shared" si="68"/>
        <v>1749729.7297297295</v>
      </c>
    </row>
    <row r="477" spans="1:19" s="17" customFormat="1">
      <c r="A477" s="16" t="s">
        <v>468</v>
      </c>
      <c r="B477" s="17" t="s">
        <v>26</v>
      </c>
      <c r="C477" s="18"/>
      <c r="D477" s="19" t="s">
        <v>34</v>
      </c>
      <c r="E477" s="20"/>
      <c r="F477" s="21">
        <v>1</v>
      </c>
      <c r="G477" s="22" t="s">
        <v>21</v>
      </c>
      <c r="H477" s="21">
        <v>120</v>
      </c>
      <c r="I477" s="22" t="s">
        <v>34</v>
      </c>
      <c r="J477" s="23">
        <f>2016000/120</f>
        <v>16800</v>
      </c>
      <c r="K477" s="19" t="s">
        <v>34</v>
      </c>
      <c r="L477" s="24"/>
      <c r="M477" s="24">
        <v>0.17</v>
      </c>
      <c r="N477" s="18"/>
      <c r="O477" s="22" t="s">
        <v>34</v>
      </c>
      <c r="P477" s="18">
        <f t="shared" si="69"/>
        <v>0</v>
      </c>
      <c r="Q477" s="22" t="s">
        <v>34</v>
      </c>
      <c r="R477" s="23">
        <f t="shared" si="70"/>
        <v>0</v>
      </c>
      <c r="S477" s="23">
        <f t="shared" si="68"/>
        <v>0</v>
      </c>
    </row>
    <row r="478" spans="1:19">
      <c r="A478" s="34" t="s">
        <v>469</v>
      </c>
      <c r="B478" s="2" t="s">
        <v>192</v>
      </c>
      <c r="C478" s="3">
        <v>2400</v>
      </c>
      <c r="D478" s="4" t="s">
        <v>34</v>
      </c>
      <c r="F478" s="6">
        <v>1</v>
      </c>
      <c r="G478" s="7" t="s">
        <v>21</v>
      </c>
      <c r="H478" s="6">
        <v>240</v>
      </c>
      <c r="I478" s="7" t="s">
        <v>34</v>
      </c>
      <c r="J478" s="8">
        <v>5500</v>
      </c>
      <c r="K478" s="4" t="s">
        <v>34</v>
      </c>
      <c r="O478" s="7" t="s">
        <v>34</v>
      </c>
      <c r="P478" s="3">
        <f t="shared" si="69"/>
        <v>2400</v>
      </c>
      <c r="Q478" s="7" t="s">
        <v>34</v>
      </c>
      <c r="R478" s="8">
        <f t="shared" si="70"/>
        <v>13200000</v>
      </c>
      <c r="S478" s="32">
        <f t="shared" si="68"/>
        <v>11891891.891891891</v>
      </c>
    </row>
    <row r="479" spans="1:19">
      <c r="S479" s="23"/>
    </row>
    <row r="480" spans="1:19" ht="15.75">
      <c r="A480" s="14" t="s">
        <v>470</v>
      </c>
      <c r="S480" s="23"/>
    </row>
    <row r="481" spans="1:19" s="26" customFormat="1">
      <c r="A481" s="25" t="s">
        <v>471</v>
      </c>
      <c r="B481" s="26" t="s">
        <v>19</v>
      </c>
      <c r="C481" s="27"/>
      <c r="D481" s="28" t="s">
        <v>88</v>
      </c>
      <c r="E481" s="29">
        <f>2+1+1+10+3+3</f>
        <v>20</v>
      </c>
      <c r="F481" s="30">
        <v>1</v>
      </c>
      <c r="G481" s="31" t="s">
        <v>21</v>
      </c>
      <c r="H481" s="30">
        <v>30</v>
      </c>
      <c r="I481" s="31" t="s">
        <v>88</v>
      </c>
      <c r="J481" s="32">
        <v>95500</v>
      </c>
      <c r="K481" s="28" t="s">
        <v>88</v>
      </c>
      <c r="L481" s="33">
        <v>0.125</v>
      </c>
      <c r="M481" s="33">
        <v>0.05</v>
      </c>
      <c r="N481" s="27">
        <f>300+30+30+60+30+90</f>
        <v>540</v>
      </c>
      <c r="O481" s="31" t="s">
        <v>88</v>
      </c>
      <c r="P481" s="27">
        <f t="shared" ref="P481:P499" si="71">(C481+(E481*F481*H481))-N481</f>
        <v>60</v>
      </c>
      <c r="Q481" s="31" t="s">
        <v>88</v>
      </c>
      <c r="R481" s="32">
        <f t="shared" ref="R481:R499" si="72">P481*(J481-(J481*L481)-((J481-(J481*L481))*M481))</f>
        <v>4763062.5</v>
      </c>
      <c r="S481" s="32">
        <f t="shared" si="68"/>
        <v>4291047.297297297</v>
      </c>
    </row>
    <row r="482" spans="1:19" s="17" customFormat="1">
      <c r="A482" s="16" t="s">
        <v>472</v>
      </c>
      <c r="B482" s="17" t="s">
        <v>19</v>
      </c>
      <c r="C482" s="18"/>
      <c r="D482" s="19" t="s">
        <v>88</v>
      </c>
      <c r="E482" s="20"/>
      <c r="F482" s="21">
        <v>1</v>
      </c>
      <c r="G482" s="22" t="s">
        <v>21</v>
      </c>
      <c r="H482" s="21">
        <v>30</v>
      </c>
      <c r="I482" s="22" t="s">
        <v>88</v>
      </c>
      <c r="J482" s="23">
        <v>99000</v>
      </c>
      <c r="K482" s="19" t="s">
        <v>88</v>
      </c>
      <c r="L482" s="24">
        <v>0.125</v>
      </c>
      <c r="M482" s="24">
        <v>0.05</v>
      </c>
      <c r="N482" s="18"/>
      <c r="O482" s="22" t="s">
        <v>88</v>
      </c>
      <c r="P482" s="18">
        <f t="shared" si="71"/>
        <v>0</v>
      </c>
      <c r="Q482" s="22" t="s">
        <v>88</v>
      </c>
      <c r="R482" s="23">
        <f t="shared" si="72"/>
        <v>0</v>
      </c>
      <c r="S482" s="23">
        <f t="shared" si="68"/>
        <v>0</v>
      </c>
    </row>
    <row r="483" spans="1:19" s="17" customFormat="1">
      <c r="A483" s="16" t="s">
        <v>473</v>
      </c>
      <c r="B483" s="17" t="s">
        <v>19</v>
      </c>
      <c r="C483" s="18"/>
      <c r="D483" s="19" t="s">
        <v>88</v>
      </c>
      <c r="E483" s="20"/>
      <c r="F483" s="21">
        <v>1</v>
      </c>
      <c r="G483" s="22" t="s">
        <v>21</v>
      </c>
      <c r="H483" s="21">
        <v>30</v>
      </c>
      <c r="I483" s="22" t="s">
        <v>88</v>
      </c>
      <c r="J483" s="23">
        <v>96000</v>
      </c>
      <c r="K483" s="19" t="s">
        <v>88</v>
      </c>
      <c r="L483" s="24">
        <v>0.125</v>
      </c>
      <c r="M483" s="24">
        <v>0.05</v>
      </c>
      <c r="N483" s="18"/>
      <c r="O483" s="22" t="s">
        <v>88</v>
      </c>
      <c r="P483" s="18">
        <f t="shared" si="71"/>
        <v>0</v>
      </c>
      <c r="Q483" s="22" t="s">
        <v>88</v>
      </c>
      <c r="R483" s="23">
        <f t="shared" si="72"/>
        <v>0</v>
      </c>
      <c r="S483" s="23">
        <f t="shared" si="68"/>
        <v>0</v>
      </c>
    </row>
    <row r="484" spans="1:19" s="17" customFormat="1">
      <c r="A484" s="16" t="s">
        <v>474</v>
      </c>
      <c r="B484" s="17" t="s">
        <v>19</v>
      </c>
      <c r="C484" s="18"/>
      <c r="D484" s="19" t="s">
        <v>88</v>
      </c>
      <c r="E484" s="20"/>
      <c r="F484" s="21">
        <v>1</v>
      </c>
      <c r="G484" s="22" t="s">
        <v>21</v>
      </c>
      <c r="H484" s="21">
        <v>30</v>
      </c>
      <c r="I484" s="22" t="s">
        <v>88</v>
      </c>
      <c r="J484" s="23">
        <v>109000</v>
      </c>
      <c r="K484" s="19" t="s">
        <v>88</v>
      </c>
      <c r="L484" s="24">
        <v>0.125</v>
      </c>
      <c r="M484" s="24">
        <v>0.05</v>
      </c>
      <c r="N484" s="18"/>
      <c r="O484" s="22" t="s">
        <v>88</v>
      </c>
      <c r="P484" s="18">
        <f t="shared" si="71"/>
        <v>0</v>
      </c>
      <c r="Q484" s="22" t="s">
        <v>88</v>
      </c>
      <c r="R484" s="23">
        <f t="shared" si="72"/>
        <v>0</v>
      </c>
      <c r="S484" s="23">
        <f t="shared" si="68"/>
        <v>0</v>
      </c>
    </row>
    <row r="485" spans="1:19" s="25" customFormat="1">
      <c r="A485" s="94" t="s">
        <v>475</v>
      </c>
      <c r="B485" s="25" t="s">
        <v>26</v>
      </c>
      <c r="C485" s="122">
        <v>40</v>
      </c>
      <c r="D485" s="123" t="s">
        <v>88</v>
      </c>
      <c r="E485" s="124"/>
      <c r="F485" s="125">
        <v>1</v>
      </c>
      <c r="G485" s="126" t="s">
        <v>21</v>
      </c>
      <c r="H485" s="125">
        <v>20</v>
      </c>
      <c r="I485" s="126" t="s">
        <v>88</v>
      </c>
      <c r="J485" s="127">
        <f>2160000/20</f>
        <v>108000</v>
      </c>
      <c r="K485" s="123" t="s">
        <v>88</v>
      </c>
      <c r="L485" s="128"/>
      <c r="M485" s="128">
        <v>0.17</v>
      </c>
      <c r="N485" s="122"/>
      <c r="O485" s="126" t="s">
        <v>88</v>
      </c>
      <c r="P485" s="122">
        <f t="shared" si="71"/>
        <v>40</v>
      </c>
      <c r="Q485" s="126" t="s">
        <v>88</v>
      </c>
      <c r="R485" s="127">
        <f t="shared" si="72"/>
        <v>3585600</v>
      </c>
      <c r="S485" s="32">
        <f t="shared" si="68"/>
        <v>3230270.2702702698</v>
      </c>
    </row>
    <row r="486" spans="1:19" s="16" customFormat="1">
      <c r="A486" s="93" t="s">
        <v>476</v>
      </c>
      <c r="B486" s="16" t="s">
        <v>26</v>
      </c>
      <c r="C486" s="129"/>
      <c r="D486" s="130" t="s">
        <v>88</v>
      </c>
      <c r="E486" s="131"/>
      <c r="F486" s="132">
        <v>1</v>
      </c>
      <c r="G486" s="133" t="s">
        <v>21</v>
      </c>
      <c r="H486" s="132">
        <v>20</v>
      </c>
      <c r="I486" s="133" t="s">
        <v>88</v>
      </c>
      <c r="J486" s="134">
        <f>2112000/20</f>
        <v>105600</v>
      </c>
      <c r="K486" s="130" t="s">
        <v>88</v>
      </c>
      <c r="L486" s="135"/>
      <c r="M486" s="135">
        <v>0.17</v>
      </c>
      <c r="N486" s="129"/>
      <c r="O486" s="133" t="s">
        <v>88</v>
      </c>
      <c r="P486" s="129">
        <f t="shared" si="71"/>
        <v>0</v>
      </c>
      <c r="Q486" s="133" t="s">
        <v>88</v>
      </c>
      <c r="R486" s="134">
        <f t="shared" si="72"/>
        <v>0</v>
      </c>
      <c r="S486" s="23">
        <f t="shared" si="68"/>
        <v>0</v>
      </c>
    </row>
    <row r="487" spans="1:19" s="16" customFormat="1">
      <c r="A487" s="93" t="s">
        <v>477</v>
      </c>
      <c r="B487" s="16" t="s">
        <v>26</v>
      </c>
      <c r="C487" s="129"/>
      <c r="D487" s="130" t="s">
        <v>88</v>
      </c>
      <c r="E487" s="131"/>
      <c r="F487" s="132">
        <v>1</v>
      </c>
      <c r="G487" s="133" t="s">
        <v>21</v>
      </c>
      <c r="H487" s="132">
        <v>20</v>
      </c>
      <c r="I487" s="133" t="s">
        <v>88</v>
      </c>
      <c r="J487" s="134">
        <f>10200*12</f>
        <v>122400</v>
      </c>
      <c r="K487" s="130" t="s">
        <v>88</v>
      </c>
      <c r="L487" s="135"/>
      <c r="M487" s="135">
        <v>0.17</v>
      </c>
      <c r="N487" s="129"/>
      <c r="O487" s="133" t="s">
        <v>88</v>
      </c>
      <c r="P487" s="129">
        <f t="shared" si="71"/>
        <v>0</v>
      </c>
      <c r="Q487" s="133" t="s">
        <v>88</v>
      </c>
      <c r="R487" s="134">
        <f t="shared" si="72"/>
        <v>0</v>
      </c>
      <c r="S487" s="23">
        <f t="shared" si="68"/>
        <v>0</v>
      </c>
    </row>
    <row r="488" spans="1:19" s="25" customFormat="1">
      <c r="A488" s="94" t="s">
        <v>478</v>
      </c>
      <c r="B488" s="25" t="s">
        <v>26</v>
      </c>
      <c r="C488" s="122">
        <v>20</v>
      </c>
      <c r="D488" s="123" t="s">
        <v>88</v>
      </c>
      <c r="E488" s="124"/>
      <c r="F488" s="125">
        <v>1</v>
      </c>
      <c r="G488" s="126" t="s">
        <v>21</v>
      </c>
      <c r="H488" s="125">
        <v>20</v>
      </c>
      <c r="I488" s="126" t="s">
        <v>88</v>
      </c>
      <c r="J488" s="127">
        <f>2256000/20</f>
        <v>112800</v>
      </c>
      <c r="K488" s="123" t="s">
        <v>88</v>
      </c>
      <c r="L488" s="128"/>
      <c r="M488" s="128">
        <v>0.17</v>
      </c>
      <c r="N488" s="122"/>
      <c r="O488" s="126" t="s">
        <v>88</v>
      </c>
      <c r="P488" s="122">
        <f t="shared" si="71"/>
        <v>20</v>
      </c>
      <c r="Q488" s="126" t="s">
        <v>88</v>
      </c>
      <c r="R488" s="127">
        <f t="shared" si="72"/>
        <v>1872480</v>
      </c>
      <c r="S488" s="32">
        <f t="shared" si="68"/>
        <v>1686918.9189189188</v>
      </c>
    </row>
    <row r="489" spans="1:19" s="16" customFormat="1">
      <c r="A489" s="93" t="s">
        <v>479</v>
      </c>
      <c r="B489" s="16" t="s">
        <v>26</v>
      </c>
      <c r="C489" s="129"/>
      <c r="D489" s="130" t="s">
        <v>88</v>
      </c>
      <c r="E489" s="131"/>
      <c r="F489" s="132">
        <v>1</v>
      </c>
      <c r="G489" s="133" t="s">
        <v>21</v>
      </c>
      <c r="H489" s="132">
        <v>20</v>
      </c>
      <c r="I489" s="133" t="s">
        <v>88</v>
      </c>
      <c r="J489" s="134">
        <f>8500*12</f>
        <v>102000</v>
      </c>
      <c r="K489" s="130" t="s">
        <v>88</v>
      </c>
      <c r="L489" s="135"/>
      <c r="M489" s="135">
        <v>0.17</v>
      </c>
      <c r="N489" s="129"/>
      <c r="O489" s="133" t="s">
        <v>88</v>
      </c>
      <c r="P489" s="129">
        <f t="shared" si="71"/>
        <v>0</v>
      </c>
      <c r="Q489" s="133" t="s">
        <v>88</v>
      </c>
      <c r="R489" s="134">
        <f t="shared" si="72"/>
        <v>0</v>
      </c>
      <c r="S489" s="23">
        <f t="shared" si="68"/>
        <v>0</v>
      </c>
    </row>
    <row r="490" spans="1:19" s="16" customFormat="1">
      <c r="A490" s="93" t="s">
        <v>480</v>
      </c>
      <c r="B490" s="16" t="s">
        <v>26</v>
      </c>
      <c r="C490" s="129"/>
      <c r="D490" s="130" t="s">
        <v>88</v>
      </c>
      <c r="E490" s="131"/>
      <c r="F490" s="132">
        <v>1</v>
      </c>
      <c r="G490" s="133" t="s">
        <v>21</v>
      </c>
      <c r="H490" s="132">
        <v>20</v>
      </c>
      <c r="I490" s="133" t="s">
        <v>88</v>
      </c>
      <c r="J490" s="134">
        <v>103200</v>
      </c>
      <c r="K490" s="130" t="s">
        <v>88</v>
      </c>
      <c r="L490" s="135"/>
      <c r="M490" s="135">
        <v>0.17</v>
      </c>
      <c r="N490" s="129"/>
      <c r="O490" s="133" t="s">
        <v>88</v>
      </c>
      <c r="P490" s="129">
        <f t="shared" si="71"/>
        <v>0</v>
      </c>
      <c r="Q490" s="133" t="s">
        <v>88</v>
      </c>
      <c r="R490" s="134">
        <f t="shared" si="72"/>
        <v>0</v>
      </c>
      <c r="S490" s="23">
        <f t="shared" si="68"/>
        <v>0</v>
      </c>
    </row>
    <row r="491" spans="1:19">
      <c r="A491" s="34" t="s">
        <v>481</v>
      </c>
      <c r="B491" s="2" t="s">
        <v>26</v>
      </c>
      <c r="C491" s="3">
        <v>1</v>
      </c>
      <c r="D491" s="4" t="s">
        <v>88</v>
      </c>
      <c r="F491" s="6">
        <v>1</v>
      </c>
      <c r="G491" s="7" t="s">
        <v>21</v>
      </c>
      <c r="H491" s="6">
        <v>20</v>
      </c>
      <c r="I491" s="7" t="s">
        <v>88</v>
      </c>
      <c r="J491" s="8">
        <f>1980000/20</f>
        <v>99000</v>
      </c>
      <c r="K491" s="4" t="s">
        <v>88</v>
      </c>
      <c r="M491" s="9">
        <v>0.17</v>
      </c>
      <c r="O491" s="7" t="s">
        <v>88</v>
      </c>
      <c r="P491" s="3">
        <f t="shared" si="71"/>
        <v>1</v>
      </c>
      <c r="Q491" s="7" t="s">
        <v>88</v>
      </c>
      <c r="R491" s="8">
        <f t="shared" si="72"/>
        <v>82170</v>
      </c>
      <c r="S491" s="32">
        <f t="shared" si="68"/>
        <v>74027.027027027027</v>
      </c>
    </row>
    <row r="492" spans="1:19" s="25" customFormat="1">
      <c r="A492" s="94" t="s">
        <v>482</v>
      </c>
      <c r="B492" s="25" t="s">
        <v>26</v>
      </c>
      <c r="C492" s="122">
        <v>94.5</v>
      </c>
      <c r="D492" s="123" t="s">
        <v>88</v>
      </c>
      <c r="E492" s="124"/>
      <c r="F492" s="125">
        <v>1</v>
      </c>
      <c r="G492" s="126" t="s">
        <v>21</v>
      </c>
      <c r="H492" s="125">
        <v>20</v>
      </c>
      <c r="I492" s="126" t="s">
        <v>88</v>
      </c>
      <c r="J492" s="127">
        <f>2064000/20</f>
        <v>103200</v>
      </c>
      <c r="K492" s="123" t="s">
        <v>88</v>
      </c>
      <c r="L492" s="128"/>
      <c r="M492" s="128">
        <v>0.17</v>
      </c>
      <c r="N492" s="136"/>
      <c r="O492" s="126" t="s">
        <v>88</v>
      </c>
      <c r="P492" s="136">
        <f t="shared" si="71"/>
        <v>94.5</v>
      </c>
      <c r="Q492" s="126" t="s">
        <v>88</v>
      </c>
      <c r="R492" s="127">
        <f t="shared" si="72"/>
        <v>8094492</v>
      </c>
      <c r="S492" s="32">
        <f t="shared" si="68"/>
        <v>7292335.1351351347</v>
      </c>
    </row>
    <row r="493" spans="1:19" s="25" customFormat="1">
      <c r="A493" s="94" t="s">
        <v>483</v>
      </c>
      <c r="B493" s="25" t="s">
        <v>26</v>
      </c>
      <c r="C493" s="122">
        <v>30.5</v>
      </c>
      <c r="D493" s="123" t="s">
        <v>88</v>
      </c>
      <c r="E493" s="124"/>
      <c r="F493" s="125">
        <v>1</v>
      </c>
      <c r="G493" s="126" t="s">
        <v>21</v>
      </c>
      <c r="H493" s="125">
        <v>20</v>
      </c>
      <c r="I493" s="126" t="s">
        <v>88</v>
      </c>
      <c r="J493" s="127">
        <f>2064000/20</f>
        <v>103200</v>
      </c>
      <c r="K493" s="123" t="s">
        <v>88</v>
      </c>
      <c r="L493" s="128"/>
      <c r="M493" s="128">
        <v>0.17</v>
      </c>
      <c r="N493" s="136"/>
      <c r="O493" s="126" t="s">
        <v>88</v>
      </c>
      <c r="P493" s="136">
        <f t="shared" si="71"/>
        <v>30.5</v>
      </c>
      <c r="Q493" s="126" t="s">
        <v>88</v>
      </c>
      <c r="R493" s="127">
        <f t="shared" si="72"/>
        <v>2612508</v>
      </c>
      <c r="S493" s="32">
        <f t="shared" si="68"/>
        <v>2353610.8108108104</v>
      </c>
    </row>
    <row r="494" spans="1:19" s="25" customFormat="1">
      <c r="A494" s="94" t="s">
        <v>484</v>
      </c>
      <c r="B494" s="25" t="s">
        <v>26</v>
      </c>
      <c r="C494" s="122">
        <v>19</v>
      </c>
      <c r="D494" s="123" t="s">
        <v>88</v>
      </c>
      <c r="E494" s="124"/>
      <c r="F494" s="125">
        <v>1</v>
      </c>
      <c r="G494" s="126" t="s">
        <v>21</v>
      </c>
      <c r="H494" s="125">
        <v>20</v>
      </c>
      <c r="I494" s="126" t="s">
        <v>88</v>
      </c>
      <c r="J494" s="127">
        <f>2112000/20</f>
        <v>105600</v>
      </c>
      <c r="K494" s="123" t="s">
        <v>88</v>
      </c>
      <c r="L494" s="128"/>
      <c r="M494" s="128">
        <v>0.17</v>
      </c>
      <c r="N494" s="122"/>
      <c r="O494" s="126" t="s">
        <v>88</v>
      </c>
      <c r="P494" s="122">
        <f t="shared" si="71"/>
        <v>19</v>
      </c>
      <c r="Q494" s="126" t="s">
        <v>88</v>
      </c>
      <c r="R494" s="127">
        <f t="shared" si="72"/>
        <v>1665312</v>
      </c>
      <c r="S494" s="32">
        <f t="shared" si="68"/>
        <v>1500281.0810810809</v>
      </c>
    </row>
    <row r="495" spans="1:19" s="16" customFormat="1">
      <c r="A495" s="93" t="s">
        <v>485</v>
      </c>
      <c r="B495" s="16" t="s">
        <v>26</v>
      </c>
      <c r="C495" s="129">
        <v>3</v>
      </c>
      <c r="D495" s="130" t="s">
        <v>88</v>
      </c>
      <c r="E495" s="131"/>
      <c r="F495" s="132">
        <v>1</v>
      </c>
      <c r="G495" s="133" t="s">
        <v>21</v>
      </c>
      <c r="H495" s="132">
        <v>20</v>
      </c>
      <c r="I495" s="133" t="s">
        <v>88</v>
      </c>
      <c r="J495" s="134">
        <f>2160000/20</f>
        <v>108000</v>
      </c>
      <c r="K495" s="130" t="s">
        <v>88</v>
      </c>
      <c r="L495" s="135"/>
      <c r="M495" s="135">
        <v>0.17</v>
      </c>
      <c r="N495" s="129">
        <v>3</v>
      </c>
      <c r="O495" s="133" t="s">
        <v>88</v>
      </c>
      <c r="P495" s="129">
        <f t="shared" si="71"/>
        <v>0</v>
      </c>
      <c r="Q495" s="133" t="s">
        <v>88</v>
      </c>
      <c r="R495" s="134">
        <f t="shared" si="72"/>
        <v>0</v>
      </c>
      <c r="S495" s="23">
        <f t="shared" si="68"/>
        <v>0</v>
      </c>
    </row>
    <row r="496" spans="1:19" s="16" customFormat="1">
      <c r="A496" s="93" t="s">
        <v>486</v>
      </c>
      <c r="B496" s="16" t="s">
        <v>26</v>
      </c>
      <c r="C496" s="129"/>
      <c r="D496" s="130" t="s">
        <v>88</v>
      </c>
      <c r="E496" s="131"/>
      <c r="F496" s="132">
        <v>1</v>
      </c>
      <c r="G496" s="133" t="s">
        <v>21</v>
      </c>
      <c r="H496" s="132">
        <v>20</v>
      </c>
      <c r="I496" s="133" t="s">
        <v>88</v>
      </c>
      <c r="J496" s="134">
        <f>2160000/20</f>
        <v>108000</v>
      </c>
      <c r="K496" s="130" t="s">
        <v>88</v>
      </c>
      <c r="L496" s="135"/>
      <c r="M496" s="135">
        <v>0.17</v>
      </c>
      <c r="N496" s="129"/>
      <c r="O496" s="133" t="s">
        <v>88</v>
      </c>
      <c r="P496" s="129">
        <f t="shared" si="71"/>
        <v>0</v>
      </c>
      <c r="Q496" s="133" t="s">
        <v>88</v>
      </c>
      <c r="R496" s="134">
        <f t="shared" si="72"/>
        <v>0</v>
      </c>
      <c r="S496" s="23">
        <f t="shared" si="68"/>
        <v>0</v>
      </c>
    </row>
    <row r="497" spans="1:19" s="25" customFormat="1">
      <c r="A497" s="94" t="s">
        <v>487</v>
      </c>
      <c r="B497" s="25" t="s">
        <v>26</v>
      </c>
      <c r="C497" s="122">
        <v>1</v>
      </c>
      <c r="D497" s="123" t="s">
        <v>88</v>
      </c>
      <c r="E497" s="124"/>
      <c r="F497" s="125">
        <v>1</v>
      </c>
      <c r="G497" s="126" t="s">
        <v>21</v>
      </c>
      <c r="H497" s="125">
        <v>20</v>
      </c>
      <c r="I497" s="126" t="s">
        <v>88</v>
      </c>
      <c r="J497" s="127">
        <f>2112000/20</f>
        <v>105600</v>
      </c>
      <c r="K497" s="123" t="s">
        <v>88</v>
      </c>
      <c r="L497" s="128"/>
      <c r="M497" s="128">
        <v>0.17</v>
      </c>
      <c r="N497" s="122"/>
      <c r="O497" s="126" t="s">
        <v>88</v>
      </c>
      <c r="P497" s="122">
        <f t="shared" si="71"/>
        <v>1</v>
      </c>
      <c r="Q497" s="126" t="s">
        <v>88</v>
      </c>
      <c r="R497" s="127">
        <f t="shared" si="72"/>
        <v>87648</v>
      </c>
      <c r="S497" s="32">
        <f t="shared" si="68"/>
        <v>78962.16216216216</v>
      </c>
    </row>
    <row r="498" spans="1:19" s="25" customFormat="1">
      <c r="A498" s="94" t="s">
        <v>488</v>
      </c>
      <c r="B498" s="25" t="s">
        <v>26</v>
      </c>
      <c r="C498" s="122">
        <v>2</v>
      </c>
      <c r="D498" s="123" t="s">
        <v>88</v>
      </c>
      <c r="E498" s="124"/>
      <c r="F498" s="125">
        <v>1</v>
      </c>
      <c r="G498" s="126" t="s">
        <v>21</v>
      </c>
      <c r="H498" s="125">
        <v>20</v>
      </c>
      <c r="I498" s="126" t="s">
        <v>88</v>
      </c>
      <c r="J498" s="127">
        <f>2352000/20</f>
        <v>117600</v>
      </c>
      <c r="K498" s="123" t="s">
        <v>88</v>
      </c>
      <c r="L498" s="128"/>
      <c r="M498" s="128">
        <v>0.17</v>
      </c>
      <c r="N498" s="122"/>
      <c r="O498" s="126" t="s">
        <v>88</v>
      </c>
      <c r="P498" s="122">
        <f t="shared" si="71"/>
        <v>2</v>
      </c>
      <c r="Q498" s="126" t="s">
        <v>88</v>
      </c>
      <c r="R498" s="127">
        <f t="shared" si="72"/>
        <v>195216</v>
      </c>
      <c r="S498" s="32">
        <f t="shared" si="68"/>
        <v>175870.27027027027</v>
      </c>
    </row>
    <row r="499" spans="1:19" s="25" customFormat="1">
      <c r="A499" s="94" t="s">
        <v>489</v>
      </c>
      <c r="B499" s="25" t="s">
        <v>192</v>
      </c>
      <c r="C499" s="122">
        <v>208</v>
      </c>
      <c r="D499" s="123" t="s">
        <v>88</v>
      </c>
      <c r="E499" s="124"/>
      <c r="F499" s="125">
        <v>1</v>
      </c>
      <c r="G499" s="126" t="s">
        <v>21</v>
      </c>
      <c r="H499" s="125">
        <v>30</v>
      </c>
      <c r="I499" s="126" t="s">
        <v>88</v>
      </c>
      <c r="J499" s="127">
        <v>155000</v>
      </c>
      <c r="K499" s="123" t="s">
        <v>88</v>
      </c>
      <c r="L499" s="128"/>
      <c r="M499" s="128"/>
      <c r="N499" s="122">
        <v>1</v>
      </c>
      <c r="O499" s="126" t="s">
        <v>88</v>
      </c>
      <c r="P499" s="122">
        <f t="shared" si="71"/>
        <v>207</v>
      </c>
      <c r="Q499" s="126" t="s">
        <v>88</v>
      </c>
      <c r="R499" s="127">
        <f t="shared" si="72"/>
        <v>32085000</v>
      </c>
      <c r="S499" s="32">
        <f t="shared" si="68"/>
        <v>28905405.405405402</v>
      </c>
    </row>
    <row r="500" spans="1:19">
      <c r="A500" s="15" t="s">
        <v>490</v>
      </c>
      <c r="S500" s="23"/>
    </row>
    <row r="501" spans="1:19">
      <c r="A501" s="34" t="s">
        <v>491</v>
      </c>
      <c r="B501" s="2" t="s">
        <v>192</v>
      </c>
      <c r="C501" s="3">
        <v>249</v>
      </c>
      <c r="D501" s="4" t="s">
        <v>34</v>
      </c>
      <c r="F501" s="6">
        <v>1</v>
      </c>
      <c r="G501" s="7" t="s">
        <v>21</v>
      </c>
      <c r="H501" s="6">
        <v>40</v>
      </c>
      <c r="I501" s="7" t="s">
        <v>34</v>
      </c>
      <c r="J501" s="8">
        <v>33600</v>
      </c>
      <c r="K501" s="4" t="s">
        <v>34</v>
      </c>
      <c r="N501" s="3">
        <f>20+6</f>
        <v>26</v>
      </c>
      <c r="O501" s="7" t="s">
        <v>34</v>
      </c>
      <c r="P501" s="3">
        <f>(C501+(E501*F501*H501))-N501</f>
        <v>223</v>
      </c>
      <c r="Q501" s="7" t="s">
        <v>34</v>
      </c>
      <c r="R501" s="8">
        <f>P501*(J501-(J501*L501)-((J501-(J501*L501))*M501))</f>
        <v>7492800</v>
      </c>
      <c r="S501" s="32">
        <f t="shared" si="68"/>
        <v>6750270.2702702694</v>
      </c>
    </row>
    <row r="502" spans="1:19">
      <c r="A502" s="34" t="s">
        <v>492</v>
      </c>
      <c r="B502" s="2" t="s">
        <v>192</v>
      </c>
      <c r="C502" s="3">
        <v>320</v>
      </c>
      <c r="D502" s="4" t="s">
        <v>34</v>
      </c>
      <c r="F502" s="6">
        <v>1</v>
      </c>
      <c r="G502" s="7" t="s">
        <v>21</v>
      </c>
      <c r="H502" s="6">
        <v>40</v>
      </c>
      <c r="I502" s="7" t="s">
        <v>34</v>
      </c>
      <c r="J502" s="8">
        <v>33600</v>
      </c>
      <c r="K502" s="4" t="s">
        <v>34</v>
      </c>
      <c r="N502" s="3">
        <f>6+(42/42)</f>
        <v>7</v>
      </c>
      <c r="O502" s="7" t="s">
        <v>34</v>
      </c>
      <c r="P502" s="3">
        <f>(C502+(E502*F502*H502))-N502</f>
        <v>313</v>
      </c>
      <c r="Q502" s="7" t="s">
        <v>34</v>
      </c>
      <c r="R502" s="8">
        <f>P502*(J502-(J502*L502)-((J502-(J502*L502))*M502))</f>
        <v>10516800</v>
      </c>
      <c r="S502" s="32">
        <f t="shared" si="68"/>
        <v>9474594.5945945941</v>
      </c>
    </row>
    <row r="503" spans="1:19">
      <c r="A503" s="34" t="s">
        <v>493</v>
      </c>
      <c r="B503" s="2" t="s">
        <v>192</v>
      </c>
      <c r="C503" s="3">
        <v>466</v>
      </c>
      <c r="D503" s="4" t="s">
        <v>34</v>
      </c>
      <c r="F503" s="6">
        <v>1</v>
      </c>
      <c r="G503" s="7" t="s">
        <v>21</v>
      </c>
      <c r="H503" s="6">
        <v>40</v>
      </c>
      <c r="I503" s="7" t="s">
        <v>34</v>
      </c>
      <c r="J503" s="8">
        <v>33600</v>
      </c>
      <c r="K503" s="4" t="s">
        <v>34</v>
      </c>
      <c r="N503" s="3">
        <v>2</v>
      </c>
      <c r="O503" s="7" t="s">
        <v>34</v>
      </c>
      <c r="P503" s="3">
        <f>(C503+(E503*F503*H503))-N503</f>
        <v>464</v>
      </c>
      <c r="Q503" s="7" t="s">
        <v>34</v>
      </c>
      <c r="R503" s="8">
        <f>P503*(J503-(J503*L503)-((J503-(J503*L503))*M503))</f>
        <v>15590400</v>
      </c>
      <c r="S503" s="32">
        <f t="shared" si="68"/>
        <v>14045405.405405404</v>
      </c>
    </row>
    <row r="504" spans="1:19">
      <c r="A504" s="34" t="s">
        <v>494</v>
      </c>
      <c r="B504" s="2" t="s">
        <v>192</v>
      </c>
      <c r="C504" s="3">
        <v>106</v>
      </c>
      <c r="D504" s="4" t="s">
        <v>34</v>
      </c>
      <c r="F504" s="6">
        <v>1</v>
      </c>
      <c r="G504" s="7" t="s">
        <v>21</v>
      </c>
      <c r="H504" s="6">
        <v>40</v>
      </c>
      <c r="I504" s="7" t="s">
        <v>34</v>
      </c>
      <c r="J504" s="8">
        <v>33600</v>
      </c>
      <c r="K504" s="4" t="s">
        <v>34</v>
      </c>
      <c r="N504" s="3">
        <f>20+6+30+2</f>
        <v>58</v>
      </c>
      <c r="O504" s="7" t="s">
        <v>34</v>
      </c>
      <c r="P504" s="3">
        <f>(C504+(E504*F504*H504))-N504</f>
        <v>48</v>
      </c>
      <c r="Q504" s="7" t="s">
        <v>34</v>
      </c>
      <c r="R504" s="8">
        <f>P504*(J504-(J504*L504)-((J504-(J504*L504))*M504))</f>
        <v>1612800</v>
      </c>
      <c r="S504" s="32">
        <f t="shared" si="68"/>
        <v>1452972.9729729728</v>
      </c>
    </row>
    <row r="505" spans="1:19">
      <c r="A505" s="34" t="s">
        <v>495</v>
      </c>
      <c r="B505" s="2" t="s">
        <v>192</v>
      </c>
      <c r="C505" s="3">
        <v>127</v>
      </c>
      <c r="D505" s="4" t="s">
        <v>34</v>
      </c>
      <c r="F505" s="6">
        <v>1</v>
      </c>
      <c r="G505" s="7" t="s">
        <v>21</v>
      </c>
      <c r="H505" s="6">
        <v>24</v>
      </c>
      <c r="I505" s="7" t="s">
        <v>34</v>
      </c>
      <c r="J505" s="8">
        <v>38400</v>
      </c>
      <c r="K505" s="4" t="s">
        <v>34</v>
      </c>
      <c r="N505" s="3">
        <f>6+2+12+6+(32/32)+1</f>
        <v>28</v>
      </c>
      <c r="O505" s="7" t="s">
        <v>34</v>
      </c>
      <c r="P505" s="3">
        <f>(C505+(E505*F505*H505))-N505</f>
        <v>99</v>
      </c>
      <c r="Q505" s="7" t="s">
        <v>34</v>
      </c>
      <c r="R505" s="8">
        <f>P505*(J505-(J505*L505)-((J505-(J505*L505))*M505))</f>
        <v>3801600</v>
      </c>
      <c r="S505" s="32">
        <f t="shared" si="68"/>
        <v>3424864.8648648644</v>
      </c>
    </row>
    <row r="506" spans="1:19">
      <c r="A506" s="15" t="s">
        <v>496</v>
      </c>
      <c r="S506" s="23"/>
    </row>
    <row r="507" spans="1:19" s="17" customFormat="1">
      <c r="A507" s="137" t="s">
        <v>497</v>
      </c>
      <c r="B507" s="17" t="s">
        <v>19</v>
      </c>
      <c r="C507" s="18"/>
      <c r="D507" s="19" t="s">
        <v>43</v>
      </c>
      <c r="E507" s="20"/>
      <c r="F507" s="21">
        <v>12</v>
      </c>
      <c r="G507" s="22" t="s">
        <v>88</v>
      </c>
      <c r="H507" s="21">
        <v>12</v>
      </c>
      <c r="I507" s="22" t="s">
        <v>43</v>
      </c>
      <c r="J507" s="23">
        <f>240000/12</f>
        <v>20000</v>
      </c>
      <c r="K507" s="19" t="s">
        <v>43</v>
      </c>
      <c r="L507" s="24">
        <v>0.125</v>
      </c>
      <c r="M507" s="24">
        <v>0.05</v>
      </c>
      <c r="N507" s="18"/>
      <c r="O507" s="22" t="s">
        <v>43</v>
      </c>
      <c r="P507" s="18">
        <f t="shared" ref="P507:P508" si="73">(C507+(E507*F507*H507))-N507</f>
        <v>0</v>
      </c>
      <c r="Q507" s="22" t="s">
        <v>43</v>
      </c>
      <c r="R507" s="23">
        <f t="shared" ref="R507:R508" si="74">P507*(J507-(J507*L507)-((J507-(J507*L507))*M507))</f>
        <v>0</v>
      </c>
      <c r="S507" s="23">
        <f t="shared" ref="S507:S508" si="75">R507/1.11</f>
        <v>0</v>
      </c>
    </row>
    <row r="508" spans="1:19" s="17" customFormat="1">
      <c r="A508" s="137" t="s">
        <v>498</v>
      </c>
      <c r="B508" s="17" t="s">
        <v>26</v>
      </c>
      <c r="C508" s="18"/>
      <c r="D508" s="19" t="s">
        <v>43</v>
      </c>
      <c r="E508" s="20"/>
      <c r="F508" s="21">
        <v>12</v>
      </c>
      <c r="G508" s="22" t="s">
        <v>34</v>
      </c>
      <c r="H508" s="21">
        <v>6</v>
      </c>
      <c r="I508" s="22" t="s">
        <v>43</v>
      </c>
      <c r="J508" s="23">
        <v>21000</v>
      </c>
      <c r="K508" s="19" t="s">
        <v>43</v>
      </c>
      <c r="L508" s="24"/>
      <c r="M508" s="24">
        <v>0.17</v>
      </c>
      <c r="N508" s="18"/>
      <c r="O508" s="22" t="s">
        <v>43</v>
      </c>
      <c r="P508" s="18">
        <f t="shared" si="73"/>
        <v>0</v>
      </c>
      <c r="Q508" s="22" t="s">
        <v>43</v>
      </c>
      <c r="R508" s="23">
        <f t="shared" si="74"/>
        <v>0</v>
      </c>
      <c r="S508" s="23">
        <f t="shared" si="75"/>
        <v>0</v>
      </c>
    </row>
    <row r="509" spans="1:19">
      <c r="A509" s="15" t="s">
        <v>499</v>
      </c>
      <c r="S509" s="23"/>
    </row>
    <row r="510" spans="1:19" s="17" customFormat="1">
      <c r="A510" s="137" t="s">
        <v>500</v>
      </c>
      <c r="B510" s="17" t="s">
        <v>19</v>
      </c>
      <c r="C510" s="18"/>
      <c r="D510" s="19" t="s">
        <v>43</v>
      </c>
      <c r="E510" s="20"/>
      <c r="F510" s="21">
        <v>1</v>
      </c>
      <c r="G510" s="22" t="s">
        <v>21</v>
      </c>
      <c r="H510" s="21">
        <v>144</v>
      </c>
      <c r="I510" s="22" t="s">
        <v>43</v>
      </c>
      <c r="J510" s="23">
        <v>45600</v>
      </c>
      <c r="K510" s="19" t="s">
        <v>43</v>
      </c>
      <c r="L510" s="24">
        <v>0.125</v>
      </c>
      <c r="M510" s="24">
        <v>0.05</v>
      </c>
      <c r="N510" s="18"/>
      <c r="O510" s="22" t="s">
        <v>43</v>
      </c>
      <c r="P510" s="18">
        <f t="shared" ref="P510:P522" si="76">(C510+(E510*F510*H510))-N510</f>
        <v>0</v>
      </c>
      <c r="Q510" s="22" t="s">
        <v>43</v>
      </c>
      <c r="R510" s="23">
        <f t="shared" ref="R510:R522" si="77">P510*(J510-(J510*L510)-((J510-(J510*L510))*M510))</f>
        <v>0</v>
      </c>
      <c r="S510" s="23">
        <f t="shared" si="68"/>
        <v>0</v>
      </c>
    </row>
    <row r="511" spans="1:19" s="17" customFormat="1">
      <c r="A511" s="137" t="s">
        <v>501</v>
      </c>
      <c r="B511" s="17" t="s">
        <v>19</v>
      </c>
      <c r="C511" s="18"/>
      <c r="D511" s="19" t="s">
        <v>43</v>
      </c>
      <c r="E511" s="20"/>
      <c r="F511" s="21">
        <v>1</v>
      </c>
      <c r="G511" s="22" t="s">
        <v>21</v>
      </c>
      <c r="H511" s="21">
        <v>120</v>
      </c>
      <c r="I511" s="22" t="s">
        <v>43</v>
      </c>
      <c r="J511" s="23">
        <v>29400</v>
      </c>
      <c r="K511" s="19" t="s">
        <v>43</v>
      </c>
      <c r="L511" s="24">
        <v>0.125</v>
      </c>
      <c r="M511" s="24">
        <v>0.05</v>
      </c>
      <c r="N511" s="18"/>
      <c r="O511" s="22" t="s">
        <v>43</v>
      </c>
      <c r="P511" s="18">
        <f t="shared" si="76"/>
        <v>0</v>
      </c>
      <c r="Q511" s="22" t="s">
        <v>43</v>
      </c>
      <c r="R511" s="23">
        <f t="shared" si="77"/>
        <v>0</v>
      </c>
      <c r="S511" s="23">
        <f t="shared" si="68"/>
        <v>0</v>
      </c>
    </row>
    <row r="512" spans="1:19" s="17" customFormat="1">
      <c r="A512" s="137" t="s">
        <v>502</v>
      </c>
      <c r="B512" s="17" t="s">
        <v>19</v>
      </c>
      <c r="C512" s="18"/>
      <c r="D512" s="19" t="s">
        <v>43</v>
      </c>
      <c r="E512" s="20"/>
      <c r="F512" s="21">
        <v>1</v>
      </c>
      <c r="G512" s="22" t="s">
        <v>21</v>
      </c>
      <c r="H512" s="21">
        <v>144</v>
      </c>
      <c r="I512" s="22" t="s">
        <v>43</v>
      </c>
      <c r="J512" s="23">
        <v>22800</v>
      </c>
      <c r="K512" s="19" t="s">
        <v>43</v>
      </c>
      <c r="L512" s="24">
        <v>0.125</v>
      </c>
      <c r="M512" s="24">
        <v>0.05</v>
      </c>
      <c r="N512" s="18"/>
      <c r="O512" s="22" t="s">
        <v>43</v>
      </c>
      <c r="P512" s="18">
        <f t="shared" si="76"/>
        <v>0</v>
      </c>
      <c r="Q512" s="22" t="s">
        <v>43</v>
      </c>
      <c r="R512" s="23">
        <f t="shared" si="77"/>
        <v>0</v>
      </c>
      <c r="S512" s="23">
        <f t="shared" si="68"/>
        <v>0</v>
      </c>
    </row>
    <row r="513" spans="1:19" s="17" customFormat="1">
      <c r="A513" s="137" t="s">
        <v>503</v>
      </c>
      <c r="B513" s="17" t="s">
        <v>19</v>
      </c>
      <c r="C513" s="18"/>
      <c r="D513" s="19" t="s">
        <v>43</v>
      </c>
      <c r="E513" s="20"/>
      <c r="F513" s="21">
        <v>1</v>
      </c>
      <c r="G513" s="22" t="s">
        <v>21</v>
      </c>
      <c r="H513" s="21">
        <v>144</v>
      </c>
      <c r="I513" s="22" t="s">
        <v>43</v>
      </c>
      <c r="J513" s="23">
        <v>40800</v>
      </c>
      <c r="K513" s="19" t="s">
        <v>43</v>
      </c>
      <c r="L513" s="24">
        <v>0.125</v>
      </c>
      <c r="M513" s="24">
        <v>0.05</v>
      </c>
      <c r="N513" s="18"/>
      <c r="O513" s="22" t="s">
        <v>43</v>
      </c>
      <c r="P513" s="18">
        <f t="shared" si="76"/>
        <v>0</v>
      </c>
      <c r="Q513" s="22" t="s">
        <v>43</v>
      </c>
      <c r="R513" s="23">
        <f t="shared" si="77"/>
        <v>0</v>
      </c>
      <c r="S513" s="23">
        <f t="shared" si="68"/>
        <v>0</v>
      </c>
    </row>
    <row r="514" spans="1:19" s="17" customFormat="1">
      <c r="A514" s="137" t="s">
        <v>504</v>
      </c>
      <c r="B514" s="17" t="s">
        <v>19</v>
      </c>
      <c r="C514" s="18"/>
      <c r="D514" s="19" t="s">
        <v>43</v>
      </c>
      <c r="E514" s="20"/>
      <c r="F514" s="21">
        <v>1</v>
      </c>
      <c r="G514" s="22" t="s">
        <v>21</v>
      </c>
      <c r="H514" s="21">
        <v>144</v>
      </c>
      <c r="I514" s="22" t="s">
        <v>43</v>
      </c>
      <c r="J514" s="23">
        <v>36000</v>
      </c>
      <c r="K514" s="19" t="s">
        <v>43</v>
      </c>
      <c r="L514" s="24">
        <v>0.125</v>
      </c>
      <c r="M514" s="24">
        <v>0.05</v>
      </c>
      <c r="N514" s="18"/>
      <c r="O514" s="22" t="s">
        <v>43</v>
      </c>
      <c r="P514" s="18">
        <f t="shared" si="76"/>
        <v>0</v>
      </c>
      <c r="Q514" s="22" t="s">
        <v>43</v>
      </c>
      <c r="R514" s="23">
        <f t="shared" si="77"/>
        <v>0</v>
      </c>
      <c r="S514" s="23">
        <f t="shared" si="68"/>
        <v>0</v>
      </c>
    </row>
    <row r="515" spans="1:19" s="26" customFormat="1">
      <c r="A515" s="25" t="s">
        <v>505</v>
      </c>
      <c r="B515" s="26" t="s">
        <v>26</v>
      </c>
      <c r="C515" s="27">
        <v>131</v>
      </c>
      <c r="D515" s="28" t="s">
        <v>43</v>
      </c>
      <c r="E515" s="29"/>
      <c r="F515" s="30">
        <v>1</v>
      </c>
      <c r="G515" s="31" t="s">
        <v>21</v>
      </c>
      <c r="H515" s="30">
        <v>144</v>
      </c>
      <c r="I515" s="31" t="s">
        <v>43</v>
      </c>
      <c r="J515" s="32">
        <f>6739200/144</f>
        <v>46800</v>
      </c>
      <c r="K515" s="28" t="s">
        <v>43</v>
      </c>
      <c r="L515" s="33"/>
      <c r="M515" s="33">
        <v>0.17</v>
      </c>
      <c r="N515" s="27">
        <f>6+(36/12)+3+3+12+12+1</f>
        <v>40</v>
      </c>
      <c r="O515" s="31" t="s">
        <v>43</v>
      </c>
      <c r="P515" s="27">
        <f t="shared" si="76"/>
        <v>91</v>
      </c>
      <c r="Q515" s="31" t="s">
        <v>43</v>
      </c>
      <c r="R515" s="32">
        <f t="shared" si="77"/>
        <v>3534804</v>
      </c>
      <c r="S515" s="32">
        <f t="shared" si="68"/>
        <v>3184508.1081081079</v>
      </c>
    </row>
    <row r="516" spans="1:19" s="26" customFormat="1">
      <c r="A516" s="25" t="s">
        <v>506</v>
      </c>
      <c r="B516" s="26" t="s">
        <v>26</v>
      </c>
      <c r="C516" s="27">
        <v>2</v>
      </c>
      <c r="D516" s="28" t="s">
        <v>43</v>
      </c>
      <c r="E516" s="29"/>
      <c r="F516" s="30">
        <v>1</v>
      </c>
      <c r="G516" s="31" t="s">
        <v>21</v>
      </c>
      <c r="H516" s="30">
        <v>144</v>
      </c>
      <c r="I516" s="31" t="s">
        <v>43</v>
      </c>
      <c r="J516" s="32">
        <f>4233600/144</f>
        <v>29400</v>
      </c>
      <c r="K516" s="28" t="s">
        <v>43</v>
      </c>
      <c r="L516" s="33"/>
      <c r="M516" s="33">
        <v>0.17</v>
      </c>
      <c r="N516" s="27"/>
      <c r="O516" s="31" t="s">
        <v>43</v>
      </c>
      <c r="P516" s="27">
        <f t="shared" si="76"/>
        <v>2</v>
      </c>
      <c r="Q516" s="31" t="s">
        <v>43</v>
      </c>
      <c r="R516" s="32">
        <f t="shared" si="77"/>
        <v>48804</v>
      </c>
      <c r="S516" s="32">
        <f t="shared" si="68"/>
        <v>43967.567567567567</v>
      </c>
    </row>
    <row r="517" spans="1:19" s="17" customFormat="1">
      <c r="A517" s="16" t="s">
        <v>507</v>
      </c>
      <c r="B517" s="17" t="s">
        <v>26</v>
      </c>
      <c r="C517" s="18"/>
      <c r="D517" s="19" t="s">
        <v>43</v>
      </c>
      <c r="E517" s="20"/>
      <c r="F517" s="21">
        <v>1</v>
      </c>
      <c r="G517" s="22" t="s">
        <v>21</v>
      </c>
      <c r="H517" s="21">
        <v>144</v>
      </c>
      <c r="I517" s="22" t="s">
        <v>43</v>
      </c>
      <c r="J517" s="23">
        <v>29400</v>
      </c>
      <c r="K517" s="19" t="s">
        <v>43</v>
      </c>
      <c r="L517" s="24"/>
      <c r="M517" s="24">
        <v>0.17</v>
      </c>
      <c r="N517" s="18"/>
      <c r="O517" s="22" t="s">
        <v>43</v>
      </c>
      <c r="P517" s="18">
        <f t="shared" si="76"/>
        <v>0</v>
      </c>
      <c r="Q517" s="22" t="s">
        <v>43</v>
      </c>
      <c r="R517" s="23">
        <f t="shared" si="77"/>
        <v>0</v>
      </c>
      <c r="S517" s="23">
        <f t="shared" si="68"/>
        <v>0</v>
      </c>
    </row>
    <row r="518" spans="1:19" s="26" customFormat="1">
      <c r="A518" s="25" t="s">
        <v>508</v>
      </c>
      <c r="B518" s="26" t="s">
        <v>26</v>
      </c>
      <c r="C518" s="27">
        <v>32</v>
      </c>
      <c r="D518" s="28" t="s">
        <v>43</v>
      </c>
      <c r="E518" s="29"/>
      <c r="F518" s="30">
        <v>1</v>
      </c>
      <c r="G518" s="31" t="s">
        <v>21</v>
      </c>
      <c r="H518" s="30">
        <v>144</v>
      </c>
      <c r="I518" s="31" t="s">
        <v>43</v>
      </c>
      <c r="J518" s="32">
        <f>2764800/144</f>
        <v>19200</v>
      </c>
      <c r="K518" s="28" t="s">
        <v>43</v>
      </c>
      <c r="L518" s="33"/>
      <c r="M518" s="33">
        <v>0.17</v>
      </c>
      <c r="N518" s="27"/>
      <c r="O518" s="31" t="s">
        <v>43</v>
      </c>
      <c r="P518" s="27">
        <f t="shared" si="76"/>
        <v>32</v>
      </c>
      <c r="Q518" s="31" t="s">
        <v>43</v>
      </c>
      <c r="R518" s="32">
        <f t="shared" si="77"/>
        <v>509952</v>
      </c>
      <c r="S518" s="32">
        <f t="shared" si="68"/>
        <v>459416.21621621615</v>
      </c>
    </row>
    <row r="519" spans="1:19" s="17" customFormat="1">
      <c r="A519" s="16" t="s">
        <v>509</v>
      </c>
      <c r="B519" s="17" t="s">
        <v>26</v>
      </c>
      <c r="C519" s="18"/>
      <c r="D519" s="19" t="s">
        <v>43</v>
      </c>
      <c r="E519" s="20"/>
      <c r="F519" s="21">
        <v>1</v>
      </c>
      <c r="G519" s="22" t="s">
        <v>21</v>
      </c>
      <c r="H519" s="21">
        <v>144</v>
      </c>
      <c r="I519" s="22" t="s">
        <v>43</v>
      </c>
      <c r="J519" s="23">
        <f>3369600/144</f>
        <v>23400</v>
      </c>
      <c r="K519" s="19" t="s">
        <v>43</v>
      </c>
      <c r="L519" s="24"/>
      <c r="M519" s="24">
        <v>0.17</v>
      </c>
      <c r="N519" s="18"/>
      <c r="O519" s="22" t="s">
        <v>43</v>
      </c>
      <c r="P519" s="18">
        <f t="shared" si="76"/>
        <v>0</v>
      </c>
      <c r="Q519" s="22" t="s">
        <v>43</v>
      </c>
      <c r="R519" s="23">
        <f t="shared" si="77"/>
        <v>0</v>
      </c>
      <c r="S519" s="23">
        <f t="shared" si="68"/>
        <v>0</v>
      </c>
    </row>
    <row r="520" spans="1:19" s="17" customFormat="1">
      <c r="A520" s="16" t="s">
        <v>510</v>
      </c>
      <c r="B520" s="17" t="s">
        <v>275</v>
      </c>
      <c r="C520" s="18"/>
      <c r="D520" s="19" t="s">
        <v>43</v>
      </c>
      <c r="E520" s="20"/>
      <c r="F520" s="21">
        <v>1</v>
      </c>
      <c r="G520" s="22" t="s">
        <v>21</v>
      </c>
      <c r="H520" s="21">
        <v>144</v>
      </c>
      <c r="I520" s="22" t="s">
        <v>43</v>
      </c>
      <c r="J520" s="23">
        <v>12500</v>
      </c>
      <c r="K520" s="19" t="s">
        <v>43</v>
      </c>
      <c r="L520" s="24"/>
      <c r="M520" s="24"/>
      <c r="N520" s="18"/>
      <c r="O520" s="22" t="s">
        <v>43</v>
      </c>
      <c r="P520" s="18">
        <f t="shared" si="76"/>
        <v>0</v>
      </c>
      <c r="Q520" s="22" t="s">
        <v>43</v>
      </c>
      <c r="R520" s="23">
        <f t="shared" si="77"/>
        <v>0</v>
      </c>
      <c r="S520" s="23">
        <f>R520/1.11</f>
        <v>0</v>
      </c>
    </row>
    <row r="521" spans="1:19" s="17" customFormat="1">
      <c r="A521" s="16" t="s">
        <v>511</v>
      </c>
      <c r="B521" s="17" t="s">
        <v>275</v>
      </c>
      <c r="C521" s="18"/>
      <c r="D521" s="19" t="s">
        <v>43</v>
      </c>
      <c r="E521" s="20"/>
      <c r="F521" s="21">
        <v>1</v>
      </c>
      <c r="G521" s="22" t="s">
        <v>21</v>
      </c>
      <c r="H521" s="21">
        <v>144</v>
      </c>
      <c r="I521" s="22" t="s">
        <v>43</v>
      </c>
      <c r="J521" s="23">
        <v>12500</v>
      </c>
      <c r="K521" s="19" t="s">
        <v>43</v>
      </c>
      <c r="L521" s="24"/>
      <c r="M521" s="24"/>
      <c r="N521" s="18"/>
      <c r="O521" s="22" t="s">
        <v>43</v>
      </c>
      <c r="P521" s="18">
        <f t="shared" si="76"/>
        <v>0</v>
      </c>
      <c r="Q521" s="22" t="s">
        <v>43</v>
      </c>
      <c r="R521" s="23">
        <f t="shared" si="77"/>
        <v>0</v>
      </c>
      <c r="S521" s="23">
        <f>R521/1.11</f>
        <v>0</v>
      </c>
    </row>
    <row r="522" spans="1:19" s="26" customFormat="1">
      <c r="A522" s="25" t="s">
        <v>512</v>
      </c>
      <c r="B522" s="26" t="s">
        <v>275</v>
      </c>
      <c r="C522" s="27"/>
      <c r="D522" s="28" t="s">
        <v>43</v>
      </c>
      <c r="E522" s="29">
        <v>1</v>
      </c>
      <c r="F522" s="30">
        <v>1</v>
      </c>
      <c r="G522" s="31" t="s">
        <v>21</v>
      </c>
      <c r="H522" s="30">
        <v>96</v>
      </c>
      <c r="I522" s="31" t="s">
        <v>43</v>
      </c>
      <c r="J522" s="32">
        <v>27500</v>
      </c>
      <c r="K522" s="28" t="s">
        <v>43</v>
      </c>
      <c r="L522" s="33"/>
      <c r="M522" s="33"/>
      <c r="N522" s="27"/>
      <c r="O522" s="31" t="s">
        <v>43</v>
      </c>
      <c r="P522" s="27">
        <f t="shared" si="76"/>
        <v>96</v>
      </c>
      <c r="Q522" s="31" t="s">
        <v>43</v>
      </c>
      <c r="R522" s="32">
        <f t="shared" si="77"/>
        <v>2640000</v>
      </c>
      <c r="S522" s="32">
        <f>R522/1.11</f>
        <v>2378378.3783783782</v>
      </c>
    </row>
    <row r="523" spans="1:19">
      <c r="A523" s="15" t="s">
        <v>513</v>
      </c>
      <c r="S523" s="23"/>
    </row>
    <row r="524" spans="1:19" s="17" customFormat="1">
      <c r="A524" s="137" t="s">
        <v>514</v>
      </c>
      <c r="B524" s="17" t="s">
        <v>19</v>
      </c>
      <c r="C524" s="18"/>
      <c r="D524" s="19" t="s">
        <v>88</v>
      </c>
      <c r="E524" s="20"/>
      <c r="F524" s="21">
        <v>1</v>
      </c>
      <c r="G524" s="22" t="s">
        <v>21</v>
      </c>
      <c r="H524" s="21">
        <v>12</v>
      </c>
      <c r="I524" s="22" t="s">
        <v>88</v>
      </c>
      <c r="J524" s="23">
        <v>165600</v>
      </c>
      <c r="K524" s="19" t="s">
        <v>88</v>
      </c>
      <c r="L524" s="24">
        <v>0.125</v>
      </c>
      <c r="M524" s="24">
        <v>0.05</v>
      </c>
      <c r="N524" s="18"/>
      <c r="O524" s="22" t="s">
        <v>88</v>
      </c>
      <c r="P524" s="18">
        <f t="shared" ref="P524:P531" si="78">(C524+(E524*F524*H524))-N524</f>
        <v>0</v>
      </c>
      <c r="Q524" s="22" t="s">
        <v>88</v>
      </c>
      <c r="R524" s="23">
        <f t="shared" ref="R524:R531" si="79">P524*(J524-(J524*L524)-((J524-(J524*L524))*M524))</f>
        <v>0</v>
      </c>
      <c r="S524" s="23">
        <f t="shared" si="68"/>
        <v>0</v>
      </c>
    </row>
    <row r="525" spans="1:19" s="26" customFormat="1">
      <c r="A525" s="138" t="s">
        <v>515</v>
      </c>
      <c r="B525" s="26" t="s">
        <v>19</v>
      </c>
      <c r="C525" s="27"/>
      <c r="D525" s="28" t="s">
        <v>88</v>
      </c>
      <c r="E525" s="29">
        <v>1</v>
      </c>
      <c r="F525" s="30">
        <v>12</v>
      </c>
      <c r="G525" s="31" t="s">
        <v>34</v>
      </c>
      <c r="H525" s="30">
        <v>1</v>
      </c>
      <c r="I525" s="31" t="s">
        <v>88</v>
      </c>
      <c r="J525" s="32">
        <v>183600</v>
      </c>
      <c r="K525" s="28" t="s">
        <v>88</v>
      </c>
      <c r="L525" s="33">
        <v>0.125</v>
      </c>
      <c r="M525" s="33">
        <v>0.05</v>
      </c>
      <c r="N525" s="27"/>
      <c r="O525" s="31" t="s">
        <v>88</v>
      </c>
      <c r="P525" s="27">
        <f t="shared" si="78"/>
        <v>12</v>
      </c>
      <c r="Q525" s="31" t="s">
        <v>88</v>
      </c>
      <c r="R525" s="32">
        <f t="shared" si="79"/>
        <v>1831410</v>
      </c>
      <c r="S525" s="32">
        <f t="shared" si="68"/>
        <v>1649918.9189189188</v>
      </c>
    </row>
    <row r="526" spans="1:19" s="26" customFormat="1">
      <c r="A526" s="138" t="s">
        <v>516</v>
      </c>
      <c r="B526" s="26" t="s">
        <v>19</v>
      </c>
      <c r="C526" s="27"/>
      <c r="D526" s="28" t="s">
        <v>43</v>
      </c>
      <c r="E526" s="29">
        <f>5+1</f>
        <v>6</v>
      </c>
      <c r="F526" s="30">
        <v>12</v>
      </c>
      <c r="G526" s="31" t="s">
        <v>88</v>
      </c>
      <c r="H526" s="30">
        <v>12</v>
      </c>
      <c r="I526" s="31" t="s">
        <v>43</v>
      </c>
      <c r="J526" s="32">
        <v>17100</v>
      </c>
      <c r="K526" s="28" t="s">
        <v>43</v>
      </c>
      <c r="L526" s="33">
        <v>0.125</v>
      </c>
      <c r="M526" s="33">
        <v>0.05</v>
      </c>
      <c r="N526" s="27">
        <v>720</v>
      </c>
      <c r="O526" s="31" t="s">
        <v>43</v>
      </c>
      <c r="P526" s="27">
        <f t="shared" si="78"/>
        <v>144</v>
      </c>
      <c r="Q526" s="31" t="s">
        <v>43</v>
      </c>
      <c r="R526" s="32">
        <f t="shared" si="79"/>
        <v>2046870</v>
      </c>
      <c r="S526" s="32">
        <f t="shared" si="68"/>
        <v>1844027.0270270268</v>
      </c>
    </row>
    <row r="527" spans="1:19" s="17" customFormat="1">
      <c r="A527" s="137" t="s">
        <v>517</v>
      </c>
      <c r="B527" s="17" t="s">
        <v>19</v>
      </c>
      <c r="C527" s="18"/>
      <c r="D527" s="19" t="s">
        <v>43</v>
      </c>
      <c r="E527" s="20">
        <v>5</v>
      </c>
      <c r="F527" s="21">
        <v>12</v>
      </c>
      <c r="G527" s="22" t="s">
        <v>88</v>
      </c>
      <c r="H527" s="21">
        <v>6</v>
      </c>
      <c r="I527" s="22" t="s">
        <v>43</v>
      </c>
      <c r="J527" s="23">
        <v>34500</v>
      </c>
      <c r="K527" s="19" t="s">
        <v>43</v>
      </c>
      <c r="L527" s="24">
        <v>0.125</v>
      </c>
      <c r="M527" s="24">
        <v>0.05</v>
      </c>
      <c r="N527" s="18">
        <v>360</v>
      </c>
      <c r="O527" s="22" t="s">
        <v>43</v>
      </c>
      <c r="P527" s="18">
        <f t="shared" si="78"/>
        <v>0</v>
      </c>
      <c r="Q527" s="22" t="s">
        <v>43</v>
      </c>
      <c r="R527" s="23">
        <f t="shared" si="79"/>
        <v>0</v>
      </c>
      <c r="S527" s="23">
        <f t="shared" si="68"/>
        <v>0</v>
      </c>
    </row>
    <row r="528" spans="1:19" s="17" customFormat="1">
      <c r="A528" s="137" t="s">
        <v>518</v>
      </c>
      <c r="B528" s="17" t="s">
        <v>19</v>
      </c>
      <c r="C528" s="18"/>
      <c r="D528" s="19" t="s">
        <v>88</v>
      </c>
      <c r="E528" s="20">
        <v>3</v>
      </c>
      <c r="F528" s="21">
        <v>1</v>
      </c>
      <c r="G528" s="22" t="s">
        <v>21</v>
      </c>
      <c r="H528" s="21">
        <v>12</v>
      </c>
      <c r="I528" s="22" t="s">
        <v>88</v>
      </c>
      <c r="J528" s="23">
        <v>183600</v>
      </c>
      <c r="K528" s="19" t="s">
        <v>88</v>
      </c>
      <c r="L528" s="24">
        <v>0.125</v>
      </c>
      <c r="M528" s="24">
        <v>0.05</v>
      </c>
      <c r="N528" s="18">
        <v>36</v>
      </c>
      <c r="O528" s="22" t="s">
        <v>88</v>
      </c>
      <c r="P528" s="18">
        <f t="shared" si="78"/>
        <v>0</v>
      </c>
      <c r="Q528" s="22" t="s">
        <v>88</v>
      </c>
      <c r="R528" s="23">
        <f t="shared" si="79"/>
        <v>0</v>
      </c>
      <c r="S528" s="23">
        <f t="shared" si="68"/>
        <v>0</v>
      </c>
    </row>
    <row r="529" spans="1:19" s="17" customFormat="1">
      <c r="A529" s="137" t="s">
        <v>519</v>
      </c>
      <c r="B529" s="17" t="s">
        <v>26</v>
      </c>
      <c r="C529" s="18"/>
      <c r="D529" s="19" t="s">
        <v>43</v>
      </c>
      <c r="E529" s="20"/>
      <c r="F529" s="21">
        <v>18</v>
      </c>
      <c r="G529" s="22" t="s">
        <v>88</v>
      </c>
      <c r="H529" s="21">
        <v>12</v>
      </c>
      <c r="I529" s="22" t="s">
        <v>43</v>
      </c>
      <c r="J529" s="23">
        <f>2656800/18/12</f>
        <v>12300</v>
      </c>
      <c r="K529" s="19" t="s">
        <v>43</v>
      </c>
      <c r="L529" s="24"/>
      <c r="M529" s="24">
        <v>0.17</v>
      </c>
      <c r="N529" s="18"/>
      <c r="O529" s="22" t="s">
        <v>43</v>
      </c>
      <c r="P529" s="18">
        <f t="shared" si="78"/>
        <v>0</v>
      </c>
      <c r="Q529" s="22" t="s">
        <v>43</v>
      </c>
      <c r="R529" s="23">
        <f t="shared" si="79"/>
        <v>0</v>
      </c>
      <c r="S529" s="23">
        <f t="shared" si="68"/>
        <v>0</v>
      </c>
    </row>
    <row r="530" spans="1:19" s="17" customFormat="1">
      <c r="A530" s="16" t="s">
        <v>520</v>
      </c>
      <c r="B530" s="17" t="s">
        <v>26</v>
      </c>
      <c r="C530" s="18"/>
      <c r="D530" s="19" t="s">
        <v>43</v>
      </c>
      <c r="E530" s="20"/>
      <c r="F530" s="21">
        <v>12</v>
      </c>
      <c r="G530" s="22" t="s">
        <v>88</v>
      </c>
      <c r="H530" s="21">
        <v>12</v>
      </c>
      <c r="I530" s="22" t="s">
        <v>43</v>
      </c>
      <c r="J530" s="23">
        <v>14400</v>
      </c>
      <c r="K530" s="19" t="s">
        <v>43</v>
      </c>
      <c r="L530" s="24"/>
      <c r="M530" s="24">
        <v>0.17</v>
      </c>
      <c r="N530" s="18"/>
      <c r="O530" s="22" t="s">
        <v>43</v>
      </c>
      <c r="P530" s="18">
        <f t="shared" si="78"/>
        <v>0</v>
      </c>
      <c r="Q530" s="22" t="s">
        <v>43</v>
      </c>
      <c r="R530" s="23">
        <f t="shared" si="79"/>
        <v>0</v>
      </c>
      <c r="S530" s="23">
        <f t="shared" si="68"/>
        <v>0</v>
      </c>
    </row>
    <row r="531" spans="1:19" s="17" customFormat="1">
      <c r="A531" s="16" t="s">
        <v>521</v>
      </c>
      <c r="B531" s="17" t="s">
        <v>26</v>
      </c>
      <c r="C531" s="18"/>
      <c r="D531" s="19" t="s">
        <v>43</v>
      </c>
      <c r="E531" s="20"/>
      <c r="F531" s="21">
        <v>12</v>
      </c>
      <c r="G531" s="22" t="s">
        <v>88</v>
      </c>
      <c r="H531" s="21">
        <v>12</v>
      </c>
      <c r="I531" s="22" t="s">
        <v>43</v>
      </c>
      <c r="J531" s="23">
        <v>16800</v>
      </c>
      <c r="K531" s="19" t="s">
        <v>43</v>
      </c>
      <c r="L531" s="24"/>
      <c r="M531" s="24">
        <v>0.17</v>
      </c>
      <c r="N531" s="18"/>
      <c r="O531" s="22" t="s">
        <v>43</v>
      </c>
      <c r="P531" s="18">
        <f t="shared" si="78"/>
        <v>0</v>
      </c>
      <c r="Q531" s="22" t="s">
        <v>43</v>
      </c>
      <c r="R531" s="23">
        <f t="shared" si="79"/>
        <v>0</v>
      </c>
      <c r="S531" s="23">
        <f t="shared" si="68"/>
        <v>0</v>
      </c>
    </row>
    <row r="532" spans="1:19">
      <c r="A532" s="15" t="s">
        <v>522</v>
      </c>
      <c r="S532" s="23"/>
    </row>
    <row r="533" spans="1:19" s="45" customFormat="1">
      <c r="A533" s="44" t="s">
        <v>523</v>
      </c>
      <c r="B533" s="45" t="s">
        <v>19</v>
      </c>
      <c r="C533" s="46">
        <v>540</v>
      </c>
      <c r="D533" s="47" t="s">
        <v>162</v>
      </c>
      <c r="E533" s="48">
        <f>2+1</f>
        <v>3</v>
      </c>
      <c r="F533" s="49">
        <v>12</v>
      </c>
      <c r="G533" s="50" t="s">
        <v>34</v>
      </c>
      <c r="H533" s="49">
        <v>24</v>
      </c>
      <c r="I533" s="50" t="s">
        <v>162</v>
      </c>
      <c r="J533" s="51">
        <v>6550</v>
      </c>
      <c r="K533" s="47" t="s">
        <v>162</v>
      </c>
      <c r="L533" s="52">
        <v>0.125</v>
      </c>
      <c r="M533" s="52">
        <v>0.05</v>
      </c>
      <c r="N533" s="46">
        <f>(48*12)+(3*12)</f>
        <v>612</v>
      </c>
      <c r="O533" s="50" t="s">
        <v>162</v>
      </c>
      <c r="P533" s="46">
        <f t="shared" ref="P533:P557" si="80">(C533+(E533*F533*H533))-N533</f>
        <v>792</v>
      </c>
      <c r="Q533" s="50" t="s">
        <v>162</v>
      </c>
      <c r="R533" s="51">
        <f t="shared" ref="R533:R557" si="81">P533*(J533-(J533*L533)-((J533-(J533*L533))*M533))</f>
        <v>4312192.5</v>
      </c>
      <c r="S533" s="51">
        <f t="shared" si="68"/>
        <v>3884858.1081081079</v>
      </c>
    </row>
    <row r="534" spans="1:19" s="63" customFormat="1">
      <c r="A534" s="72" t="s">
        <v>524</v>
      </c>
      <c r="B534" s="63" t="s">
        <v>19</v>
      </c>
      <c r="C534" s="64"/>
      <c r="D534" s="65" t="s">
        <v>162</v>
      </c>
      <c r="E534" s="66"/>
      <c r="F534" s="67">
        <v>12</v>
      </c>
      <c r="G534" s="68" t="s">
        <v>34</v>
      </c>
      <c r="H534" s="67">
        <v>12</v>
      </c>
      <c r="I534" s="68" t="s">
        <v>162</v>
      </c>
      <c r="J534" s="69">
        <v>11300</v>
      </c>
      <c r="K534" s="65" t="s">
        <v>162</v>
      </c>
      <c r="L534" s="70">
        <v>0.125</v>
      </c>
      <c r="M534" s="70">
        <v>0.05</v>
      </c>
      <c r="N534" s="64"/>
      <c r="O534" s="68" t="s">
        <v>162</v>
      </c>
      <c r="P534" s="64">
        <f t="shared" si="80"/>
        <v>0</v>
      </c>
      <c r="Q534" s="68" t="s">
        <v>162</v>
      </c>
      <c r="R534" s="69">
        <f t="shared" si="81"/>
        <v>0</v>
      </c>
      <c r="S534" s="23">
        <f t="shared" si="68"/>
        <v>0</v>
      </c>
    </row>
    <row r="535" spans="1:19" s="45" customFormat="1">
      <c r="A535" s="44" t="s">
        <v>525</v>
      </c>
      <c r="B535" s="45" t="s">
        <v>19</v>
      </c>
      <c r="C535" s="46">
        <v>408</v>
      </c>
      <c r="D535" s="47" t="s">
        <v>162</v>
      </c>
      <c r="E535" s="48">
        <f>10+5+10</f>
        <v>25</v>
      </c>
      <c r="F535" s="49">
        <v>12</v>
      </c>
      <c r="G535" s="50" t="s">
        <v>34</v>
      </c>
      <c r="H535" s="49">
        <v>12</v>
      </c>
      <c r="I535" s="50" t="s">
        <v>162</v>
      </c>
      <c r="J535" s="51">
        <v>10350</v>
      </c>
      <c r="K535" s="47" t="s">
        <v>162</v>
      </c>
      <c r="L535" s="52">
        <v>0.125</v>
      </c>
      <c r="M535" s="52">
        <v>0.05</v>
      </c>
      <c r="N535" s="46">
        <f>720+720+720+(3*12)</f>
        <v>2196</v>
      </c>
      <c r="O535" s="50" t="s">
        <v>162</v>
      </c>
      <c r="P535" s="46">
        <f t="shared" si="80"/>
        <v>1812</v>
      </c>
      <c r="Q535" s="50" t="s">
        <v>162</v>
      </c>
      <c r="R535" s="51">
        <f t="shared" si="81"/>
        <v>15589428.75</v>
      </c>
      <c r="S535" s="51">
        <f t="shared" si="68"/>
        <v>14044530.405405404</v>
      </c>
    </row>
    <row r="536" spans="1:19" s="45" customFormat="1">
      <c r="A536" s="44" t="s">
        <v>526</v>
      </c>
      <c r="B536" s="45" t="s">
        <v>19</v>
      </c>
      <c r="C536" s="139">
        <f>72-48</f>
        <v>24</v>
      </c>
      <c r="D536" s="47" t="s">
        <v>162</v>
      </c>
      <c r="E536" s="48">
        <v>5</v>
      </c>
      <c r="F536" s="49">
        <v>12</v>
      </c>
      <c r="G536" s="50" t="s">
        <v>34</v>
      </c>
      <c r="H536" s="49">
        <v>6</v>
      </c>
      <c r="I536" s="50" t="s">
        <v>162</v>
      </c>
      <c r="J536" s="51">
        <v>20700</v>
      </c>
      <c r="K536" s="47" t="s">
        <v>162</v>
      </c>
      <c r="L536" s="52">
        <v>0.125</v>
      </c>
      <c r="M536" s="52">
        <v>0.05</v>
      </c>
      <c r="N536" s="46">
        <f>360+(2*12)</f>
        <v>384</v>
      </c>
      <c r="O536" s="50" t="s">
        <v>162</v>
      </c>
      <c r="P536" s="46">
        <f t="shared" si="80"/>
        <v>0</v>
      </c>
      <c r="Q536" s="50" t="s">
        <v>162</v>
      </c>
      <c r="R536" s="51">
        <f t="shared" si="81"/>
        <v>0</v>
      </c>
      <c r="S536" s="32">
        <f t="shared" si="68"/>
        <v>0</v>
      </c>
    </row>
    <row r="537" spans="1:19" s="45" customFormat="1">
      <c r="A537" s="44" t="s">
        <v>527</v>
      </c>
      <c r="B537" s="45" t="s">
        <v>19</v>
      </c>
      <c r="C537" s="46">
        <v>12</v>
      </c>
      <c r="D537" s="47" t="s">
        <v>162</v>
      </c>
      <c r="E537" s="48"/>
      <c r="F537" s="49">
        <v>8</v>
      </c>
      <c r="G537" s="50" t="s">
        <v>34</v>
      </c>
      <c r="H537" s="49">
        <v>6</v>
      </c>
      <c r="I537" s="50" t="s">
        <v>162</v>
      </c>
      <c r="J537" s="51">
        <v>34500</v>
      </c>
      <c r="K537" s="47" t="s">
        <v>162</v>
      </c>
      <c r="L537" s="52">
        <v>0.125</v>
      </c>
      <c r="M537" s="52">
        <v>0.05</v>
      </c>
      <c r="N537" s="46"/>
      <c r="O537" s="50" t="s">
        <v>162</v>
      </c>
      <c r="P537" s="46">
        <f t="shared" si="80"/>
        <v>12</v>
      </c>
      <c r="Q537" s="50" t="s">
        <v>162</v>
      </c>
      <c r="R537" s="51">
        <f t="shared" si="81"/>
        <v>344137.5</v>
      </c>
      <c r="S537" s="32">
        <f t="shared" si="68"/>
        <v>310033.78378378373</v>
      </c>
    </row>
    <row r="538" spans="1:19" s="17" customFormat="1">
      <c r="A538" s="16" t="s">
        <v>528</v>
      </c>
      <c r="B538" s="17" t="s">
        <v>19</v>
      </c>
      <c r="C538" s="18"/>
      <c r="D538" s="19" t="s">
        <v>162</v>
      </c>
      <c r="E538" s="20">
        <f>2+3</f>
        <v>5</v>
      </c>
      <c r="F538" s="21">
        <v>12</v>
      </c>
      <c r="G538" s="22" t="s">
        <v>34</v>
      </c>
      <c r="H538" s="21">
        <v>12</v>
      </c>
      <c r="I538" s="22" t="s">
        <v>162</v>
      </c>
      <c r="J538" s="23">
        <v>9500</v>
      </c>
      <c r="K538" s="19" t="s">
        <v>162</v>
      </c>
      <c r="L538" s="24">
        <v>0.125</v>
      </c>
      <c r="M538" s="24">
        <v>0.05</v>
      </c>
      <c r="N538" s="18">
        <f>288+(36*12)</f>
        <v>720</v>
      </c>
      <c r="O538" s="22" t="s">
        <v>162</v>
      </c>
      <c r="P538" s="18">
        <f t="shared" si="80"/>
        <v>0</v>
      </c>
      <c r="Q538" s="22" t="s">
        <v>162</v>
      </c>
      <c r="R538" s="23">
        <f t="shared" si="81"/>
        <v>0</v>
      </c>
      <c r="S538" s="23">
        <f t="shared" si="68"/>
        <v>0</v>
      </c>
    </row>
    <row r="539" spans="1:19" s="17" customFormat="1">
      <c r="A539" s="16" t="s">
        <v>529</v>
      </c>
      <c r="B539" s="17" t="s">
        <v>19</v>
      </c>
      <c r="C539" s="18"/>
      <c r="D539" s="19" t="s">
        <v>162</v>
      </c>
      <c r="E539" s="20">
        <v>1</v>
      </c>
      <c r="F539" s="21">
        <v>12</v>
      </c>
      <c r="G539" s="22" t="s">
        <v>34</v>
      </c>
      <c r="H539" s="21">
        <v>6</v>
      </c>
      <c r="I539" s="22" t="s">
        <v>162</v>
      </c>
      <c r="J539" s="23">
        <v>19000</v>
      </c>
      <c r="K539" s="19" t="s">
        <v>162</v>
      </c>
      <c r="L539" s="24">
        <v>0.125</v>
      </c>
      <c r="M539" s="24">
        <v>0.05</v>
      </c>
      <c r="N539" s="18">
        <v>72</v>
      </c>
      <c r="O539" s="22" t="s">
        <v>162</v>
      </c>
      <c r="P539" s="18">
        <f t="shared" si="80"/>
        <v>0</v>
      </c>
      <c r="Q539" s="22" t="s">
        <v>162</v>
      </c>
      <c r="R539" s="23">
        <f t="shared" si="81"/>
        <v>0</v>
      </c>
      <c r="S539" s="23">
        <f t="shared" ref="S539:S604" si="82">R539/1.11</f>
        <v>0</v>
      </c>
    </row>
    <row r="540" spans="1:19">
      <c r="A540" s="34" t="s">
        <v>530</v>
      </c>
      <c r="B540" s="2" t="s">
        <v>19</v>
      </c>
      <c r="C540" s="3">
        <v>1344</v>
      </c>
      <c r="D540" s="4" t="s">
        <v>162</v>
      </c>
      <c r="F540" s="6">
        <v>12</v>
      </c>
      <c r="G540" s="7" t="s">
        <v>34</v>
      </c>
      <c r="H540" s="6">
        <v>24</v>
      </c>
      <c r="I540" s="7" t="s">
        <v>162</v>
      </c>
      <c r="J540" s="8">
        <v>5600</v>
      </c>
      <c r="K540" s="4" t="s">
        <v>162</v>
      </c>
      <c r="L540" s="9">
        <v>0.125</v>
      </c>
      <c r="M540" s="9">
        <v>0.05</v>
      </c>
      <c r="N540" s="3">
        <f>(1*12)+(1*12)</f>
        <v>24</v>
      </c>
      <c r="O540" s="7" t="s">
        <v>162</v>
      </c>
      <c r="P540" s="3">
        <f t="shared" si="80"/>
        <v>1320</v>
      </c>
      <c r="Q540" s="7" t="s">
        <v>162</v>
      </c>
      <c r="R540" s="8">
        <f t="shared" si="81"/>
        <v>6144600</v>
      </c>
      <c r="S540" s="32">
        <f t="shared" si="82"/>
        <v>5535675.6756756753</v>
      </c>
    </row>
    <row r="541" spans="1:19" s="63" customFormat="1">
      <c r="A541" s="72" t="s">
        <v>531</v>
      </c>
      <c r="B541" s="63" t="s">
        <v>19</v>
      </c>
      <c r="C541" s="64"/>
      <c r="D541" s="65" t="s">
        <v>162</v>
      </c>
      <c r="E541" s="66"/>
      <c r="F541" s="67">
        <v>12</v>
      </c>
      <c r="G541" s="68" t="s">
        <v>34</v>
      </c>
      <c r="H541" s="67">
        <v>12</v>
      </c>
      <c r="I541" s="68" t="s">
        <v>162</v>
      </c>
      <c r="J541" s="69">
        <v>8400</v>
      </c>
      <c r="K541" s="65" t="s">
        <v>162</v>
      </c>
      <c r="L541" s="70">
        <v>0.125</v>
      </c>
      <c r="M541" s="70">
        <v>0.05</v>
      </c>
      <c r="N541" s="64"/>
      <c r="O541" s="68" t="s">
        <v>162</v>
      </c>
      <c r="P541" s="64">
        <f t="shared" si="80"/>
        <v>0</v>
      </c>
      <c r="Q541" s="68" t="s">
        <v>162</v>
      </c>
      <c r="R541" s="69">
        <f t="shared" si="81"/>
        <v>0</v>
      </c>
      <c r="S541" s="23">
        <f t="shared" si="82"/>
        <v>0</v>
      </c>
    </row>
    <row r="542" spans="1:19" s="63" customFormat="1">
      <c r="A542" s="72" t="s">
        <v>532</v>
      </c>
      <c r="B542" s="63" t="s">
        <v>19</v>
      </c>
      <c r="C542" s="64"/>
      <c r="D542" s="65" t="s">
        <v>162</v>
      </c>
      <c r="E542" s="66"/>
      <c r="F542" s="67">
        <v>12</v>
      </c>
      <c r="G542" s="68" t="s">
        <v>34</v>
      </c>
      <c r="H542" s="67">
        <v>6</v>
      </c>
      <c r="I542" s="68" t="s">
        <v>162</v>
      </c>
      <c r="J542" s="69">
        <v>16800</v>
      </c>
      <c r="K542" s="65" t="s">
        <v>162</v>
      </c>
      <c r="L542" s="70">
        <v>0.125</v>
      </c>
      <c r="M542" s="70">
        <v>0.05</v>
      </c>
      <c r="N542" s="64"/>
      <c r="O542" s="68" t="s">
        <v>162</v>
      </c>
      <c r="P542" s="64">
        <f t="shared" si="80"/>
        <v>0</v>
      </c>
      <c r="Q542" s="68" t="s">
        <v>162</v>
      </c>
      <c r="R542" s="69">
        <f t="shared" si="81"/>
        <v>0</v>
      </c>
      <c r="S542" s="23">
        <f t="shared" si="82"/>
        <v>0</v>
      </c>
    </row>
    <row r="543" spans="1:19" s="45" customFormat="1">
      <c r="A543" s="44" t="s">
        <v>533</v>
      </c>
      <c r="B543" s="45" t="s">
        <v>19</v>
      </c>
      <c r="C543" s="46">
        <v>144</v>
      </c>
      <c r="D543" s="47" t="s">
        <v>162</v>
      </c>
      <c r="E543" s="48"/>
      <c r="F543" s="49">
        <v>12</v>
      </c>
      <c r="G543" s="50" t="s">
        <v>34</v>
      </c>
      <c r="H543" s="49">
        <v>12</v>
      </c>
      <c r="I543" s="50" t="s">
        <v>162</v>
      </c>
      <c r="J543" s="51">
        <v>11000</v>
      </c>
      <c r="K543" s="47" t="s">
        <v>162</v>
      </c>
      <c r="L543" s="52">
        <v>0.125</v>
      </c>
      <c r="M543" s="52">
        <v>0.05</v>
      </c>
      <c r="N543" s="46"/>
      <c r="O543" s="50" t="s">
        <v>162</v>
      </c>
      <c r="P543" s="46">
        <f t="shared" si="80"/>
        <v>144</v>
      </c>
      <c r="Q543" s="50" t="s">
        <v>162</v>
      </c>
      <c r="R543" s="51">
        <f t="shared" si="81"/>
        <v>1316700</v>
      </c>
      <c r="S543" s="32">
        <f t="shared" si="82"/>
        <v>1186216.2162162161</v>
      </c>
    </row>
    <row r="544" spans="1:19" s="45" customFormat="1">
      <c r="A544" s="44" t="s">
        <v>534</v>
      </c>
      <c r="B544" s="45" t="s">
        <v>19</v>
      </c>
      <c r="C544" s="46">
        <v>288</v>
      </c>
      <c r="D544" s="47" t="s">
        <v>162</v>
      </c>
      <c r="E544" s="48"/>
      <c r="F544" s="49">
        <v>12</v>
      </c>
      <c r="G544" s="50" t="s">
        <v>34</v>
      </c>
      <c r="H544" s="49">
        <v>24</v>
      </c>
      <c r="I544" s="50" t="s">
        <v>162</v>
      </c>
      <c r="J544" s="51">
        <v>5400</v>
      </c>
      <c r="K544" s="47" t="s">
        <v>162</v>
      </c>
      <c r="L544" s="52">
        <v>0.125</v>
      </c>
      <c r="M544" s="52">
        <v>0.05</v>
      </c>
      <c r="N544" s="46"/>
      <c r="O544" s="50" t="s">
        <v>162</v>
      </c>
      <c r="P544" s="46">
        <f t="shared" si="80"/>
        <v>288</v>
      </c>
      <c r="Q544" s="50" t="s">
        <v>162</v>
      </c>
      <c r="R544" s="51">
        <f t="shared" si="81"/>
        <v>1292760</v>
      </c>
      <c r="S544" s="32">
        <f t="shared" si="82"/>
        <v>1164648.6486486485</v>
      </c>
    </row>
    <row r="545" spans="1:19" s="63" customFormat="1">
      <c r="A545" s="72" t="s">
        <v>535</v>
      </c>
      <c r="B545" s="63" t="s">
        <v>19</v>
      </c>
      <c r="C545" s="64"/>
      <c r="D545" s="65" t="s">
        <v>162</v>
      </c>
      <c r="E545" s="66"/>
      <c r="F545" s="67">
        <v>12</v>
      </c>
      <c r="G545" s="68" t="s">
        <v>34</v>
      </c>
      <c r="H545" s="67">
        <v>12</v>
      </c>
      <c r="I545" s="68" t="s">
        <v>162</v>
      </c>
      <c r="J545" s="69">
        <v>16900</v>
      </c>
      <c r="K545" s="65" t="s">
        <v>162</v>
      </c>
      <c r="L545" s="70">
        <v>0.125</v>
      </c>
      <c r="M545" s="70">
        <v>0.05</v>
      </c>
      <c r="N545" s="64"/>
      <c r="O545" s="68" t="s">
        <v>162</v>
      </c>
      <c r="P545" s="64">
        <f t="shared" si="80"/>
        <v>0</v>
      </c>
      <c r="Q545" s="68" t="s">
        <v>162</v>
      </c>
      <c r="R545" s="69">
        <f t="shared" si="81"/>
        <v>0</v>
      </c>
      <c r="S545" s="23">
        <f t="shared" si="82"/>
        <v>0</v>
      </c>
    </row>
    <row r="546" spans="1:19" s="63" customFormat="1">
      <c r="A546" s="72" t="s">
        <v>536</v>
      </c>
      <c r="B546" s="63" t="s">
        <v>19</v>
      </c>
      <c r="C546" s="64"/>
      <c r="D546" s="65" t="s">
        <v>162</v>
      </c>
      <c r="E546" s="66"/>
      <c r="F546" s="67">
        <v>12</v>
      </c>
      <c r="G546" s="68" t="s">
        <v>34</v>
      </c>
      <c r="H546" s="67">
        <v>6</v>
      </c>
      <c r="I546" s="68" t="s">
        <v>162</v>
      </c>
      <c r="J546" s="69">
        <v>33800</v>
      </c>
      <c r="K546" s="65" t="s">
        <v>162</v>
      </c>
      <c r="L546" s="70">
        <v>0.125</v>
      </c>
      <c r="M546" s="70">
        <v>0.05</v>
      </c>
      <c r="N546" s="64"/>
      <c r="O546" s="68" t="s">
        <v>162</v>
      </c>
      <c r="P546" s="64">
        <f t="shared" si="80"/>
        <v>0</v>
      </c>
      <c r="Q546" s="68" t="s">
        <v>162</v>
      </c>
      <c r="R546" s="69">
        <f t="shared" si="81"/>
        <v>0</v>
      </c>
      <c r="S546" s="23">
        <f t="shared" si="82"/>
        <v>0</v>
      </c>
    </row>
    <row r="547" spans="1:19" s="45" customFormat="1">
      <c r="A547" s="44" t="s">
        <v>537</v>
      </c>
      <c r="B547" s="45" t="s">
        <v>26</v>
      </c>
      <c r="C547" s="46">
        <v>8</v>
      </c>
      <c r="D547" s="47" t="s">
        <v>43</v>
      </c>
      <c r="E547" s="48">
        <v>1</v>
      </c>
      <c r="F547" s="49">
        <v>24</v>
      </c>
      <c r="G547" s="50" t="s">
        <v>34</v>
      </c>
      <c r="H547" s="49">
        <v>2</v>
      </c>
      <c r="I547" s="50" t="s">
        <v>43</v>
      </c>
      <c r="J547" s="51">
        <f>3801600/24/2</f>
        <v>79200</v>
      </c>
      <c r="K547" s="47" t="s">
        <v>43</v>
      </c>
      <c r="L547" s="52"/>
      <c r="M547" s="52">
        <v>0.17</v>
      </c>
      <c r="N547" s="46">
        <f>(576/12)</f>
        <v>48</v>
      </c>
      <c r="O547" s="50" t="s">
        <v>43</v>
      </c>
      <c r="P547" s="46">
        <f t="shared" si="80"/>
        <v>8</v>
      </c>
      <c r="Q547" s="50" t="s">
        <v>43</v>
      </c>
      <c r="R547" s="51">
        <f t="shared" si="81"/>
        <v>525888</v>
      </c>
      <c r="S547" s="51">
        <f t="shared" si="82"/>
        <v>473772.97297297296</v>
      </c>
    </row>
    <row r="548" spans="1:19" s="45" customFormat="1">
      <c r="A548" s="44" t="s">
        <v>538</v>
      </c>
      <c r="B548" s="45" t="s">
        <v>26</v>
      </c>
      <c r="C548" s="46">
        <v>76</v>
      </c>
      <c r="D548" s="47" t="s">
        <v>43</v>
      </c>
      <c r="E548" s="48">
        <v>3</v>
      </c>
      <c r="F548" s="49">
        <v>1</v>
      </c>
      <c r="G548" s="50" t="s">
        <v>21</v>
      </c>
      <c r="H548" s="49">
        <v>24</v>
      </c>
      <c r="I548" s="50" t="s">
        <v>43</v>
      </c>
      <c r="J548" s="51">
        <f>2980800/24</f>
        <v>124200</v>
      </c>
      <c r="K548" s="47" t="s">
        <v>43</v>
      </c>
      <c r="L548" s="52"/>
      <c r="M548" s="52">
        <v>0.17</v>
      </c>
      <c r="N548" s="46">
        <f>2+2+24+9+3+6+(144/12)</f>
        <v>58</v>
      </c>
      <c r="O548" s="50" t="s">
        <v>43</v>
      </c>
      <c r="P548" s="46">
        <f t="shared" si="80"/>
        <v>90</v>
      </c>
      <c r="Q548" s="50" t="s">
        <v>43</v>
      </c>
      <c r="R548" s="51">
        <f t="shared" si="81"/>
        <v>9277740</v>
      </c>
      <c r="S548" s="51">
        <f t="shared" si="82"/>
        <v>8358324.3243243238</v>
      </c>
    </row>
    <row r="549" spans="1:19" s="26" customFormat="1">
      <c r="A549" s="25" t="s">
        <v>539</v>
      </c>
      <c r="B549" s="26" t="s">
        <v>26</v>
      </c>
      <c r="C549" s="27">
        <v>13</v>
      </c>
      <c r="D549" s="28" t="s">
        <v>43</v>
      </c>
      <c r="E549" s="29"/>
      <c r="F549" s="30">
        <v>1</v>
      </c>
      <c r="G549" s="31" t="s">
        <v>21</v>
      </c>
      <c r="H549" s="30">
        <v>12</v>
      </c>
      <c r="I549" s="31" t="s">
        <v>43</v>
      </c>
      <c r="J549" s="32">
        <f>2980800/12</f>
        <v>248400</v>
      </c>
      <c r="K549" s="28" t="s">
        <v>43</v>
      </c>
      <c r="L549" s="33"/>
      <c r="M549" s="33">
        <v>0.17</v>
      </c>
      <c r="N549" s="27"/>
      <c r="O549" s="31" t="s">
        <v>43</v>
      </c>
      <c r="P549" s="27">
        <f t="shared" si="80"/>
        <v>13</v>
      </c>
      <c r="Q549" s="31" t="s">
        <v>43</v>
      </c>
      <c r="R549" s="32">
        <f t="shared" si="81"/>
        <v>2680236</v>
      </c>
      <c r="S549" s="32">
        <f t="shared" si="82"/>
        <v>2414627.0270270268</v>
      </c>
    </row>
    <row r="550" spans="1:19" s="26" customFormat="1">
      <c r="A550" s="25" t="s">
        <v>540</v>
      </c>
      <c r="B550" s="26" t="s">
        <v>26</v>
      </c>
      <c r="C550" s="27">
        <v>88</v>
      </c>
      <c r="D550" s="28" t="s">
        <v>43</v>
      </c>
      <c r="E550" s="29"/>
      <c r="F550" s="30">
        <v>1</v>
      </c>
      <c r="G550" s="31" t="s">
        <v>21</v>
      </c>
      <c r="H550" s="30">
        <v>24</v>
      </c>
      <c r="I550" s="31" t="s">
        <v>43</v>
      </c>
      <c r="J550" s="32">
        <f>2448000/24</f>
        <v>102000</v>
      </c>
      <c r="K550" s="28" t="s">
        <v>43</v>
      </c>
      <c r="L550" s="33"/>
      <c r="M550" s="33">
        <v>0.17</v>
      </c>
      <c r="N550" s="27"/>
      <c r="O550" s="31" t="s">
        <v>43</v>
      </c>
      <c r="P550" s="27">
        <f t="shared" si="80"/>
        <v>88</v>
      </c>
      <c r="Q550" s="31" t="s">
        <v>43</v>
      </c>
      <c r="R550" s="32">
        <f t="shared" si="81"/>
        <v>7450080</v>
      </c>
      <c r="S550" s="32">
        <f t="shared" si="82"/>
        <v>6711783.7837837832</v>
      </c>
    </row>
    <row r="551" spans="1:19" s="17" customFormat="1">
      <c r="A551" s="16" t="s">
        <v>541</v>
      </c>
      <c r="B551" s="17" t="s">
        <v>26</v>
      </c>
      <c r="C551" s="18"/>
      <c r="D551" s="19" t="s">
        <v>43</v>
      </c>
      <c r="E551" s="20"/>
      <c r="F551" s="21">
        <v>1</v>
      </c>
      <c r="G551" s="22" t="s">
        <v>21</v>
      </c>
      <c r="H551" s="21">
        <v>16</v>
      </c>
      <c r="I551" s="22" t="s">
        <v>43</v>
      </c>
      <c r="J551" s="23">
        <f>1824000/16</f>
        <v>114000</v>
      </c>
      <c r="K551" s="19" t="s">
        <v>43</v>
      </c>
      <c r="L551" s="24"/>
      <c r="M551" s="24">
        <v>0.17</v>
      </c>
      <c r="N551" s="18"/>
      <c r="O551" s="22" t="s">
        <v>43</v>
      </c>
      <c r="P551" s="18">
        <f t="shared" si="80"/>
        <v>0</v>
      </c>
      <c r="Q551" s="22" t="s">
        <v>43</v>
      </c>
      <c r="R551" s="23">
        <f t="shared" si="81"/>
        <v>0</v>
      </c>
      <c r="S551" s="23">
        <f t="shared" si="82"/>
        <v>0</v>
      </c>
    </row>
    <row r="552" spans="1:19" s="17" customFormat="1">
      <c r="A552" s="16" t="s">
        <v>542</v>
      </c>
      <c r="B552" s="17" t="s">
        <v>26</v>
      </c>
      <c r="C552" s="18"/>
      <c r="D552" s="19" t="s">
        <v>162</v>
      </c>
      <c r="E552" s="20"/>
      <c r="F552" s="21">
        <v>10</v>
      </c>
      <c r="G552" s="22" t="s">
        <v>43</v>
      </c>
      <c r="H552" s="21">
        <v>12</v>
      </c>
      <c r="I552" s="22" t="s">
        <v>162</v>
      </c>
      <c r="J552" s="23">
        <f>2040000/10/12</f>
        <v>17000</v>
      </c>
      <c r="K552" s="19" t="s">
        <v>162</v>
      </c>
      <c r="L552" s="24"/>
      <c r="M552" s="24">
        <v>0.17</v>
      </c>
      <c r="N552" s="18"/>
      <c r="O552" s="22" t="s">
        <v>162</v>
      </c>
      <c r="P552" s="18">
        <f t="shared" si="80"/>
        <v>0</v>
      </c>
      <c r="Q552" s="22" t="s">
        <v>162</v>
      </c>
      <c r="R552" s="23">
        <f t="shared" si="81"/>
        <v>0</v>
      </c>
      <c r="S552" s="23">
        <f t="shared" si="82"/>
        <v>0</v>
      </c>
    </row>
    <row r="553" spans="1:19" s="17" customFormat="1">
      <c r="A553" s="16" t="s">
        <v>543</v>
      </c>
      <c r="B553" s="17" t="s">
        <v>26</v>
      </c>
      <c r="C553" s="18"/>
      <c r="D553" s="19" t="s">
        <v>162</v>
      </c>
      <c r="E553" s="20"/>
      <c r="F553" s="21">
        <v>10</v>
      </c>
      <c r="G553" s="22" t="s">
        <v>34</v>
      </c>
      <c r="H553" s="21">
        <v>6</v>
      </c>
      <c r="I553" s="22" t="s">
        <v>162</v>
      </c>
      <c r="J553" s="23">
        <f>2040000/10/6</f>
        <v>34000</v>
      </c>
      <c r="K553" s="19" t="s">
        <v>162</v>
      </c>
      <c r="L553" s="24"/>
      <c r="M553" s="24">
        <v>0.17</v>
      </c>
      <c r="N553" s="18"/>
      <c r="O553" s="22" t="s">
        <v>162</v>
      </c>
      <c r="P553" s="18">
        <f t="shared" si="80"/>
        <v>0</v>
      </c>
      <c r="Q553" s="22" t="s">
        <v>162</v>
      </c>
      <c r="R553" s="23">
        <f t="shared" si="81"/>
        <v>0</v>
      </c>
      <c r="S553" s="23">
        <f t="shared" si="82"/>
        <v>0</v>
      </c>
    </row>
    <row r="554" spans="1:19" s="17" customFormat="1">
      <c r="A554" s="16" t="s">
        <v>544</v>
      </c>
      <c r="B554" s="17" t="s">
        <v>26</v>
      </c>
      <c r="C554" s="18"/>
      <c r="D554" s="19" t="s">
        <v>162</v>
      </c>
      <c r="E554" s="20"/>
      <c r="F554" s="21">
        <v>20</v>
      </c>
      <c r="G554" s="22" t="s">
        <v>34</v>
      </c>
      <c r="H554" s="21">
        <v>4</v>
      </c>
      <c r="I554" s="22" t="s">
        <v>162</v>
      </c>
      <c r="J554" s="23">
        <v>33000</v>
      </c>
      <c r="K554" s="19" t="s">
        <v>162</v>
      </c>
      <c r="L554" s="24"/>
      <c r="M554" s="24">
        <v>0.17</v>
      </c>
      <c r="N554" s="18"/>
      <c r="O554" s="22" t="s">
        <v>162</v>
      </c>
      <c r="P554" s="18">
        <f t="shared" si="80"/>
        <v>0</v>
      </c>
      <c r="Q554" s="22" t="s">
        <v>162</v>
      </c>
      <c r="R554" s="23">
        <f t="shared" si="81"/>
        <v>0</v>
      </c>
      <c r="S554" s="23">
        <f t="shared" si="82"/>
        <v>0</v>
      </c>
    </row>
    <row r="555" spans="1:19" s="45" customFormat="1">
      <c r="A555" s="44" t="s">
        <v>545</v>
      </c>
      <c r="B555" s="45" t="s">
        <v>26</v>
      </c>
      <c r="C555" s="46">
        <v>288</v>
      </c>
      <c r="D555" s="47" t="s">
        <v>162</v>
      </c>
      <c r="E555" s="48"/>
      <c r="F555" s="49">
        <v>24</v>
      </c>
      <c r="G555" s="50" t="s">
        <v>43</v>
      </c>
      <c r="H555" s="49">
        <v>12</v>
      </c>
      <c r="I555" s="50" t="s">
        <v>162</v>
      </c>
      <c r="J555" s="51">
        <f>3571200/24/12</f>
        <v>12400</v>
      </c>
      <c r="K555" s="47" t="s">
        <v>162</v>
      </c>
      <c r="L555" s="52"/>
      <c r="M555" s="52">
        <v>0.17</v>
      </c>
      <c r="N555" s="46"/>
      <c r="O555" s="50" t="s">
        <v>162</v>
      </c>
      <c r="P555" s="46">
        <f t="shared" si="80"/>
        <v>288</v>
      </c>
      <c r="Q555" s="50" t="s">
        <v>162</v>
      </c>
      <c r="R555" s="51">
        <f t="shared" si="81"/>
        <v>2964096</v>
      </c>
      <c r="S555" s="32">
        <f t="shared" si="82"/>
        <v>2670356.7567567565</v>
      </c>
    </row>
    <row r="556" spans="1:19" s="63" customFormat="1">
      <c r="A556" s="72" t="s">
        <v>546</v>
      </c>
      <c r="B556" s="63" t="s">
        <v>26</v>
      </c>
      <c r="C556" s="64"/>
      <c r="D556" s="65" t="s">
        <v>162</v>
      </c>
      <c r="E556" s="66"/>
      <c r="F556" s="67">
        <v>24</v>
      </c>
      <c r="G556" s="68" t="s">
        <v>43</v>
      </c>
      <c r="H556" s="67">
        <v>12</v>
      </c>
      <c r="I556" s="68" t="s">
        <v>162</v>
      </c>
      <c r="J556" s="69">
        <f>228000/12</f>
        <v>19000</v>
      </c>
      <c r="K556" s="65" t="s">
        <v>162</v>
      </c>
      <c r="L556" s="70"/>
      <c r="M556" s="70">
        <v>0.17</v>
      </c>
      <c r="N556" s="64"/>
      <c r="O556" s="68" t="s">
        <v>162</v>
      </c>
      <c r="P556" s="64">
        <f t="shared" si="80"/>
        <v>0</v>
      </c>
      <c r="Q556" s="68" t="s">
        <v>162</v>
      </c>
      <c r="R556" s="69">
        <f t="shared" si="81"/>
        <v>0</v>
      </c>
      <c r="S556" s="23">
        <f t="shared" si="82"/>
        <v>0</v>
      </c>
    </row>
    <row r="557" spans="1:19" s="17" customFormat="1">
      <c r="A557" s="16" t="s">
        <v>547</v>
      </c>
      <c r="B557" s="17" t="s">
        <v>26</v>
      </c>
      <c r="C557" s="18"/>
      <c r="D557" s="19" t="s">
        <v>162</v>
      </c>
      <c r="E557" s="20"/>
      <c r="F557" s="21">
        <v>24</v>
      </c>
      <c r="G557" s="22" t="s">
        <v>34</v>
      </c>
      <c r="H557" s="21">
        <v>6</v>
      </c>
      <c r="I557" s="22" t="s">
        <v>162</v>
      </c>
      <c r="J557" s="23">
        <v>22000</v>
      </c>
      <c r="K557" s="19" t="s">
        <v>162</v>
      </c>
      <c r="L557" s="24"/>
      <c r="M557" s="24">
        <v>0.17</v>
      </c>
      <c r="N557" s="18"/>
      <c r="O557" s="22" t="s">
        <v>162</v>
      </c>
      <c r="P557" s="18">
        <f t="shared" si="80"/>
        <v>0</v>
      </c>
      <c r="Q557" s="22" t="s">
        <v>162</v>
      </c>
      <c r="R557" s="23">
        <f t="shared" si="81"/>
        <v>0</v>
      </c>
      <c r="S557" s="23">
        <f t="shared" si="82"/>
        <v>0</v>
      </c>
    </row>
    <row r="558" spans="1:19">
      <c r="S558" s="23"/>
    </row>
    <row r="559" spans="1:19" ht="15.75">
      <c r="A559" s="14" t="s">
        <v>548</v>
      </c>
      <c r="S559" s="23"/>
    </row>
    <row r="560" spans="1:19" s="26" customFormat="1">
      <c r="A560" s="25" t="s">
        <v>549</v>
      </c>
      <c r="B560" s="26" t="s">
        <v>19</v>
      </c>
      <c r="C560" s="27">
        <v>468</v>
      </c>
      <c r="D560" s="28" t="s">
        <v>20</v>
      </c>
      <c r="E560" s="29"/>
      <c r="F560" s="30">
        <v>12</v>
      </c>
      <c r="G560" s="31" t="s">
        <v>34</v>
      </c>
      <c r="H560" s="30">
        <v>24</v>
      </c>
      <c r="I560" s="31" t="s">
        <v>20</v>
      </c>
      <c r="J560" s="32">
        <v>3550</v>
      </c>
      <c r="K560" s="28" t="s">
        <v>20</v>
      </c>
      <c r="L560" s="33">
        <v>0.125</v>
      </c>
      <c r="M560" s="33">
        <v>0.05</v>
      </c>
      <c r="N560" s="27">
        <f>(4*12)+(4*12)</f>
        <v>96</v>
      </c>
      <c r="O560" s="31" t="s">
        <v>20</v>
      </c>
      <c r="P560" s="27">
        <f t="shared" ref="P560:P561" si="83">(C560+(E560*F560*H560))-N560</f>
        <v>372</v>
      </c>
      <c r="Q560" s="31" t="s">
        <v>20</v>
      </c>
      <c r="R560" s="32">
        <f t="shared" ref="R560:R561" si="84">P560*(J560-(J560*L560)-((J560-(J560*L560))*M560))</f>
        <v>1097748.75</v>
      </c>
      <c r="S560" s="32">
        <f t="shared" si="82"/>
        <v>988962.83783783775</v>
      </c>
    </row>
    <row r="561" spans="1:19" s="26" customFormat="1">
      <c r="A561" s="25" t="s">
        <v>550</v>
      </c>
      <c r="B561" s="26" t="s">
        <v>19</v>
      </c>
      <c r="C561" s="27">
        <v>276</v>
      </c>
      <c r="D561" s="28" t="s">
        <v>20</v>
      </c>
      <c r="E561" s="29"/>
      <c r="F561" s="30">
        <v>1</v>
      </c>
      <c r="G561" s="31" t="s">
        <v>21</v>
      </c>
      <c r="H561" s="30">
        <v>288</v>
      </c>
      <c r="I561" s="31" t="s">
        <v>20</v>
      </c>
      <c r="J561" s="32">
        <v>3550</v>
      </c>
      <c r="K561" s="28" t="s">
        <v>20</v>
      </c>
      <c r="L561" s="33">
        <v>0.125</v>
      </c>
      <c r="M561" s="33">
        <v>0.05</v>
      </c>
      <c r="N561" s="27"/>
      <c r="O561" s="31" t="s">
        <v>20</v>
      </c>
      <c r="P561" s="27">
        <f t="shared" si="83"/>
        <v>276</v>
      </c>
      <c r="Q561" s="31" t="s">
        <v>20</v>
      </c>
      <c r="R561" s="32">
        <f t="shared" si="84"/>
        <v>814458.75</v>
      </c>
      <c r="S561" s="32">
        <f t="shared" si="82"/>
        <v>733746.62162162154</v>
      </c>
    </row>
    <row r="562" spans="1:19" s="63" customFormat="1">
      <c r="A562" s="95" t="s">
        <v>551</v>
      </c>
      <c r="B562" s="96" t="s">
        <v>19</v>
      </c>
      <c r="C562" s="97">
        <v>72</v>
      </c>
      <c r="D562" s="98" t="s">
        <v>20</v>
      </c>
      <c r="E562" s="105"/>
      <c r="F562" s="100">
        <v>1</v>
      </c>
      <c r="G562" s="101" t="s">
        <v>21</v>
      </c>
      <c r="H562" s="100">
        <v>288</v>
      </c>
      <c r="I562" s="101" t="s">
        <v>20</v>
      </c>
      <c r="J562" s="102">
        <v>4800</v>
      </c>
      <c r="K562" s="98" t="s">
        <v>20</v>
      </c>
      <c r="L562" s="103">
        <v>0.125</v>
      </c>
      <c r="M562" s="103">
        <v>0.1</v>
      </c>
      <c r="N562" s="97">
        <v>72</v>
      </c>
      <c r="O562" s="101" t="s">
        <v>20</v>
      </c>
      <c r="P562" s="97">
        <f>(C562+(E562*F562*H562))-N562</f>
        <v>0</v>
      </c>
      <c r="Q562" s="101" t="s">
        <v>20</v>
      </c>
      <c r="R562" s="102">
        <f>P562*(J562-(J562*L562)-((J562-(J562*L562))*M562))</f>
        <v>0</v>
      </c>
      <c r="S562" s="102">
        <f t="shared" si="82"/>
        <v>0</v>
      </c>
    </row>
    <row r="563" spans="1:19" s="45" customFormat="1">
      <c r="A563" s="35" t="s">
        <v>551</v>
      </c>
      <c r="B563" s="36" t="s">
        <v>19</v>
      </c>
      <c r="C563" s="37"/>
      <c r="D563" s="38" t="s">
        <v>20</v>
      </c>
      <c r="E563" s="39">
        <f>(2+1)+(3+2+1)+(1+1)</f>
        <v>11</v>
      </c>
      <c r="F563" s="40">
        <v>1</v>
      </c>
      <c r="G563" s="41" t="s">
        <v>21</v>
      </c>
      <c r="H563" s="40">
        <v>288</v>
      </c>
      <c r="I563" s="41" t="s">
        <v>20</v>
      </c>
      <c r="J563" s="42">
        <v>4800</v>
      </c>
      <c r="K563" s="38" t="s">
        <v>20</v>
      </c>
      <c r="L563" s="43">
        <v>0.125</v>
      </c>
      <c r="M563" s="43">
        <v>0.05</v>
      </c>
      <c r="N563" s="37">
        <f>864+((24+48)*12)+576+(6*12)</f>
        <v>2376</v>
      </c>
      <c r="O563" s="41" t="s">
        <v>20</v>
      </c>
      <c r="P563" s="37">
        <f>(C563+(E563*F563*H563))-N563</f>
        <v>792</v>
      </c>
      <c r="Q563" s="41" t="s">
        <v>20</v>
      </c>
      <c r="R563" s="42">
        <f>P563*(J563-(J563*L563)-((J563-(J563*L563))*M563))</f>
        <v>3160080</v>
      </c>
      <c r="S563" s="42">
        <f t="shared" si="82"/>
        <v>2846918.9189189188</v>
      </c>
    </row>
    <row r="564" spans="1:19" s="63" customFormat="1">
      <c r="A564" s="72" t="s">
        <v>552</v>
      </c>
      <c r="B564" s="63" t="s">
        <v>26</v>
      </c>
      <c r="C564" s="64"/>
      <c r="D564" s="65" t="s">
        <v>43</v>
      </c>
      <c r="E564" s="66">
        <v>1</v>
      </c>
      <c r="F564" s="67">
        <v>1</v>
      </c>
      <c r="G564" s="68" t="s">
        <v>21</v>
      </c>
      <c r="H564" s="67">
        <v>24</v>
      </c>
      <c r="I564" s="68" t="s">
        <v>43</v>
      </c>
      <c r="J564" s="69">
        <f>1440000/24</f>
        <v>60000</v>
      </c>
      <c r="K564" s="65" t="s">
        <v>43</v>
      </c>
      <c r="L564" s="70"/>
      <c r="M564" s="70">
        <v>0.17</v>
      </c>
      <c r="N564" s="64">
        <v>24</v>
      </c>
      <c r="O564" s="68" t="s">
        <v>43</v>
      </c>
      <c r="P564" s="64">
        <f>(C564+(E564*F564*H564))-N564</f>
        <v>0</v>
      </c>
      <c r="Q564" s="68" t="s">
        <v>43</v>
      </c>
      <c r="R564" s="69">
        <f>P564*(J564-(J564*L564)-((J564-(J564*L564))*M564))</f>
        <v>0</v>
      </c>
      <c r="S564" s="23">
        <f t="shared" si="82"/>
        <v>0</v>
      </c>
    </row>
    <row r="565" spans="1:19" s="26" customFormat="1">
      <c r="A565" s="108" t="s">
        <v>553</v>
      </c>
      <c r="B565" s="26" t="s">
        <v>182</v>
      </c>
      <c r="C565" s="27">
        <v>2376</v>
      </c>
      <c r="D565" s="28" t="s">
        <v>20</v>
      </c>
      <c r="E565" s="29"/>
      <c r="F565" s="30">
        <v>1</v>
      </c>
      <c r="G565" s="31" t="s">
        <v>21</v>
      </c>
      <c r="H565" s="30">
        <v>120</v>
      </c>
      <c r="I565" s="31" t="s">
        <v>20</v>
      </c>
      <c r="J565" s="32">
        <v>11500</v>
      </c>
      <c r="K565" s="28" t="s">
        <v>20</v>
      </c>
      <c r="L565" s="33"/>
      <c r="M565" s="33"/>
      <c r="N565" s="27">
        <f>(2+1+2+2+10+1+20+3+2+1+10)*12</f>
        <v>648</v>
      </c>
      <c r="O565" s="31" t="s">
        <v>20</v>
      </c>
      <c r="P565" s="27">
        <f t="shared" ref="P565:P566" si="85">(C565+(E565*F565*H565))-N565</f>
        <v>1728</v>
      </c>
      <c r="Q565" s="31" t="s">
        <v>20</v>
      </c>
      <c r="R565" s="32">
        <f t="shared" ref="R565:R566" si="86">P565*(J565-(J565*L565)-((J565-(J565*L565))*M565))</f>
        <v>19872000</v>
      </c>
      <c r="S565" s="32">
        <f t="shared" si="82"/>
        <v>17902702.702702701</v>
      </c>
    </row>
    <row r="566" spans="1:19" s="26" customFormat="1">
      <c r="A566" s="108" t="s">
        <v>554</v>
      </c>
      <c r="B566" s="26" t="s">
        <v>182</v>
      </c>
      <c r="C566" s="27">
        <v>1884</v>
      </c>
      <c r="D566" s="28" t="s">
        <v>20</v>
      </c>
      <c r="E566" s="29"/>
      <c r="F566" s="30">
        <v>1</v>
      </c>
      <c r="G566" s="31" t="s">
        <v>21</v>
      </c>
      <c r="H566" s="30">
        <v>96</v>
      </c>
      <c r="I566" s="31" t="s">
        <v>20</v>
      </c>
      <c r="J566" s="32">
        <v>21000</v>
      </c>
      <c r="K566" s="28" t="s">
        <v>20</v>
      </c>
      <c r="L566" s="33"/>
      <c r="M566" s="33"/>
      <c r="N566" s="27">
        <f>12+12</f>
        <v>24</v>
      </c>
      <c r="O566" s="31" t="s">
        <v>20</v>
      </c>
      <c r="P566" s="27">
        <f t="shared" si="85"/>
        <v>1860</v>
      </c>
      <c r="Q566" s="31" t="s">
        <v>20</v>
      </c>
      <c r="R566" s="32">
        <f t="shared" si="86"/>
        <v>39060000</v>
      </c>
      <c r="S566" s="32">
        <f t="shared" si="82"/>
        <v>35189189.189189188</v>
      </c>
    </row>
    <row r="567" spans="1:19">
      <c r="S567" s="23"/>
    </row>
    <row r="568" spans="1:19" ht="15.75">
      <c r="A568" s="14" t="s">
        <v>555</v>
      </c>
      <c r="S568" s="23"/>
    </row>
    <row r="569" spans="1:19">
      <c r="A569" s="15" t="s">
        <v>556</v>
      </c>
      <c r="S569" s="23"/>
    </row>
    <row r="570" spans="1:19" s="17" customFormat="1">
      <c r="A570" s="16" t="s">
        <v>557</v>
      </c>
      <c r="B570" s="17" t="s">
        <v>19</v>
      </c>
      <c r="C570" s="18"/>
      <c r="D570" s="19" t="s">
        <v>34</v>
      </c>
      <c r="E570" s="20">
        <v>1</v>
      </c>
      <c r="F570" s="21">
        <v>1</v>
      </c>
      <c r="G570" s="22" t="s">
        <v>21</v>
      </c>
      <c r="H570" s="21">
        <v>48</v>
      </c>
      <c r="I570" s="22" t="s">
        <v>34</v>
      </c>
      <c r="J570" s="23">
        <v>30000</v>
      </c>
      <c r="K570" s="19" t="s">
        <v>34</v>
      </c>
      <c r="L570" s="24">
        <v>0.125</v>
      </c>
      <c r="M570" s="24">
        <v>0.05</v>
      </c>
      <c r="N570" s="18">
        <v>48</v>
      </c>
      <c r="O570" s="22" t="s">
        <v>34</v>
      </c>
      <c r="P570" s="18">
        <f>(C570+(E570*F570*H570))-N570</f>
        <v>0</v>
      </c>
      <c r="Q570" s="22" t="s">
        <v>34</v>
      </c>
      <c r="R570" s="23">
        <f>P570*(J570-(J570*L570)-((J570-(J570*L570))*M570))</f>
        <v>0</v>
      </c>
      <c r="S570" s="23">
        <f t="shared" si="82"/>
        <v>0</v>
      </c>
    </row>
    <row r="571" spans="1:19" s="26" customFormat="1">
      <c r="A571" s="94" t="s">
        <v>558</v>
      </c>
      <c r="B571" s="26" t="s">
        <v>26</v>
      </c>
      <c r="C571" s="27">
        <v>194</v>
      </c>
      <c r="D571" s="28" t="s">
        <v>43</v>
      </c>
      <c r="E571" s="29"/>
      <c r="F571" s="30">
        <v>1</v>
      </c>
      <c r="G571" s="31" t="s">
        <v>21</v>
      </c>
      <c r="H571" s="30">
        <v>48</v>
      </c>
      <c r="I571" s="31" t="s">
        <v>43</v>
      </c>
      <c r="J571" s="32">
        <f>1497600/48</f>
        <v>31200</v>
      </c>
      <c r="K571" s="28" t="s">
        <v>43</v>
      </c>
      <c r="L571" s="33"/>
      <c r="M571" s="33">
        <v>0.17</v>
      </c>
      <c r="N571" s="27">
        <f>3+1</f>
        <v>4</v>
      </c>
      <c r="O571" s="31" t="s">
        <v>43</v>
      </c>
      <c r="P571" s="27">
        <f>(C571+(E571*F571*H571))-N571</f>
        <v>190</v>
      </c>
      <c r="Q571" s="31" t="s">
        <v>43</v>
      </c>
      <c r="R571" s="32">
        <f>P571*(J571-(J571*L571)-((J571-(J571*L571))*M571))</f>
        <v>4920240</v>
      </c>
      <c r="S571" s="32">
        <f t="shared" si="82"/>
        <v>4432648.6486486485</v>
      </c>
    </row>
    <row r="572" spans="1:19">
      <c r="S572" s="23"/>
    </row>
    <row r="573" spans="1:19" ht="15.75">
      <c r="A573" s="14" t="s">
        <v>559</v>
      </c>
      <c r="S573" s="23"/>
    </row>
    <row r="574" spans="1:19" s="45" customFormat="1">
      <c r="A574" s="44" t="s">
        <v>560</v>
      </c>
      <c r="B574" s="45" t="s">
        <v>19</v>
      </c>
      <c r="C574" s="46">
        <v>600</v>
      </c>
      <c r="D574" s="47" t="s">
        <v>20</v>
      </c>
      <c r="E574" s="48">
        <v>5</v>
      </c>
      <c r="F574" s="49">
        <v>10</v>
      </c>
      <c r="G574" s="50" t="s">
        <v>34</v>
      </c>
      <c r="H574" s="49">
        <v>12</v>
      </c>
      <c r="I574" s="50" t="s">
        <v>20</v>
      </c>
      <c r="J574" s="51">
        <v>12400</v>
      </c>
      <c r="K574" s="47" t="s">
        <v>20</v>
      </c>
      <c r="L574" s="52">
        <v>0.125</v>
      </c>
      <c r="M574" s="52">
        <v>0.05</v>
      </c>
      <c r="N574" s="46">
        <v>600</v>
      </c>
      <c r="O574" s="50" t="s">
        <v>20</v>
      </c>
      <c r="P574" s="46">
        <f t="shared" ref="P574:P586" si="87">(C574+(E574*F574*H574))-N574</f>
        <v>600</v>
      </c>
      <c r="Q574" s="50" t="s">
        <v>20</v>
      </c>
      <c r="R574" s="51">
        <f t="shared" ref="R574:R586" si="88">P574*(J574-(J574*L574)-((J574-(J574*L574))*M574))</f>
        <v>6184500</v>
      </c>
      <c r="S574" s="51">
        <f t="shared" si="82"/>
        <v>5571621.6216216208</v>
      </c>
    </row>
    <row r="575" spans="1:19" s="17" customFormat="1">
      <c r="A575" s="16" t="s">
        <v>561</v>
      </c>
      <c r="B575" s="17" t="s">
        <v>19</v>
      </c>
      <c r="C575" s="18"/>
      <c r="D575" s="19" t="s">
        <v>20</v>
      </c>
      <c r="E575" s="20">
        <v>2</v>
      </c>
      <c r="F575" s="21">
        <v>5</v>
      </c>
      <c r="G575" s="22" t="s">
        <v>34</v>
      </c>
      <c r="H575" s="21">
        <v>12</v>
      </c>
      <c r="I575" s="22" t="s">
        <v>20</v>
      </c>
      <c r="J575" s="23">
        <v>27000</v>
      </c>
      <c r="K575" s="19" t="s">
        <v>20</v>
      </c>
      <c r="L575" s="24">
        <v>0.125</v>
      </c>
      <c r="M575" s="24">
        <v>0.05</v>
      </c>
      <c r="N575" s="18">
        <v>120</v>
      </c>
      <c r="O575" s="22" t="s">
        <v>20</v>
      </c>
      <c r="P575" s="18">
        <f t="shared" si="87"/>
        <v>0</v>
      </c>
      <c r="Q575" s="22" t="s">
        <v>20</v>
      </c>
      <c r="R575" s="23">
        <f t="shared" si="88"/>
        <v>0</v>
      </c>
      <c r="S575" s="23">
        <f t="shared" si="82"/>
        <v>0</v>
      </c>
    </row>
    <row r="576" spans="1:19" s="17" customFormat="1">
      <c r="A576" s="16" t="s">
        <v>562</v>
      </c>
      <c r="B576" s="17" t="s">
        <v>19</v>
      </c>
      <c r="C576" s="18"/>
      <c r="D576" s="19" t="s">
        <v>20</v>
      </c>
      <c r="E576" s="20">
        <v>5</v>
      </c>
      <c r="F576" s="21">
        <v>1</v>
      </c>
      <c r="G576" s="22" t="s">
        <v>21</v>
      </c>
      <c r="H576" s="21">
        <v>24</v>
      </c>
      <c r="I576" s="22" t="s">
        <v>20</v>
      </c>
      <c r="J576" s="23">
        <v>40000</v>
      </c>
      <c r="K576" s="19" t="s">
        <v>20</v>
      </c>
      <c r="L576" s="24">
        <v>0.125</v>
      </c>
      <c r="M576" s="24">
        <v>0.05</v>
      </c>
      <c r="N576" s="18">
        <v>120</v>
      </c>
      <c r="O576" s="22" t="s">
        <v>20</v>
      </c>
      <c r="P576" s="18">
        <f t="shared" si="87"/>
        <v>0</v>
      </c>
      <c r="Q576" s="22" t="s">
        <v>20</v>
      </c>
      <c r="R576" s="23">
        <f t="shared" si="88"/>
        <v>0</v>
      </c>
      <c r="S576" s="23">
        <f t="shared" si="82"/>
        <v>0</v>
      </c>
    </row>
    <row r="577" spans="1:19" s="17" customFormat="1">
      <c r="A577" s="16" t="s">
        <v>563</v>
      </c>
      <c r="B577" s="17" t="s">
        <v>19</v>
      </c>
      <c r="C577" s="18"/>
      <c r="D577" s="19" t="s">
        <v>20</v>
      </c>
      <c r="E577" s="20">
        <v>1</v>
      </c>
      <c r="F577" s="21">
        <v>1</v>
      </c>
      <c r="G577" s="22" t="s">
        <v>21</v>
      </c>
      <c r="H577" s="21">
        <v>24</v>
      </c>
      <c r="I577" s="22" t="s">
        <v>20</v>
      </c>
      <c r="J577" s="23">
        <v>43000</v>
      </c>
      <c r="K577" s="19" t="s">
        <v>20</v>
      </c>
      <c r="L577" s="24">
        <v>0.125</v>
      </c>
      <c r="M577" s="24">
        <v>0.05</v>
      </c>
      <c r="N577" s="18">
        <v>24</v>
      </c>
      <c r="O577" s="22" t="s">
        <v>20</v>
      </c>
      <c r="P577" s="18">
        <f t="shared" si="87"/>
        <v>0</v>
      </c>
      <c r="Q577" s="22" t="s">
        <v>20</v>
      </c>
      <c r="R577" s="23">
        <f t="shared" si="88"/>
        <v>0</v>
      </c>
      <c r="S577" s="23">
        <f t="shared" si="82"/>
        <v>0</v>
      </c>
    </row>
    <row r="578" spans="1:19">
      <c r="A578" s="34" t="s">
        <v>564</v>
      </c>
      <c r="B578" s="2" t="s">
        <v>26</v>
      </c>
      <c r="C578" s="3">
        <v>79</v>
      </c>
      <c r="D578" s="4" t="s">
        <v>20</v>
      </c>
      <c r="F578" s="6">
        <v>10</v>
      </c>
      <c r="G578" s="7" t="s">
        <v>43</v>
      </c>
      <c r="H578" s="6">
        <v>12</v>
      </c>
      <c r="I578" s="7" t="s">
        <v>20</v>
      </c>
      <c r="J578" s="8">
        <f>1500000/10/12</f>
        <v>12500</v>
      </c>
      <c r="K578" s="4" t="s">
        <v>20</v>
      </c>
      <c r="M578" s="9">
        <v>0.17</v>
      </c>
      <c r="O578" s="7" t="s">
        <v>20</v>
      </c>
      <c r="P578" s="3">
        <f t="shared" si="87"/>
        <v>79</v>
      </c>
      <c r="Q578" s="7" t="s">
        <v>20</v>
      </c>
      <c r="R578" s="8">
        <f t="shared" si="88"/>
        <v>819625</v>
      </c>
      <c r="S578" s="32">
        <f t="shared" si="82"/>
        <v>738400.90090090083</v>
      </c>
    </row>
    <row r="579" spans="1:19" s="45" customFormat="1">
      <c r="A579" s="44" t="s">
        <v>565</v>
      </c>
      <c r="B579" s="45" t="s">
        <v>26</v>
      </c>
      <c r="C579" s="46">
        <v>5</v>
      </c>
      <c r="D579" s="47" t="s">
        <v>43</v>
      </c>
      <c r="E579" s="48">
        <f>5+1</f>
        <v>6</v>
      </c>
      <c r="F579" s="49">
        <v>1</v>
      </c>
      <c r="G579" s="50" t="s">
        <v>21</v>
      </c>
      <c r="H579" s="49">
        <v>10</v>
      </c>
      <c r="I579" s="50" t="s">
        <v>43</v>
      </c>
      <c r="J579" s="51">
        <f>1500000/10</f>
        <v>150000</v>
      </c>
      <c r="K579" s="47" t="s">
        <v>43</v>
      </c>
      <c r="L579" s="52"/>
      <c r="M579" s="52">
        <v>0.17</v>
      </c>
      <c r="N579" s="46">
        <f>20+10+20+10</f>
        <v>60</v>
      </c>
      <c r="O579" s="50" t="s">
        <v>43</v>
      </c>
      <c r="P579" s="46">
        <f t="shared" si="87"/>
        <v>5</v>
      </c>
      <c r="Q579" s="50" t="s">
        <v>43</v>
      </c>
      <c r="R579" s="51">
        <f t="shared" si="88"/>
        <v>622500</v>
      </c>
      <c r="S579" s="51">
        <f t="shared" si="82"/>
        <v>560810.81081081077</v>
      </c>
    </row>
    <row r="580" spans="1:19" s="63" customFormat="1">
      <c r="A580" s="72" t="s">
        <v>566</v>
      </c>
      <c r="B580" s="63" t="s">
        <v>26</v>
      </c>
      <c r="C580" s="64"/>
      <c r="D580" s="65" t="s">
        <v>20</v>
      </c>
      <c r="E580" s="66"/>
      <c r="F580" s="67">
        <v>10</v>
      </c>
      <c r="G580" s="68" t="s">
        <v>43</v>
      </c>
      <c r="H580" s="67">
        <v>12</v>
      </c>
      <c r="I580" s="68" t="s">
        <v>20</v>
      </c>
      <c r="J580" s="69">
        <f>13000</f>
        <v>13000</v>
      </c>
      <c r="K580" s="65" t="s">
        <v>20</v>
      </c>
      <c r="L580" s="70"/>
      <c r="M580" s="70">
        <v>0.17</v>
      </c>
      <c r="N580" s="64"/>
      <c r="O580" s="68" t="s">
        <v>20</v>
      </c>
      <c r="P580" s="64">
        <f t="shared" si="87"/>
        <v>0</v>
      </c>
      <c r="Q580" s="68" t="s">
        <v>20</v>
      </c>
      <c r="R580" s="69">
        <f t="shared" si="88"/>
        <v>0</v>
      </c>
      <c r="S580" s="23">
        <f t="shared" si="82"/>
        <v>0</v>
      </c>
    </row>
    <row r="581" spans="1:19" s="45" customFormat="1">
      <c r="A581" s="44" t="s">
        <v>567</v>
      </c>
      <c r="B581" s="45" t="s">
        <v>26</v>
      </c>
      <c r="C581" s="46">
        <v>4</v>
      </c>
      <c r="D581" s="47" t="s">
        <v>43</v>
      </c>
      <c r="E581" s="48">
        <f>1+3+2</f>
        <v>6</v>
      </c>
      <c r="F581" s="49">
        <v>4</v>
      </c>
      <c r="G581" s="50" t="s">
        <v>34</v>
      </c>
      <c r="H581" s="49">
        <v>2</v>
      </c>
      <c r="I581" s="50" t="s">
        <v>43</v>
      </c>
      <c r="J581" s="51">
        <f>1440000/4/2</f>
        <v>180000</v>
      </c>
      <c r="K581" s="47" t="s">
        <v>43</v>
      </c>
      <c r="L581" s="52"/>
      <c r="M581" s="52">
        <v>0.17</v>
      </c>
      <c r="N581" s="46">
        <f>3+24+(96/12)+1+3+2+3</f>
        <v>44</v>
      </c>
      <c r="O581" s="50" t="s">
        <v>43</v>
      </c>
      <c r="P581" s="46">
        <f>(C581+(E581*F581*H581))-N581</f>
        <v>8</v>
      </c>
      <c r="Q581" s="50" t="s">
        <v>43</v>
      </c>
      <c r="R581" s="51">
        <f>P581*(J581-(J581*L581)-((J581-(J581*L581))*M581))</f>
        <v>1195200</v>
      </c>
      <c r="S581" s="51">
        <f t="shared" si="82"/>
        <v>1076756.7567567567</v>
      </c>
    </row>
    <row r="582" spans="1:19" s="45" customFormat="1">
      <c r="A582" s="44" t="s">
        <v>568</v>
      </c>
      <c r="B582" s="45" t="s">
        <v>26</v>
      </c>
      <c r="C582" s="46">
        <v>8</v>
      </c>
      <c r="D582" s="47" t="s">
        <v>43</v>
      </c>
      <c r="E582" s="48">
        <v>1</v>
      </c>
      <c r="F582" s="49">
        <v>1</v>
      </c>
      <c r="G582" s="50" t="s">
        <v>21</v>
      </c>
      <c r="H582" s="49">
        <v>5</v>
      </c>
      <c r="I582" s="50" t="s">
        <v>43</v>
      </c>
      <c r="J582" s="51">
        <f>1320000/5</f>
        <v>264000</v>
      </c>
      <c r="K582" s="47" t="s">
        <v>20</v>
      </c>
      <c r="L582" s="52"/>
      <c r="M582" s="52">
        <v>0.17</v>
      </c>
      <c r="N582" s="46">
        <f>1+1</f>
        <v>2</v>
      </c>
      <c r="O582" s="50" t="s">
        <v>43</v>
      </c>
      <c r="P582" s="46">
        <f t="shared" si="87"/>
        <v>11</v>
      </c>
      <c r="Q582" s="50" t="s">
        <v>43</v>
      </c>
      <c r="R582" s="51">
        <f t="shared" si="88"/>
        <v>2410320</v>
      </c>
      <c r="S582" s="51">
        <f t="shared" si="82"/>
        <v>2171459.4594594594</v>
      </c>
    </row>
    <row r="583" spans="1:19" s="45" customFormat="1">
      <c r="A583" s="44" t="s">
        <v>569</v>
      </c>
      <c r="B583" s="45" t="s">
        <v>26</v>
      </c>
      <c r="C583" s="46">
        <v>1</v>
      </c>
      <c r="D583" s="47" t="s">
        <v>43</v>
      </c>
      <c r="E583" s="48">
        <v>2</v>
      </c>
      <c r="F583" s="49">
        <v>1</v>
      </c>
      <c r="G583" s="50" t="s">
        <v>21</v>
      </c>
      <c r="H583" s="49">
        <v>4</v>
      </c>
      <c r="I583" s="50" t="s">
        <v>43</v>
      </c>
      <c r="J583" s="51">
        <f>1536000/4</f>
        <v>384000</v>
      </c>
      <c r="K583" s="47" t="s">
        <v>43</v>
      </c>
      <c r="L583" s="52"/>
      <c r="M583" s="52">
        <v>0.17</v>
      </c>
      <c r="N583" s="46">
        <f>8+1</f>
        <v>9</v>
      </c>
      <c r="O583" s="50" t="s">
        <v>43</v>
      </c>
      <c r="P583" s="46">
        <f t="shared" si="87"/>
        <v>0</v>
      </c>
      <c r="Q583" s="50" t="s">
        <v>43</v>
      </c>
      <c r="R583" s="51">
        <f t="shared" si="88"/>
        <v>0</v>
      </c>
      <c r="S583" s="51">
        <f t="shared" si="82"/>
        <v>0</v>
      </c>
    </row>
    <row r="584" spans="1:19" s="26" customFormat="1">
      <c r="A584" s="25" t="s">
        <v>570</v>
      </c>
      <c r="B584" s="26" t="s">
        <v>26</v>
      </c>
      <c r="C584" s="27">
        <v>24</v>
      </c>
      <c r="D584" s="28" t="s">
        <v>20</v>
      </c>
      <c r="E584" s="29"/>
      <c r="F584" s="30">
        <v>1</v>
      </c>
      <c r="G584" s="31" t="s">
        <v>21</v>
      </c>
      <c r="H584" s="30">
        <v>24</v>
      </c>
      <c r="I584" s="31" t="s">
        <v>20</v>
      </c>
      <c r="J584" s="32">
        <f>1164000/24</f>
        <v>48500</v>
      </c>
      <c r="K584" s="28" t="s">
        <v>20</v>
      </c>
      <c r="L584" s="33"/>
      <c r="M584" s="33">
        <v>0.17</v>
      </c>
      <c r="N584" s="27"/>
      <c r="O584" s="31" t="s">
        <v>20</v>
      </c>
      <c r="P584" s="27">
        <f t="shared" si="87"/>
        <v>24</v>
      </c>
      <c r="Q584" s="31" t="s">
        <v>20</v>
      </c>
      <c r="R584" s="32">
        <f t="shared" si="88"/>
        <v>966120</v>
      </c>
      <c r="S584" s="32">
        <f t="shared" si="82"/>
        <v>870378.37837837834</v>
      </c>
    </row>
    <row r="585" spans="1:19" s="17" customFormat="1">
      <c r="A585" s="16" t="s">
        <v>571</v>
      </c>
      <c r="B585" s="17" t="s">
        <v>26</v>
      </c>
      <c r="C585" s="18"/>
      <c r="D585" s="19" t="s">
        <v>20</v>
      </c>
      <c r="E585" s="20">
        <v>2</v>
      </c>
      <c r="F585" s="21">
        <v>1</v>
      </c>
      <c r="G585" s="22" t="s">
        <v>21</v>
      </c>
      <c r="H585" s="21">
        <v>24</v>
      </c>
      <c r="I585" s="22" t="s">
        <v>20</v>
      </c>
      <c r="J585" s="23">
        <f>1008000/24</f>
        <v>42000</v>
      </c>
      <c r="K585" s="19" t="s">
        <v>20</v>
      </c>
      <c r="L585" s="24"/>
      <c r="M585" s="24">
        <v>0.17</v>
      </c>
      <c r="N585" s="18">
        <v>48</v>
      </c>
      <c r="O585" s="22" t="s">
        <v>20</v>
      </c>
      <c r="P585" s="18">
        <f t="shared" si="87"/>
        <v>0</v>
      </c>
      <c r="Q585" s="22" t="s">
        <v>20</v>
      </c>
      <c r="R585" s="23">
        <f t="shared" si="88"/>
        <v>0</v>
      </c>
      <c r="S585" s="23">
        <f t="shared" si="82"/>
        <v>0</v>
      </c>
    </row>
    <row r="586" spans="1:19" s="26" customFormat="1">
      <c r="A586" s="25" t="s">
        <v>572</v>
      </c>
      <c r="B586" s="26" t="s">
        <v>26</v>
      </c>
      <c r="C586" s="27">
        <v>72</v>
      </c>
      <c r="D586" s="28" t="s">
        <v>20</v>
      </c>
      <c r="E586" s="29"/>
      <c r="F586" s="30">
        <v>1</v>
      </c>
      <c r="G586" s="31" t="s">
        <v>21</v>
      </c>
      <c r="H586" s="30">
        <v>24</v>
      </c>
      <c r="I586" s="31" t="s">
        <v>20</v>
      </c>
      <c r="J586" s="32">
        <f>1416000/24</f>
        <v>59000</v>
      </c>
      <c r="K586" s="28" t="s">
        <v>20</v>
      </c>
      <c r="L586" s="33"/>
      <c r="M586" s="33">
        <v>0.17</v>
      </c>
      <c r="N586" s="27">
        <f>6+6+12+24+6</f>
        <v>54</v>
      </c>
      <c r="O586" s="31" t="s">
        <v>20</v>
      </c>
      <c r="P586" s="27">
        <f t="shared" si="87"/>
        <v>18</v>
      </c>
      <c r="Q586" s="31" t="s">
        <v>20</v>
      </c>
      <c r="R586" s="32">
        <f t="shared" si="88"/>
        <v>881460</v>
      </c>
      <c r="S586" s="32">
        <f t="shared" si="82"/>
        <v>794108.10810810805</v>
      </c>
    </row>
    <row r="587" spans="1:19">
      <c r="S587" s="23"/>
    </row>
    <row r="588" spans="1:19" ht="15.75">
      <c r="A588" s="14" t="s">
        <v>573</v>
      </c>
      <c r="S588" s="23"/>
    </row>
    <row r="589" spans="1:19">
      <c r="A589" s="15" t="s">
        <v>574</v>
      </c>
      <c r="S589" s="23"/>
    </row>
    <row r="590" spans="1:19" s="17" customFormat="1">
      <c r="A590" s="111" t="s">
        <v>575</v>
      </c>
      <c r="B590" s="17" t="s">
        <v>26</v>
      </c>
      <c r="C590" s="18"/>
      <c r="D590" s="19" t="s">
        <v>43</v>
      </c>
      <c r="E590" s="20"/>
      <c r="F590" s="21">
        <v>1</v>
      </c>
      <c r="G590" s="22" t="s">
        <v>21</v>
      </c>
      <c r="H590" s="21">
        <v>60</v>
      </c>
      <c r="I590" s="22" t="s">
        <v>43</v>
      </c>
      <c r="J590" s="23">
        <v>36000</v>
      </c>
      <c r="K590" s="19" t="s">
        <v>43</v>
      </c>
      <c r="L590" s="24"/>
      <c r="M590" s="24">
        <v>0.17</v>
      </c>
      <c r="N590" s="18"/>
      <c r="O590" s="22" t="s">
        <v>43</v>
      </c>
      <c r="P590" s="18">
        <f>(C590+(E590*F590*H590))-N590</f>
        <v>0</v>
      </c>
      <c r="Q590" s="22" t="s">
        <v>43</v>
      </c>
      <c r="R590" s="23">
        <f>P590*(J590-(J590*L590)-((J590-(J590*L590))*M590))</f>
        <v>0</v>
      </c>
      <c r="S590" s="23">
        <f t="shared" si="82"/>
        <v>0</v>
      </c>
    </row>
    <row r="591" spans="1:19" s="26" customFormat="1">
      <c r="A591" s="107" t="s">
        <v>576</v>
      </c>
      <c r="B591" s="26" t="s">
        <v>26</v>
      </c>
      <c r="C591" s="27">
        <v>274</v>
      </c>
      <c r="D591" s="28" t="s">
        <v>43</v>
      </c>
      <c r="E591" s="29"/>
      <c r="F591" s="30">
        <v>12</v>
      </c>
      <c r="G591" s="31" t="s">
        <v>88</v>
      </c>
      <c r="H591" s="30">
        <v>12</v>
      </c>
      <c r="I591" s="31" t="s">
        <v>43</v>
      </c>
      <c r="J591" s="32">
        <f>1555200/144</f>
        <v>10800</v>
      </c>
      <c r="K591" s="28" t="s">
        <v>43</v>
      </c>
      <c r="L591" s="33">
        <v>0.05</v>
      </c>
      <c r="M591" s="33">
        <v>0.17</v>
      </c>
      <c r="N591" s="27">
        <f>12+24+12+3+12</f>
        <v>63</v>
      </c>
      <c r="O591" s="31" t="s">
        <v>43</v>
      </c>
      <c r="P591" s="27">
        <f>(C591+(E591*F591*H591))-N591</f>
        <v>211</v>
      </c>
      <c r="Q591" s="31" t="s">
        <v>43</v>
      </c>
      <c r="R591" s="32">
        <f>P591*(J591-(J591*L591)-((J591-(J591*L591))*M591))</f>
        <v>1796833.7999999998</v>
      </c>
      <c r="S591" s="32">
        <f t="shared" si="82"/>
        <v>1618769.1891891889</v>
      </c>
    </row>
    <row r="592" spans="1:19">
      <c r="A592" s="15" t="s">
        <v>577</v>
      </c>
      <c r="S592" s="23"/>
    </row>
    <row r="593" spans="1:19" s="17" customFormat="1">
      <c r="A593" s="111" t="s">
        <v>578</v>
      </c>
      <c r="B593" s="17" t="s">
        <v>26</v>
      </c>
      <c r="C593" s="18"/>
      <c r="D593" s="19" t="s">
        <v>43</v>
      </c>
      <c r="E593" s="20"/>
      <c r="F593" s="21">
        <v>1</v>
      </c>
      <c r="G593" s="22" t="s">
        <v>21</v>
      </c>
      <c r="H593" s="21">
        <v>60</v>
      </c>
      <c r="I593" s="22" t="s">
        <v>43</v>
      </c>
      <c r="J593" s="23">
        <v>37800</v>
      </c>
      <c r="K593" s="19" t="s">
        <v>43</v>
      </c>
      <c r="L593" s="24"/>
      <c r="M593" s="24">
        <v>0.17</v>
      </c>
      <c r="N593" s="18"/>
      <c r="O593" s="22" t="s">
        <v>43</v>
      </c>
      <c r="P593" s="18">
        <f>(C593+(E593*F593*H593))-N593</f>
        <v>0</v>
      </c>
      <c r="Q593" s="22" t="s">
        <v>43</v>
      </c>
      <c r="R593" s="23">
        <f>P593*(J593-(J593*L593)-((J593-(J593*L593))*M593))</f>
        <v>0</v>
      </c>
      <c r="S593" s="23">
        <f t="shared" si="82"/>
        <v>0</v>
      </c>
    </row>
    <row r="594" spans="1:19">
      <c r="A594" s="15" t="s">
        <v>579</v>
      </c>
      <c r="S594" s="23"/>
    </row>
    <row r="595" spans="1:19" s="45" customFormat="1">
      <c r="A595" s="44" t="s">
        <v>580</v>
      </c>
      <c r="B595" s="45" t="s">
        <v>19</v>
      </c>
      <c r="C595" s="46">
        <v>84</v>
      </c>
      <c r="D595" s="47" t="s">
        <v>162</v>
      </c>
      <c r="E595" s="48"/>
      <c r="F595" s="49">
        <v>8</v>
      </c>
      <c r="G595" s="50" t="s">
        <v>34</v>
      </c>
      <c r="H595" s="49">
        <v>12</v>
      </c>
      <c r="I595" s="50" t="s">
        <v>162</v>
      </c>
      <c r="J595" s="51">
        <v>17000</v>
      </c>
      <c r="K595" s="47" t="s">
        <v>162</v>
      </c>
      <c r="L595" s="52">
        <v>0.125</v>
      </c>
      <c r="M595" s="52">
        <v>0.05</v>
      </c>
      <c r="N595" s="46">
        <f>(1*12)+12+6</f>
        <v>30</v>
      </c>
      <c r="O595" s="50" t="s">
        <v>162</v>
      </c>
      <c r="P595" s="46">
        <f t="shared" ref="P595:P599" si="89">(C595+(E595*F595*H595))-N595</f>
        <v>54</v>
      </c>
      <c r="Q595" s="50" t="s">
        <v>162</v>
      </c>
      <c r="R595" s="51">
        <f t="shared" ref="R595:R599" si="90">P595*(J595-(J595*L595)-((J595-(J595*L595))*M595))</f>
        <v>763087.5</v>
      </c>
      <c r="S595" s="32">
        <f t="shared" si="82"/>
        <v>687466.21621621621</v>
      </c>
    </row>
    <row r="596" spans="1:19" s="45" customFormat="1">
      <c r="A596" s="44" t="s">
        <v>581</v>
      </c>
      <c r="B596" s="45" t="s">
        <v>19</v>
      </c>
      <c r="C596" s="46">
        <v>36</v>
      </c>
      <c r="D596" s="47" t="s">
        <v>162</v>
      </c>
      <c r="E596" s="48"/>
      <c r="F596" s="49">
        <v>8</v>
      </c>
      <c r="G596" s="50" t="s">
        <v>34</v>
      </c>
      <c r="H596" s="49">
        <v>6</v>
      </c>
      <c r="I596" s="50" t="s">
        <v>162</v>
      </c>
      <c r="J596" s="51">
        <v>34000</v>
      </c>
      <c r="K596" s="47" t="s">
        <v>162</v>
      </c>
      <c r="L596" s="52">
        <v>0.125</v>
      </c>
      <c r="M596" s="52">
        <v>0.05</v>
      </c>
      <c r="N596" s="46">
        <f>(1*12)+21</f>
        <v>33</v>
      </c>
      <c r="O596" s="50" t="s">
        <v>162</v>
      </c>
      <c r="P596" s="46">
        <f t="shared" si="89"/>
        <v>3</v>
      </c>
      <c r="Q596" s="50" t="s">
        <v>162</v>
      </c>
      <c r="R596" s="51">
        <f t="shared" si="90"/>
        <v>84787.5</v>
      </c>
      <c r="S596" s="32">
        <f t="shared" si="82"/>
        <v>76385.135135135133</v>
      </c>
    </row>
    <row r="597" spans="1:19" s="45" customFormat="1">
      <c r="A597" s="44" t="s">
        <v>582</v>
      </c>
      <c r="B597" s="45" t="s">
        <v>19</v>
      </c>
      <c r="C597" s="46">
        <v>192</v>
      </c>
      <c r="D597" s="47" t="s">
        <v>162</v>
      </c>
      <c r="E597" s="48"/>
      <c r="F597" s="49">
        <v>6</v>
      </c>
      <c r="G597" s="50" t="s">
        <v>34</v>
      </c>
      <c r="H597" s="49">
        <v>24</v>
      </c>
      <c r="I597" s="50" t="s">
        <v>162</v>
      </c>
      <c r="J597" s="51">
        <v>31500</v>
      </c>
      <c r="K597" s="47" t="s">
        <v>162</v>
      </c>
      <c r="L597" s="52">
        <v>0.125</v>
      </c>
      <c r="M597" s="52">
        <v>0.05</v>
      </c>
      <c r="N597" s="46">
        <f>12+24+24+36+6+12+16</f>
        <v>130</v>
      </c>
      <c r="O597" s="50" t="s">
        <v>162</v>
      </c>
      <c r="P597" s="46">
        <f t="shared" si="89"/>
        <v>62</v>
      </c>
      <c r="Q597" s="50" t="s">
        <v>162</v>
      </c>
      <c r="R597" s="51">
        <f t="shared" si="90"/>
        <v>1623431.25</v>
      </c>
      <c r="S597" s="32">
        <f t="shared" si="82"/>
        <v>1462550.6756756755</v>
      </c>
    </row>
    <row r="598" spans="1:19" s="45" customFormat="1">
      <c r="A598" s="44" t="s">
        <v>583</v>
      </c>
      <c r="B598" s="45" t="s">
        <v>19</v>
      </c>
      <c r="C598" s="46">
        <v>24</v>
      </c>
      <c r="D598" s="47" t="s">
        <v>162</v>
      </c>
      <c r="E598" s="48"/>
      <c r="F598" s="49">
        <v>6</v>
      </c>
      <c r="G598" s="50" t="s">
        <v>34</v>
      </c>
      <c r="H598" s="49">
        <v>12</v>
      </c>
      <c r="I598" s="50" t="s">
        <v>162</v>
      </c>
      <c r="J598" s="51">
        <v>63000</v>
      </c>
      <c r="K598" s="47" t="s">
        <v>162</v>
      </c>
      <c r="L598" s="52">
        <v>0.125</v>
      </c>
      <c r="M598" s="52">
        <v>0.05</v>
      </c>
      <c r="N598" s="46">
        <f>12+2+9</f>
        <v>23</v>
      </c>
      <c r="O598" s="50" t="s">
        <v>162</v>
      </c>
      <c r="P598" s="46">
        <f t="shared" si="89"/>
        <v>1</v>
      </c>
      <c r="Q598" s="50" t="s">
        <v>162</v>
      </c>
      <c r="R598" s="51">
        <f t="shared" si="90"/>
        <v>52368.75</v>
      </c>
      <c r="S598" s="32">
        <f t="shared" si="82"/>
        <v>47179.054054054053</v>
      </c>
    </row>
    <row r="599" spans="1:19" s="63" customFormat="1">
      <c r="A599" s="72" t="s">
        <v>584</v>
      </c>
      <c r="B599" s="63" t="s">
        <v>19</v>
      </c>
      <c r="C599" s="64"/>
      <c r="D599" s="65" t="s">
        <v>162</v>
      </c>
      <c r="E599" s="66"/>
      <c r="F599" s="67">
        <v>6</v>
      </c>
      <c r="G599" s="68" t="s">
        <v>34</v>
      </c>
      <c r="H599" s="67">
        <v>24</v>
      </c>
      <c r="I599" s="68" t="s">
        <v>162</v>
      </c>
      <c r="J599" s="69"/>
      <c r="K599" s="65" t="s">
        <v>162</v>
      </c>
      <c r="L599" s="70">
        <v>0.1</v>
      </c>
      <c r="M599" s="70">
        <v>0.05</v>
      </c>
      <c r="N599" s="64"/>
      <c r="O599" s="68" t="s">
        <v>162</v>
      </c>
      <c r="P599" s="64">
        <f t="shared" si="89"/>
        <v>0</v>
      </c>
      <c r="Q599" s="68" t="s">
        <v>162</v>
      </c>
      <c r="R599" s="69">
        <f t="shared" si="90"/>
        <v>0</v>
      </c>
      <c r="S599" s="23">
        <f t="shared" si="82"/>
        <v>0</v>
      </c>
    </row>
    <row r="600" spans="1:19">
      <c r="S600" s="23"/>
    </row>
    <row r="601" spans="1:19" ht="15.75">
      <c r="A601" s="14" t="s">
        <v>585</v>
      </c>
      <c r="S601" s="23"/>
    </row>
    <row r="602" spans="1:19" s="45" customFormat="1">
      <c r="A602" s="44" t="s">
        <v>586</v>
      </c>
      <c r="B602" s="45" t="s">
        <v>19</v>
      </c>
      <c r="C602" s="46">
        <v>200</v>
      </c>
      <c r="D602" s="47" t="s">
        <v>20</v>
      </c>
      <c r="E602" s="48">
        <f>5+2</f>
        <v>7</v>
      </c>
      <c r="F602" s="49">
        <v>72</v>
      </c>
      <c r="G602" s="50" t="s">
        <v>34</v>
      </c>
      <c r="H602" s="49">
        <v>10</v>
      </c>
      <c r="I602" s="50" t="s">
        <v>20</v>
      </c>
      <c r="J602" s="51">
        <v>3600</v>
      </c>
      <c r="K602" s="47" t="s">
        <v>20</v>
      </c>
      <c r="L602" s="52">
        <v>0.125</v>
      </c>
      <c r="M602" s="52">
        <v>0.05</v>
      </c>
      <c r="N602" s="46">
        <f>(60+30)+(720+720+720+720+720)+(20+30)+1440</f>
        <v>5180</v>
      </c>
      <c r="O602" s="50" t="s">
        <v>20</v>
      </c>
      <c r="P602" s="46">
        <f t="shared" ref="P602:P608" si="91">(C602+(E602*F602*H602))-N602</f>
        <v>60</v>
      </c>
      <c r="Q602" s="50" t="s">
        <v>20</v>
      </c>
      <c r="R602" s="51">
        <f t="shared" ref="R602:R608" si="92">P602*(J602-(J602*L602)-((J602-(J602*L602))*M602))</f>
        <v>179550</v>
      </c>
      <c r="S602" s="51">
        <f t="shared" si="82"/>
        <v>161756.75675675675</v>
      </c>
    </row>
    <row r="603" spans="1:19" s="63" customFormat="1">
      <c r="A603" s="72" t="s">
        <v>587</v>
      </c>
      <c r="B603" s="63" t="s">
        <v>19</v>
      </c>
      <c r="C603" s="64"/>
      <c r="D603" s="65" t="s">
        <v>162</v>
      </c>
      <c r="E603" s="66"/>
      <c r="F603" s="67">
        <v>12</v>
      </c>
      <c r="G603" s="68" t="s">
        <v>34</v>
      </c>
      <c r="H603" s="67">
        <v>24</v>
      </c>
      <c r="I603" s="68" t="s">
        <v>162</v>
      </c>
      <c r="J603" s="69">
        <v>16500</v>
      </c>
      <c r="K603" s="65" t="s">
        <v>162</v>
      </c>
      <c r="L603" s="70">
        <v>0.125</v>
      </c>
      <c r="M603" s="70">
        <v>0.05</v>
      </c>
      <c r="N603" s="64"/>
      <c r="O603" s="68" t="s">
        <v>162</v>
      </c>
      <c r="P603" s="64">
        <f t="shared" si="91"/>
        <v>0</v>
      </c>
      <c r="Q603" s="68" t="s">
        <v>162</v>
      </c>
      <c r="R603" s="69">
        <f t="shared" si="92"/>
        <v>0</v>
      </c>
      <c r="S603" s="23">
        <f t="shared" si="82"/>
        <v>0</v>
      </c>
    </row>
    <row r="604" spans="1:19" s="17" customFormat="1">
      <c r="A604" s="16" t="s">
        <v>588</v>
      </c>
      <c r="B604" s="17" t="s">
        <v>26</v>
      </c>
      <c r="C604" s="18"/>
      <c r="D604" s="19" t="s">
        <v>20</v>
      </c>
      <c r="E604" s="20"/>
      <c r="F604" s="21">
        <v>48</v>
      </c>
      <c r="G604" s="22" t="s">
        <v>34</v>
      </c>
      <c r="H604" s="21">
        <v>10</v>
      </c>
      <c r="I604" s="22" t="s">
        <v>20</v>
      </c>
      <c r="J604" s="23">
        <f>30500/10</f>
        <v>3050</v>
      </c>
      <c r="K604" s="19" t="s">
        <v>20</v>
      </c>
      <c r="L604" s="24"/>
      <c r="M604" s="24">
        <v>0.17</v>
      </c>
      <c r="N604" s="18"/>
      <c r="O604" s="22" t="s">
        <v>20</v>
      </c>
      <c r="P604" s="18">
        <f t="shared" si="91"/>
        <v>0</v>
      </c>
      <c r="Q604" s="22" t="s">
        <v>20</v>
      </c>
      <c r="R604" s="23">
        <f t="shared" si="92"/>
        <v>0</v>
      </c>
      <c r="S604" s="23">
        <f t="shared" si="82"/>
        <v>0</v>
      </c>
    </row>
    <row r="605" spans="1:19" s="17" customFormat="1">
      <c r="A605" s="16" t="s">
        <v>589</v>
      </c>
      <c r="B605" s="17" t="s">
        <v>26</v>
      </c>
      <c r="C605" s="18"/>
      <c r="D605" s="19" t="s">
        <v>20</v>
      </c>
      <c r="E605" s="20"/>
      <c r="F605" s="21">
        <v>48</v>
      </c>
      <c r="G605" s="22" t="s">
        <v>34</v>
      </c>
      <c r="H605" s="21">
        <v>10</v>
      </c>
      <c r="I605" s="22" t="s">
        <v>20</v>
      </c>
      <c r="J605" s="23">
        <f>30500/10</f>
        <v>3050</v>
      </c>
      <c r="K605" s="19" t="s">
        <v>20</v>
      </c>
      <c r="L605" s="24"/>
      <c r="M605" s="24">
        <v>0.17</v>
      </c>
      <c r="N605" s="18"/>
      <c r="O605" s="22" t="s">
        <v>20</v>
      </c>
      <c r="P605" s="18">
        <f t="shared" si="91"/>
        <v>0</v>
      </c>
      <c r="Q605" s="22" t="s">
        <v>20</v>
      </c>
      <c r="R605" s="23">
        <f t="shared" si="92"/>
        <v>0</v>
      </c>
      <c r="S605" s="23">
        <f t="shared" ref="S605:S668" si="93">R605/1.11</f>
        <v>0</v>
      </c>
    </row>
    <row r="606" spans="1:19" s="17" customFormat="1">
      <c r="A606" s="16" t="s">
        <v>590</v>
      </c>
      <c r="B606" s="17" t="s">
        <v>26</v>
      </c>
      <c r="C606" s="18"/>
      <c r="D606" s="19" t="s">
        <v>43</v>
      </c>
      <c r="E606" s="20"/>
      <c r="F606" s="21">
        <v>12</v>
      </c>
      <c r="G606" s="22" t="s">
        <v>34</v>
      </c>
      <c r="H606" s="21">
        <v>12</v>
      </c>
      <c r="I606" s="22" t="s">
        <v>43</v>
      </c>
      <c r="J606" s="23">
        <v>25800</v>
      </c>
      <c r="K606" s="19" t="s">
        <v>43</v>
      </c>
      <c r="L606" s="24"/>
      <c r="M606" s="24">
        <v>0.17</v>
      </c>
      <c r="N606" s="18"/>
      <c r="O606" s="22" t="s">
        <v>43</v>
      </c>
      <c r="P606" s="18">
        <f t="shared" si="91"/>
        <v>0</v>
      </c>
      <c r="Q606" s="22" t="s">
        <v>43</v>
      </c>
      <c r="R606" s="23">
        <f t="shared" si="92"/>
        <v>0</v>
      </c>
      <c r="S606" s="23">
        <f t="shared" si="93"/>
        <v>0</v>
      </c>
    </row>
    <row r="607" spans="1:19" s="63" customFormat="1">
      <c r="A607" s="72" t="s">
        <v>591</v>
      </c>
      <c r="B607" s="63" t="s">
        <v>275</v>
      </c>
      <c r="C607" s="64"/>
      <c r="D607" s="65" t="s">
        <v>104</v>
      </c>
      <c r="E607" s="66"/>
      <c r="F607" s="67">
        <v>1</v>
      </c>
      <c r="G607" s="68" t="s">
        <v>21</v>
      </c>
      <c r="H607" s="67">
        <v>24</v>
      </c>
      <c r="I607" s="68" t="s">
        <v>104</v>
      </c>
      <c r="J607" s="69">
        <v>94000</v>
      </c>
      <c r="K607" s="65" t="s">
        <v>104</v>
      </c>
      <c r="L607" s="70"/>
      <c r="M607" s="70"/>
      <c r="N607" s="64"/>
      <c r="O607" s="68" t="s">
        <v>104</v>
      </c>
      <c r="P607" s="64">
        <f t="shared" si="91"/>
        <v>0</v>
      </c>
      <c r="Q607" s="68" t="s">
        <v>104</v>
      </c>
      <c r="R607" s="69">
        <f t="shared" si="92"/>
        <v>0</v>
      </c>
      <c r="S607" s="23">
        <f t="shared" si="93"/>
        <v>0</v>
      </c>
    </row>
    <row r="608" spans="1:19" s="26" customFormat="1">
      <c r="A608" s="25" t="s">
        <v>592</v>
      </c>
      <c r="B608" s="26" t="s">
        <v>182</v>
      </c>
      <c r="C608" s="27">
        <v>2103</v>
      </c>
      <c r="D608" s="28" t="s">
        <v>43</v>
      </c>
      <c r="E608" s="29"/>
      <c r="F608" s="30">
        <v>1</v>
      </c>
      <c r="G608" s="31" t="s">
        <v>21</v>
      </c>
      <c r="H608" s="30">
        <v>108</v>
      </c>
      <c r="I608" s="31" t="s">
        <v>43</v>
      </c>
      <c r="J608" s="32">
        <v>18000</v>
      </c>
      <c r="K608" s="28" t="s">
        <v>43</v>
      </c>
      <c r="L608" s="33">
        <v>0.05</v>
      </c>
      <c r="M608" s="33"/>
      <c r="N608" s="27">
        <f>12+2+3+108+5+1+6+108+1+1+2</f>
        <v>249</v>
      </c>
      <c r="O608" s="31" t="s">
        <v>43</v>
      </c>
      <c r="P608" s="27">
        <f t="shared" si="91"/>
        <v>1854</v>
      </c>
      <c r="Q608" s="31" t="s">
        <v>43</v>
      </c>
      <c r="R608" s="32">
        <f t="shared" si="92"/>
        <v>31703400</v>
      </c>
      <c r="S608" s="32">
        <f t="shared" si="93"/>
        <v>28561621.62162162</v>
      </c>
    </row>
    <row r="609" spans="1:19">
      <c r="S609" s="23"/>
    </row>
    <row r="610" spans="1:19" ht="15.75">
      <c r="A610" s="14" t="s">
        <v>593</v>
      </c>
      <c r="S610" s="23"/>
    </row>
    <row r="611" spans="1:19">
      <c r="A611" s="15" t="s">
        <v>594</v>
      </c>
      <c r="S611" s="23"/>
    </row>
    <row r="612" spans="1:19" s="63" customFormat="1">
      <c r="A612" s="72" t="s">
        <v>595</v>
      </c>
      <c r="B612" s="63" t="s">
        <v>19</v>
      </c>
      <c r="C612" s="64"/>
      <c r="D612" s="65" t="s">
        <v>20</v>
      </c>
      <c r="E612" s="66"/>
      <c r="F612" s="67">
        <v>40</v>
      </c>
      <c r="G612" s="68" t="s">
        <v>104</v>
      </c>
      <c r="H612" s="67">
        <v>12</v>
      </c>
      <c r="I612" s="68" t="s">
        <v>20</v>
      </c>
      <c r="J612" s="69">
        <v>6700</v>
      </c>
      <c r="K612" s="65" t="s">
        <v>20</v>
      </c>
      <c r="L612" s="70">
        <v>0.125</v>
      </c>
      <c r="M612" s="70">
        <v>0.05</v>
      </c>
      <c r="N612" s="64"/>
      <c r="O612" s="68" t="s">
        <v>20</v>
      </c>
      <c r="P612" s="64">
        <f t="shared" ref="P612" si="94">(C612+(E612*F612*H612))-N612</f>
        <v>0</v>
      </c>
      <c r="Q612" s="68" t="s">
        <v>20</v>
      </c>
      <c r="R612" s="69">
        <f t="shared" ref="R612" si="95">P612*(J612-(J612*L612)-((J612-(J612*L612))*M612))</f>
        <v>0</v>
      </c>
      <c r="S612" s="23">
        <f t="shared" si="93"/>
        <v>0</v>
      </c>
    </row>
    <row r="613" spans="1:19" s="63" customFormat="1">
      <c r="A613" s="72" t="s">
        <v>596</v>
      </c>
      <c r="B613" s="63" t="s">
        <v>19</v>
      </c>
      <c r="C613" s="64"/>
      <c r="D613" s="65" t="s">
        <v>20</v>
      </c>
      <c r="E613" s="66"/>
      <c r="F613" s="67">
        <v>20</v>
      </c>
      <c r="G613" s="68" t="s">
        <v>104</v>
      </c>
      <c r="H613" s="67">
        <v>12</v>
      </c>
      <c r="I613" s="68" t="s">
        <v>20</v>
      </c>
      <c r="J613" s="69">
        <v>8400</v>
      </c>
      <c r="K613" s="65" t="s">
        <v>20</v>
      </c>
      <c r="L613" s="70">
        <v>0.125</v>
      </c>
      <c r="M613" s="70">
        <v>0.05</v>
      </c>
      <c r="N613" s="64"/>
      <c r="O613" s="68" t="s">
        <v>20</v>
      </c>
      <c r="P613" s="64">
        <f>(C613+(E613*F613*H613))-N613</f>
        <v>0</v>
      </c>
      <c r="Q613" s="68" t="s">
        <v>20</v>
      </c>
      <c r="R613" s="69">
        <f>P613*(J613-(J613*L613)-((J613-(J613*L613))*M613))</f>
        <v>0</v>
      </c>
      <c r="S613" s="23">
        <f t="shared" si="93"/>
        <v>0</v>
      </c>
    </row>
    <row r="614" spans="1:19" s="17" customFormat="1">
      <c r="A614" s="93" t="s">
        <v>597</v>
      </c>
      <c r="B614" s="17" t="s">
        <v>26</v>
      </c>
      <c r="C614" s="18"/>
      <c r="D614" s="19" t="s">
        <v>43</v>
      </c>
      <c r="E614" s="20"/>
      <c r="F614" s="21">
        <v>1</v>
      </c>
      <c r="G614" s="22" t="s">
        <v>21</v>
      </c>
      <c r="H614" s="21">
        <v>40</v>
      </c>
      <c r="I614" s="22" t="s">
        <v>43</v>
      </c>
      <c r="J614" s="23">
        <f>3096000/40</f>
        <v>77400</v>
      </c>
      <c r="K614" s="19" t="s">
        <v>43</v>
      </c>
      <c r="L614" s="24"/>
      <c r="M614" s="24">
        <v>0.17</v>
      </c>
      <c r="N614" s="140"/>
      <c r="O614" s="22" t="s">
        <v>43</v>
      </c>
      <c r="P614" s="140">
        <f t="shared" ref="P614:P619" si="96">(C614+(E614*F614*H614))-N614</f>
        <v>0</v>
      </c>
      <c r="Q614" s="22" t="s">
        <v>43</v>
      </c>
      <c r="R614" s="23">
        <f t="shared" ref="R614:R619" si="97">P614*(J614-(J614*L614)-((J614-(J614*L614))*M614))</f>
        <v>0</v>
      </c>
      <c r="S614" s="23">
        <f t="shared" si="93"/>
        <v>0</v>
      </c>
    </row>
    <row r="615" spans="1:19" s="26" customFormat="1">
      <c r="A615" s="94" t="s">
        <v>598</v>
      </c>
      <c r="B615" s="26" t="s">
        <v>26</v>
      </c>
      <c r="C615" s="27">
        <v>26</v>
      </c>
      <c r="D615" s="28" t="s">
        <v>43</v>
      </c>
      <c r="E615" s="29"/>
      <c r="F615" s="30">
        <v>1</v>
      </c>
      <c r="G615" s="31" t="s">
        <v>21</v>
      </c>
      <c r="H615" s="30">
        <v>40</v>
      </c>
      <c r="I615" s="31" t="s">
        <v>43</v>
      </c>
      <c r="J615" s="32">
        <f>2976000/40</f>
        <v>74400</v>
      </c>
      <c r="K615" s="28" t="s">
        <v>43</v>
      </c>
      <c r="L615" s="33"/>
      <c r="M615" s="33">
        <v>0.17</v>
      </c>
      <c r="N615" s="27">
        <f>4+4+3</f>
        <v>11</v>
      </c>
      <c r="O615" s="31" t="s">
        <v>43</v>
      </c>
      <c r="P615" s="27">
        <f t="shared" si="96"/>
        <v>15</v>
      </c>
      <c r="Q615" s="31" t="s">
        <v>43</v>
      </c>
      <c r="R615" s="32">
        <f t="shared" si="97"/>
        <v>926280</v>
      </c>
      <c r="S615" s="32">
        <f t="shared" si="93"/>
        <v>834486.48648648639</v>
      </c>
    </row>
    <row r="616" spans="1:19" s="17" customFormat="1">
      <c r="A616" s="93" t="s">
        <v>599</v>
      </c>
      <c r="B616" s="17" t="s">
        <v>26</v>
      </c>
      <c r="C616" s="18"/>
      <c r="D616" s="19" t="s">
        <v>20</v>
      </c>
      <c r="E616" s="20"/>
      <c r="F616" s="21">
        <v>1</v>
      </c>
      <c r="G616" s="22" t="s">
        <v>21</v>
      </c>
      <c r="H616" s="21">
        <v>20</v>
      </c>
      <c r="I616" s="22" t="s">
        <v>20</v>
      </c>
      <c r="J616" s="23">
        <v>90000</v>
      </c>
      <c r="K616" s="19" t="s">
        <v>20</v>
      </c>
      <c r="L616" s="24"/>
      <c r="M616" s="24">
        <v>0.17</v>
      </c>
      <c r="N616" s="18"/>
      <c r="O616" s="22" t="s">
        <v>20</v>
      </c>
      <c r="P616" s="18">
        <f t="shared" si="96"/>
        <v>0</v>
      </c>
      <c r="Q616" s="22" t="s">
        <v>20</v>
      </c>
      <c r="R616" s="23">
        <f t="shared" si="97"/>
        <v>0</v>
      </c>
      <c r="S616" s="23">
        <f t="shared" si="93"/>
        <v>0</v>
      </c>
    </row>
    <row r="617" spans="1:19" s="17" customFormat="1">
      <c r="A617" s="93" t="s">
        <v>600</v>
      </c>
      <c r="B617" s="17" t="s">
        <v>26</v>
      </c>
      <c r="C617" s="18"/>
      <c r="D617" s="19" t="s">
        <v>20</v>
      </c>
      <c r="E617" s="20"/>
      <c r="F617" s="21">
        <v>1</v>
      </c>
      <c r="G617" s="22" t="s">
        <v>21</v>
      </c>
      <c r="H617" s="21">
        <v>20</v>
      </c>
      <c r="I617" s="22" t="s">
        <v>20</v>
      </c>
      <c r="J617" s="23">
        <v>87500</v>
      </c>
      <c r="K617" s="19" t="s">
        <v>20</v>
      </c>
      <c r="L617" s="24"/>
      <c r="M617" s="24">
        <v>0.17</v>
      </c>
      <c r="N617" s="18"/>
      <c r="O617" s="22" t="s">
        <v>20</v>
      </c>
      <c r="P617" s="18">
        <f t="shared" si="96"/>
        <v>0</v>
      </c>
      <c r="Q617" s="22" t="s">
        <v>20</v>
      </c>
      <c r="R617" s="23">
        <f t="shared" si="97"/>
        <v>0</v>
      </c>
      <c r="S617" s="23">
        <f t="shared" si="93"/>
        <v>0</v>
      </c>
    </row>
    <row r="618" spans="1:19" s="17" customFormat="1">
      <c r="A618" s="93" t="s">
        <v>601</v>
      </c>
      <c r="B618" s="17" t="s">
        <v>26</v>
      </c>
      <c r="C618" s="18"/>
      <c r="D618" s="19" t="s">
        <v>43</v>
      </c>
      <c r="E618" s="20"/>
      <c r="F618" s="21">
        <v>1</v>
      </c>
      <c r="G618" s="22" t="s">
        <v>21</v>
      </c>
      <c r="H618" s="21">
        <v>40</v>
      </c>
      <c r="I618" s="22" t="s">
        <v>43</v>
      </c>
      <c r="J618" s="23">
        <f>3360000/40</f>
        <v>84000</v>
      </c>
      <c r="K618" s="19" t="s">
        <v>43</v>
      </c>
      <c r="L618" s="24"/>
      <c r="M618" s="24">
        <v>0.17</v>
      </c>
      <c r="N618" s="18"/>
      <c r="O618" s="22" t="s">
        <v>43</v>
      </c>
      <c r="P618" s="18">
        <f t="shared" si="96"/>
        <v>0</v>
      </c>
      <c r="Q618" s="22" t="s">
        <v>43</v>
      </c>
      <c r="R618" s="23">
        <f t="shared" si="97"/>
        <v>0</v>
      </c>
      <c r="S618" s="23">
        <f t="shared" si="93"/>
        <v>0</v>
      </c>
    </row>
    <row r="619" spans="1:19" s="26" customFormat="1">
      <c r="A619" s="94" t="s">
        <v>602</v>
      </c>
      <c r="B619" s="26" t="s">
        <v>26</v>
      </c>
      <c r="C619" s="27">
        <v>19.5</v>
      </c>
      <c r="D619" s="28" t="s">
        <v>43</v>
      </c>
      <c r="E619" s="29"/>
      <c r="F619" s="30">
        <v>1</v>
      </c>
      <c r="G619" s="31" t="s">
        <v>21</v>
      </c>
      <c r="H619" s="30">
        <v>20</v>
      </c>
      <c r="I619" s="31" t="s">
        <v>43</v>
      </c>
      <c r="J619" s="32">
        <f>1992000/20</f>
        <v>99600</v>
      </c>
      <c r="K619" s="28" t="s">
        <v>43</v>
      </c>
      <c r="L619" s="33"/>
      <c r="M619" s="33">
        <v>0.17</v>
      </c>
      <c r="N619" s="141"/>
      <c r="O619" s="31" t="s">
        <v>43</v>
      </c>
      <c r="P619" s="141">
        <f t="shared" si="96"/>
        <v>19.5</v>
      </c>
      <c r="Q619" s="31" t="s">
        <v>43</v>
      </c>
      <c r="R619" s="32">
        <f t="shared" si="97"/>
        <v>1612026</v>
      </c>
      <c r="S619" s="32">
        <f t="shared" si="93"/>
        <v>1452275.6756756755</v>
      </c>
    </row>
    <row r="620" spans="1:19">
      <c r="A620" s="15" t="s">
        <v>603</v>
      </c>
      <c r="S620" s="23"/>
    </row>
    <row r="621" spans="1:19" s="45" customFormat="1">
      <c r="A621" s="44" t="s">
        <v>604</v>
      </c>
      <c r="B621" s="45" t="s">
        <v>19</v>
      </c>
      <c r="C621" s="46"/>
      <c r="D621" s="47" t="s">
        <v>43</v>
      </c>
      <c r="E621" s="48">
        <v>1</v>
      </c>
      <c r="F621" s="49">
        <v>18</v>
      </c>
      <c r="G621" s="50" t="s">
        <v>104</v>
      </c>
      <c r="H621" s="49">
        <v>1</v>
      </c>
      <c r="I621" s="50" t="s">
        <v>43</v>
      </c>
      <c r="J621" s="51">
        <f>5300*12</f>
        <v>63600</v>
      </c>
      <c r="K621" s="47" t="s">
        <v>43</v>
      </c>
      <c r="L621" s="52">
        <v>0.125</v>
      </c>
      <c r="M621" s="52">
        <v>0.05</v>
      </c>
      <c r="N621" s="46"/>
      <c r="O621" s="50" t="s">
        <v>43</v>
      </c>
      <c r="P621" s="46">
        <f t="shared" ref="P621:P626" si="98">(C621+(E621*F621*H621))-N621</f>
        <v>18</v>
      </c>
      <c r="Q621" s="50" t="s">
        <v>43</v>
      </c>
      <c r="R621" s="51">
        <f t="shared" ref="R621:R626" si="99">P621*(J621-(J621*L621)-((J621-(J621*L621))*M621))</f>
        <v>951615</v>
      </c>
      <c r="S621" s="32">
        <f t="shared" si="93"/>
        <v>857310.81081081077</v>
      </c>
    </row>
    <row r="622" spans="1:19" s="85" customFormat="1">
      <c r="A622" s="72" t="s">
        <v>605</v>
      </c>
      <c r="B622" s="63" t="s">
        <v>19</v>
      </c>
      <c r="C622" s="64"/>
      <c r="D622" s="65" t="s">
        <v>43</v>
      </c>
      <c r="E622" s="66"/>
      <c r="F622" s="67">
        <v>24</v>
      </c>
      <c r="G622" s="68" t="s">
        <v>104</v>
      </c>
      <c r="H622" s="67">
        <v>2</v>
      </c>
      <c r="I622" s="68" t="s">
        <v>43</v>
      </c>
      <c r="J622" s="69">
        <f>4750*12</f>
        <v>57000</v>
      </c>
      <c r="K622" s="65" t="s">
        <v>43</v>
      </c>
      <c r="L622" s="70">
        <v>0.125</v>
      </c>
      <c r="M622" s="70">
        <v>0.05</v>
      </c>
      <c r="N622" s="64"/>
      <c r="O622" s="68" t="s">
        <v>43</v>
      </c>
      <c r="P622" s="64">
        <f t="shared" si="98"/>
        <v>0</v>
      </c>
      <c r="Q622" s="68" t="s">
        <v>43</v>
      </c>
      <c r="R622" s="69">
        <f t="shared" si="99"/>
        <v>0</v>
      </c>
      <c r="S622" s="23">
        <f t="shared" si="93"/>
        <v>0</v>
      </c>
    </row>
    <row r="623" spans="1:19" s="63" customFormat="1">
      <c r="A623" s="72" t="s">
        <v>606</v>
      </c>
      <c r="B623" s="63" t="s">
        <v>19</v>
      </c>
      <c r="C623" s="64"/>
      <c r="D623" s="65" t="s">
        <v>43</v>
      </c>
      <c r="E623" s="66"/>
      <c r="F623" s="67">
        <v>18</v>
      </c>
      <c r="G623" s="68" t="s">
        <v>104</v>
      </c>
      <c r="H623" s="67">
        <v>1</v>
      </c>
      <c r="I623" s="68" t="s">
        <v>43</v>
      </c>
      <c r="J623" s="69">
        <f>6100*12</f>
        <v>73200</v>
      </c>
      <c r="K623" s="65" t="s">
        <v>43</v>
      </c>
      <c r="L623" s="70">
        <v>0.125</v>
      </c>
      <c r="M623" s="70">
        <v>0.05</v>
      </c>
      <c r="N623" s="64"/>
      <c r="O623" s="68" t="s">
        <v>43</v>
      </c>
      <c r="P623" s="64">
        <f t="shared" si="98"/>
        <v>0</v>
      </c>
      <c r="Q623" s="68" t="s">
        <v>43</v>
      </c>
      <c r="R623" s="69">
        <f t="shared" si="99"/>
        <v>0</v>
      </c>
      <c r="S623" s="23">
        <f t="shared" si="93"/>
        <v>0</v>
      </c>
    </row>
    <row r="624" spans="1:19" s="63" customFormat="1">
      <c r="A624" s="72" t="s">
        <v>607</v>
      </c>
      <c r="B624" s="63" t="s">
        <v>19</v>
      </c>
      <c r="C624" s="64"/>
      <c r="D624" s="65" t="s">
        <v>43</v>
      </c>
      <c r="E624" s="66"/>
      <c r="F624" s="67">
        <v>24</v>
      </c>
      <c r="G624" s="68" t="s">
        <v>104</v>
      </c>
      <c r="H624" s="67">
        <v>6</v>
      </c>
      <c r="I624" s="68" t="s">
        <v>20</v>
      </c>
      <c r="J624" s="69">
        <v>12600</v>
      </c>
      <c r="K624" s="65" t="s">
        <v>20</v>
      </c>
      <c r="L624" s="70">
        <v>0.125</v>
      </c>
      <c r="M624" s="70">
        <v>0.05</v>
      </c>
      <c r="N624" s="64"/>
      <c r="O624" s="68" t="s">
        <v>20</v>
      </c>
      <c r="P624" s="64">
        <f t="shared" si="98"/>
        <v>0</v>
      </c>
      <c r="Q624" s="68" t="s">
        <v>20</v>
      </c>
      <c r="R624" s="69">
        <f t="shared" si="99"/>
        <v>0</v>
      </c>
      <c r="S624" s="23">
        <f t="shared" si="93"/>
        <v>0</v>
      </c>
    </row>
    <row r="625" spans="1:19" s="45" customFormat="1">
      <c r="A625" s="44" t="s">
        <v>608</v>
      </c>
      <c r="B625" s="45" t="s">
        <v>26</v>
      </c>
      <c r="C625" s="46">
        <v>30</v>
      </c>
      <c r="D625" s="47" t="s">
        <v>43</v>
      </c>
      <c r="E625" s="48">
        <v>1</v>
      </c>
      <c r="F625" s="49">
        <v>1</v>
      </c>
      <c r="G625" s="50" t="s">
        <v>21</v>
      </c>
      <c r="H625" s="49">
        <v>18</v>
      </c>
      <c r="I625" s="50" t="s">
        <v>43</v>
      </c>
      <c r="J625" s="51">
        <f>1069200/18</f>
        <v>59400</v>
      </c>
      <c r="K625" s="47" t="s">
        <v>43</v>
      </c>
      <c r="L625" s="52"/>
      <c r="M625" s="52">
        <v>0.17</v>
      </c>
      <c r="N625" s="46">
        <v>3</v>
      </c>
      <c r="O625" s="50" t="s">
        <v>43</v>
      </c>
      <c r="P625" s="46">
        <f t="shared" si="98"/>
        <v>45</v>
      </c>
      <c r="Q625" s="50" t="s">
        <v>43</v>
      </c>
      <c r="R625" s="51">
        <f t="shared" si="99"/>
        <v>2218590</v>
      </c>
      <c r="S625" s="51">
        <f t="shared" si="93"/>
        <v>1998729.7297297295</v>
      </c>
    </row>
    <row r="626" spans="1:19" s="26" customFormat="1">
      <c r="A626" s="25" t="s">
        <v>609</v>
      </c>
      <c r="B626" s="26" t="s">
        <v>26</v>
      </c>
      <c r="C626" s="27">
        <v>9</v>
      </c>
      <c r="D626" s="28" t="s">
        <v>43</v>
      </c>
      <c r="E626" s="29"/>
      <c r="F626" s="30">
        <v>1</v>
      </c>
      <c r="G626" s="31" t="s">
        <v>21</v>
      </c>
      <c r="H626" s="30">
        <v>18</v>
      </c>
      <c r="I626" s="31" t="s">
        <v>43</v>
      </c>
      <c r="J626" s="32">
        <f>1274400/18</f>
        <v>70800</v>
      </c>
      <c r="K626" s="28" t="s">
        <v>43</v>
      </c>
      <c r="L626" s="33"/>
      <c r="M626" s="33">
        <v>0.17</v>
      </c>
      <c r="N626" s="27">
        <v>1</v>
      </c>
      <c r="O626" s="31" t="s">
        <v>43</v>
      </c>
      <c r="P626" s="27">
        <f t="shared" si="98"/>
        <v>8</v>
      </c>
      <c r="Q626" s="31" t="s">
        <v>43</v>
      </c>
      <c r="R626" s="32">
        <f t="shared" si="99"/>
        <v>470112</v>
      </c>
      <c r="S626" s="32">
        <f t="shared" si="93"/>
        <v>423524.32432432426</v>
      </c>
    </row>
    <row r="627" spans="1:19">
      <c r="S627" s="23"/>
    </row>
    <row r="628" spans="1:19" ht="15.75">
      <c r="A628" s="14" t="s">
        <v>610</v>
      </c>
      <c r="S628" s="23"/>
    </row>
    <row r="629" spans="1:19">
      <c r="A629" s="15" t="s">
        <v>611</v>
      </c>
      <c r="S629" s="23"/>
    </row>
    <row r="630" spans="1:19" s="17" customFormat="1">
      <c r="A630" s="16" t="s">
        <v>612</v>
      </c>
      <c r="B630" s="63" t="s">
        <v>19</v>
      </c>
      <c r="C630" s="18"/>
      <c r="D630" s="19" t="s">
        <v>20</v>
      </c>
      <c r="E630" s="20">
        <v>1</v>
      </c>
      <c r="F630" s="21">
        <v>1</v>
      </c>
      <c r="G630" s="22" t="s">
        <v>21</v>
      </c>
      <c r="H630" s="21">
        <v>24</v>
      </c>
      <c r="I630" s="22" t="s">
        <v>20</v>
      </c>
      <c r="J630" s="23">
        <v>97000</v>
      </c>
      <c r="K630" s="19" t="s">
        <v>20</v>
      </c>
      <c r="L630" s="24">
        <v>0.125</v>
      </c>
      <c r="M630" s="24">
        <v>0.05</v>
      </c>
      <c r="N630" s="18">
        <v>24</v>
      </c>
      <c r="O630" s="22" t="s">
        <v>20</v>
      </c>
      <c r="P630" s="18">
        <f>(C630+(E630*F630*H630))-N630</f>
        <v>0</v>
      </c>
      <c r="Q630" s="22" t="s">
        <v>20</v>
      </c>
      <c r="R630" s="23">
        <f>P630*(J630-(J630*L630)-((J630-(J630*L630))*M630))</f>
        <v>0</v>
      </c>
      <c r="S630" s="23">
        <f t="shared" si="93"/>
        <v>0</v>
      </c>
    </row>
    <row r="631" spans="1:19" s="17" customFormat="1">
      <c r="A631" s="16" t="s">
        <v>613</v>
      </c>
      <c r="B631" s="17" t="s">
        <v>26</v>
      </c>
      <c r="C631" s="18"/>
      <c r="D631" s="19" t="s">
        <v>43</v>
      </c>
      <c r="E631" s="20"/>
      <c r="F631" s="21">
        <v>1</v>
      </c>
      <c r="G631" s="22" t="s">
        <v>21</v>
      </c>
      <c r="H631" s="21">
        <v>48</v>
      </c>
      <c r="I631" s="22" t="s">
        <v>20</v>
      </c>
      <c r="J631" s="23">
        <f>2400000/48</f>
        <v>50000</v>
      </c>
      <c r="K631" s="19" t="s">
        <v>20</v>
      </c>
      <c r="L631" s="24"/>
      <c r="M631" s="24">
        <v>0.17</v>
      </c>
      <c r="N631" s="18"/>
      <c r="O631" s="22" t="s">
        <v>20</v>
      </c>
      <c r="P631" s="18">
        <f>(C631+(E631*F631*H631))-N631</f>
        <v>0</v>
      </c>
      <c r="Q631" s="22" t="s">
        <v>20</v>
      </c>
      <c r="R631" s="23">
        <f>P631*(J631-(J631*L631)-((J631-(J631*L631))*M631))</f>
        <v>0</v>
      </c>
      <c r="S631" s="23">
        <f t="shared" si="93"/>
        <v>0</v>
      </c>
    </row>
    <row r="632" spans="1:19">
      <c r="A632" s="15" t="s">
        <v>614</v>
      </c>
      <c r="S632" s="23"/>
    </row>
    <row r="633" spans="1:19" s="45" customFormat="1">
      <c r="A633" s="44" t="s">
        <v>615</v>
      </c>
      <c r="B633" s="45" t="s">
        <v>19</v>
      </c>
      <c r="C633" s="46">
        <v>10</v>
      </c>
      <c r="D633" s="47" t="s">
        <v>43</v>
      </c>
      <c r="E633" s="48">
        <v>5</v>
      </c>
      <c r="F633" s="49">
        <v>1</v>
      </c>
      <c r="G633" s="50" t="s">
        <v>21</v>
      </c>
      <c r="H633" s="49">
        <v>20</v>
      </c>
      <c r="I633" s="50" t="s">
        <v>43</v>
      </c>
      <c r="J633" s="51">
        <v>82800</v>
      </c>
      <c r="K633" s="47" t="s">
        <v>43</v>
      </c>
      <c r="L633" s="52">
        <v>0.125</v>
      </c>
      <c r="M633" s="52">
        <v>0.05</v>
      </c>
      <c r="N633" s="46">
        <f>80+1+20+3</f>
        <v>104</v>
      </c>
      <c r="O633" s="50" t="s">
        <v>43</v>
      </c>
      <c r="P633" s="46">
        <f t="shared" ref="P633:P668" si="100">(C633+(E633*F633*H633))-N633</f>
        <v>6</v>
      </c>
      <c r="Q633" s="50" t="s">
        <v>43</v>
      </c>
      <c r="R633" s="51">
        <f t="shared" ref="R633:R668" si="101">P633*(J633-(J633*L633)-((J633-(J633*L633))*M633))</f>
        <v>412965</v>
      </c>
      <c r="S633" s="51">
        <f t="shared" si="93"/>
        <v>372040.54054054053</v>
      </c>
    </row>
    <row r="634" spans="1:19" s="17" customFormat="1">
      <c r="A634" s="16" t="s">
        <v>616</v>
      </c>
      <c r="B634" s="17" t="s">
        <v>19</v>
      </c>
      <c r="C634" s="18"/>
      <c r="D634" s="19" t="s">
        <v>20</v>
      </c>
      <c r="E634" s="20"/>
      <c r="F634" s="21">
        <v>24</v>
      </c>
      <c r="G634" s="22" t="s">
        <v>34</v>
      </c>
      <c r="H634" s="21">
        <v>10</v>
      </c>
      <c r="I634" s="22" t="s">
        <v>20</v>
      </c>
      <c r="J634" s="23">
        <v>9400</v>
      </c>
      <c r="K634" s="19" t="s">
        <v>20</v>
      </c>
      <c r="L634" s="24">
        <v>0.125</v>
      </c>
      <c r="M634" s="24">
        <v>0.05</v>
      </c>
      <c r="N634" s="18"/>
      <c r="O634" s="22" t="s">
        <v>20</v>
      </c>
      <c r="P634" s="18">
        <f t="shared" si="100"/>
        <v>0</v>
      </c>
      <c r="Q634" s="22" t="s">
        <v>20</v>
      </c>
      <c r="R634" s="23">
        <f t="shared" si="101"/>
        <v>0</v>
      </c>
      <c r="S634" s="23">
        <f t="shared" si="93"/>
        <v>0</v>
      </c>
    </row>
    <row r="635" spans="1:19" s="17" customFormat="1">
      <c r="A635" s="16" t="s">
        <v>617</v>
      </c>
      <c r="B635" s="17" t="s">
        <v>19</v>
      </c>
      <c r="C635" s="18"/>
      <c r="D635" s="19" t="s">
        <v>43</v>
      </c>
      <c r="E635" s="20"/>
      <c r="F635" s="21">
        <v>1</v>
      </c>
      <c r="G635" s="22" t="s">
        <v>21</v>
      </c>
      <c r="H635" s="21">
        <v>25</v>
      </c>
      <c r="I635" s="22" t="s">
        <v>43</v>
      </c>
      <c r="J635" s="23">
        <v>70800</v>
      </c>
      <c r="K635" s="19" t="s">
        <v>43</v>
      </c>
      <c r="L635" s="24">
        <v>0.125</v>
      </c>
      <c r="M635" s="24">
        <v>0.05</v>
      </c>
      <c r="N635" s="18"/>
      <c r="O635" s="22" t="s">
        <v>43</v>
      </c>
      <c r="P635" s="18">
        <f t="shared" si="100"/>
        <v>0</v>
      </c>
      <c r="Q635" s="22" t="s">
        <v>43</v>
      </c>
      <c r="R635" s="23">
        <f t="shared" si="101"/>
        <v>0</v>
      </c>
      <c r="S635" s="23">
        <f t="shared" si="93"/>
        <v>0</v>
      </c>
    </row>
    <row r="636" spans="1:19" s="45" customFormat="1">
      <c r="A636" s="44" t="s">
        <v>618</v>
      </c>
      <c r="B636" s="45" t="s">
        <v>19</v>
      </c>
      <c r="C636" s="46">
        <v>200</v>
      </c>
      <c r="D636" s="47" t="s">
        <v>43</v>
      </c>
      <c r="E636" s="48">
        <v>5</v>
      </c>
      <c r="F636" s="49">
        <v>20</v>
      </c>
      <c r="G636" s="50" t="s">
        <v>34</v>
      </c>
      <c r="H636" s="49">
        <v>1</v>
      </c>
      <c r="I636" s="50" t="s">
        <v>43</v>
      </c>
      <c r="J636" s="51">
        <f>6600*12</f>
        <v>79200</v>
      </c>
      <c r="K636" s="47" t="s">
        <v>43</v>
      </c>
      <c r="L636" s="52">
        <v>0.125</v>
      </c>
      <c r="M636" s="52">
        <v>0.05</v>
      </c>
      <c r="N636" s="46">
        <v>100</v>
      </c>
      <c r="O636" s="50" t="s">
        <v>43</v>
      </c>
      <c r="P636" s="46">
        <f t="shared" si="100"/>
        <v>200</v>
      </c>
      <c r="Q636" s="50" t="s">
        <v>43</v>
      </c>
      <c r="R636" s="51">
        <f t="shared" si="101"/>
        <v>13167000</v>
      </c>
      <c r="S636" s="51">
        <f t="shared" si="93"/>
        <v>11862162.162162161</v>
      </c>
    </row>
    <row r="637" spans="1:19">
      <c r="A637" s="34" t="s">
        <v>619</v>
      </c>
      <c r="B637" s="2" t="s">
        <v>19</v>
      </c>
      <c r="C637" s="3">
        <v>402</v>
      </c>
      <c r="D637" s="4" t="s">
        <v>20</v>
      </c>
      <c r="F637" s="6">
        <v>20</v>
      </c>
      <c r="G637" s="7" t="s">
        <v>34</v>
      </c>
      <c r="H637" s="6">
        <v>6</v>
      </c>
      <c r="I637" s="7" t="s">
        <v>20</v>
      </c>
      <c r="J637" s="8">
        <v>16700</v>
      </c>
      <c r="K637" s="4" t="s">
        <v>20</v>
      </c>
      <c r="L637" s="9">
        <v>0.125</v>
      </c>
      <c r="M637" s="9">
        <v>0.05</v>
      </c>
      <c r="N637" s="3">
        <f>(2*12)+(3*12)</f>
        <v>60</v>
      </c>
      <c r="O637" s="7" t="s">
        <v>20</v>
      </c>
      <c r="P637" s="3">
        <f t="shared" si="100"/>
        <v>342</v>
      </c>
      <c r="Q637" s="7" t="s">
        <v>20</v>
      </c>
      <c r="R637" s="8">
        <f t="shared" si="101"/>
        <v>4747601.25</v>
      </c>
      <c r="S637" s="32">
        <f t="shared" si="93"/>
        <v>4277118.2432432426</v>
      </c>
    </row>
    <row r="638" spans="1:19" s="17" customFormat="1">
      <c r="A638" s="16" t="s">
        <v>620</v>
      </c>
      <c r="B638" s="17" t="s">
        <v>19</v>
      </c>
      <c r="C638" s="18"/>
      <c r="D638" s="19" t="s">
        <v>20</v>
      </c>
      <c r="E638" s="20"/>
      <c r="F638" s="21">
        <v>20</v>
      </c>
      <c r="G638" s="22" t="s">
        <v>34</v>
      </c>
      <c r="H638" s="21">
        <v>6</v>
      </c>
      <c r="I638" s="22" t="s">
        <v>20</v>
      </c>
      <c r="J638" s="23">
        <v>14800</v>
      </c>
      <c r="K638" s="19" t="s">
        <v>20</v>
      </c>
      <c r="L638" s="24">
        <v>0.125</v>
      </c>
      <c r="M638" s="24">
        <v>0.05</v>
      </c>
      <c r="N638" s="18"/>
      <c r="O638" s="22" t="s">
        <v>20</v>
      </c>
      <c r="P638" s="18">
        <f t="shared" si="100"/>
        <v>0</v>
      </c>
      <c r="Q638" s="22" t="s">
        <v>20</v>
      </c>
      <c r="R638" s="23">
        <f t="shared" si="101"/>
        <v>0</v>
      </c>
      <c r="S638" s="23">
        <f t="shared" si="93"/>
        <v>0</v>
      </c>
    </row>
    <row r="639" spans="1:19" s="17" customFormat="1">
      <c r="A639" s="16" t="s">
        <v>621</v>
      </c>
      <c r="B639" s="17" t="s">
        <v>19</v>
      </c>
      <c r="C639" s="18"/>
      <c r="D639" s="19" t="s">
        <v>20</v>
      </c>
      <c r="E639" s="20"/>
      <c r="F639" s="21">
        <v>1</v>
      </c>
      <c r="G639" s="22" t="s">
        <v>21</v>
      </c>
      <c r="H639" s="21">
        <v>12</v>
      </c>
      <c r="I639" s="22" t="s">
        <v>20</v>
      </c>
      <c r="J639" s="23">
        <v>162000</v>
      </c>
      <c r="K639" s="19" t="s">
        <v>20</v>
      </c>
      <c r="L639" s="24">
        <v>0.125</v>
      </c>
      <c r="M639" s="24">
        <v>0.05</v>
      </c>
      <c r="N639" s="18"/>
      <c r="O639" s="22" t="s">
        <v>20</v>
      </c>
      <c r="P639" s="18">
        <f t="shared" si="100"/>
        <v>0</v>
      </c>
      <c r="Q639" s="22" t="s">
        <v>20</v>
      </c>
      <c r="R639" s="23">
        <f t="shared" si="101"/>
        <v>0</v>
      </c>
      <c r="S639" s="23">
        <f t="shared" si="93"/>
        <v>0</v>
      </c>
    </row>
    <row r="640" spans="1:19" s="17" customFormat="1">
      <c r="A640" s="16" t="s">
        <v>622</v>
      </c>
      <c r="B640" s="17" t="s">
        <v>19</v>
      </c>
      <c r="C640" s="18"/>
      <c r="D640" s="19" t="s">
        <v>20</v>
      </c>
      <c r="E640" s="20"/>
      <c r="F640" s="21">
        <v>1</v>
      </c>
      <c r="G640" s="22" t="s">
        <v>21</v>
      </c>
      <c r="H640" s="21">
        <v>36</v>
      </c>
      <c r="I640" s="22" t="s">
        <v>20</v>
      </c>
      <c r="J640" s="23">
        <v>52500</v>
      </c>
      <c r="K640" s="19" t="s">
        <v>20</v>
      </c>
      <c r="L640" s="24">
        <v>0.125</v>
      </c>
      <c r="M640" s="24">
        <v>0.05</v>
      </c>
      <c r="N640" s="18"/>
      <c r="O640" s="22" t="s">
        <v>20</v>
      </c>
      <c r="P640" s="18">
        <f t="shared" si="100"/>
        <v>0</v>
      </c>
      <c r="Q640" s="22" t="s">
        <v>20</v>
      </c>
      <c r="R640" s="23">
        <f t="shared" si="101"/>
        <v>0</v>
      </c>
      <c r="S640" s="23">
        <f t="shared" si="93"/>
        <v>0</v>
      </c>
    </row>
    <row r="641" spans="1:19" s="26" customFormat="1">
      <c r="A641" s="25" t="s">
        <v>623</v>
      </c>
      <c r="B641" s="26" t="s">
        <v>19</v>
      </c>
      <c r="C641" s="27">
        <v>12</v>
      </c>
      <c r="D641" s="28" t="s">
        <v>20</v>
      </c>
      <c r="E641" s="29"/>
      <c r="F641" s="30">
        <v>1</v>
      </c>
      <c r="G641" s="31" t="s">
        <v>21</v>
      </c>
      <c r="H641" s="30">
        <v>12</v>
      </c>
      <c r="I641" s="31" t="s">
        <v>20</v>
      </c>
      <c r="J641" s="32">
        <v>97000</v>
      </c>
      <c r="K641" s="28" t="s">
        <v>20</v>
      </c>
      <c r="L641" s="33">
        <v>0.125</v>
      </c>
      <c r="M641" s="33">
        <v>0.05</v>
      </c>
      <c r="N641" s="27"/>
      <c r="O641" s="31" t="s">
        <v>20</v>
      </c>
      <c r="P641" s="27">
        <f t="shared" si="100"/>
        <v>12</v>
      </c>
      <c r="Q641" s="31" t="s">
        <v>20</v>
      </c>
      <c r="R641" s="32">
        <f t="shared" si="101"/>
        <v>967575</v>
      </c>
      <c r="S641" s="32">
        <f t="shared" si="93"/>
        <v>871689.18918918911</v>
      </c>
    </row>
    <row r="642" spans="1:19" s="17" customFormat="1">
      <c r="A642" s="16" t="s">
        <v>624</v>
      </c>
      <c r="B642" s="17" t="s">
        <v>19</v>
      </c>
      <c r="C642" s="18"/>
      <c r="D642" s="19" t="s">
        <v>20</v>
      </c>
      <c r="E642" s="20"/>
      <c r="F642" s="21">
        <v>1</v>
      </c>
      <c r="G642" s="22" t="s">
        <v>21</v>
      </c>
      <c r="H642" s="21">
        <v>12</v>
      </c>
      <c r="I642" s="22" t="s">
        <v>20</v>
      </c>
      <c r="J642" s="23">
        <v>93000</v>
      </c>
      <c r="K642" s="19" t="s">
        <v>20</v>
      </c>
      <c r="L642" s="24">
        <v>0.125</v>
      </c>
      <c r="M642" s="24">
        <v>0.05</v>
      </c>
      <c r="N642" s="18"/>
      <c r="O642" s="22" t="s">
        <v>20</v>
      </c>
      <c r="P642" s="18">
        <f t="shared" si="100"/>
        <v>0</v>
      </c>
      <c r="Q642" s="22" t="s">
        <v>20</v>
      </c>
      <c r="R642" s="23">
        <f t="shared" si="101"/>
        <v>0</v>
      </c>
      <c r="S642" s="23">
        <f t="shared" si="93"/>
        <v>0</v>
      </c>
    </row>
    <row r="643" spans="1:19" s="17" customFormat="1">
      <c r="A643" s="16" t="s">
        <v>625</v>
      </c>
      <c r="B643" s="17" t="s">
        <v>19</v>
      </c>
      <c r="C643" s="18"/>
      <c r="D643" s="19" t="s">
        <v>20</v>
      </c>
      <c r="E643" s="20"/>
      <c r="F643" s="21">
        <v>1</v>
      </c>
      <c r="G643" s="22" t="s">
        <v>21</v>
      </c>
      <c r="H643" s="21">
        <v>6</v>
      </c>
      <c r="I643" s="22" t="s">
        <v>20</v>
      </c>
      <c r="J643" s="23">
        <v>187000</v>
      </c>
      <c r="K643" s="19" t="s">
        <v>20</v>
      </c>
      <c r="L643" s="24">
        <v>0.125</v>
      </c>
      <c r="M643" s="24">
        <v>0.05</v>
      </c>
      <c r="N643" s="18"/>
      <c r="O643" s="22" t="s">
        <v>20</v>
      </c>
      <c r="P643" s="18">
        <f t="shared" si="100"/>
        <v>0</v>
      </c>
      <c r="Q643" s="22" t="s">
        <v>20</v>
      </c>
      <c r="R643" s="23">
        <f t="shared" si="101"/>
        <v>0</v>
      </c>
      <c r="S643" s="23">
        <f t="shared" si="93"/>
        <v>0</v>
      </c>
    </row>
    <row r="644" spans="1:19" s="17" customFormat="1">
      <c r="A644" s="16" t="s">
        <v>626</v>
      </c>
      <c r="B644" s="17" t="s">
        <v>19</v>
      </c>
      <c r="C644" s="18"/>
      <c r="D644" s="19" t="s">
        <v>20</v>
      </c>
      <c r="E644" s="20"/>
      <c r="F644" s="21">
        <v>1</v>
      </c>
      <c r="G644" s="22" t="s">
        <v>21</v>
      </c>
      <c r="H644" s="21">
        <v>6</v>
      </c>
      <c r="I644" s="22" t="s">
        <v>20</v>
      </c>
      <c r="J644" s="23">
        <v>420000</v>
      </c>
      <c r="K644" s="19" t="s">
        <v>20</v>
      </c>
      <c r="L644" s="24">
        <v>0.125</v>
      </c>
      <c r="M644" s="24">
        <v>0.05</v>
      </c>
      <c r="N644" s="18"/>
      <c r="O644" s="22" t="s">
        <v>20</v>
      </c>
      <c r="P644" s="18">
        <f t="shared" si="100"/>
        <v>0</v>
      </c>
      <c r="Q644" s="22" t="s">
        <v>20</v>
      </c>
      <c r="R644" s="23">
        <f t="shared" si="101"/>
        <v>0</v>
      </c>
      <c r="S644" s="23">
        <f t="shared" si="93"/>
        <v>0</v>
      </c>
    </row>
    <row r="645" spans="1:19" s="26" customFormat="1">
      <c r="A645" s="35" t="s">
        <v>627</v>
      </c>
      <c r="B645" s="36" t="s">
        <v>26</v>
      </c>
      <c r="C645" s="37">
        <v>18</v>
      </c>
      <c r="D645" s="38" t="s">
        <v>43</v>
      </c>
      <c r="E645" s="39"/>
      <c r="F645" s="40">
        <v>1</v>
      </c>
      <c r="G645" s="41" t="s">
        <v>21</v>
      </c>
      <c r="H645" s="40">
        <v>20</v>
      </c>
      <c r="I645" s="41" t="s">
        <v>43</v>
      </c>
      <c r="J645" s="42">
        <f>1680000/20</f>
        <v>84000</v>
      </c>
      <c r="K645" s="38" t="s">
        <v>43</v>
      </c>
      <c r="L645" s="43"/>
      <c r="M645" s="43">
        <v>0.17</v>
      </c>
      <c r="N645" s="37"/>
      <c r="O645" s="41" t="s">
        <v>43</v>
      </c>
      <c r="P645" s="37">
        <f t="shared" si="100"/>
        <v>18</v>
      </c>
      <c r="Q645" s="41" t="s">
        <v>43</v>
      </c>
      <c r="R645" s="42">
        <f t="shared" si="101"/>
        <v>1254960</v>
      </c>
      <c r="S645" s="42">
        <f t="shared" si="93"/>
        <v>1130594.5945945946</v>
      </c>
    </row>
    <row r="646" spans="1:19" s="26" customFormat="1">
      <c r="A646" s="35" t="s">
        <v>627</v>
      </c>
      <c r="B646" s="36" t="s">
        <v>26</v>
      </c>
      <c r="C646" s="37">
        <v>37</v>
      </c>
      <c r="D646" s="38" t="s">
        <v>43</v>
      </c>
      <c r="E646" s="39">
        <f>2+4</f>
        <v>6</v>
      </c>
      <c r="F646" s="40">
        <v>1</v>
      </c>
      <c r="G646" s="41" t="s">
        <v>21</v>
      </c>
      <c r="H646" s="40">
        <v>20</v>
      </c>
      <c r="I646" s="41" t="s">
        <v>43</v>
      </c>
      <c r="J646" s="42">
        <f>1740000/20</f>
        <v>87000</v>
      </c>
      <c r="K646" s="38" t="s">
        <v>43</v>
      </c>
      <c r="L646" s="43"/>
      <c r="M646" s="43">
        <v>0.17</v>
      </c>
      <c r="N646" s="37">
        <f>4+20+4+6+6+5+2</f>
        <v>47</v>
      </c>
      <c r="O646" s="41" t="s">
        <v>43</v>
      </c>
      <c r="P646" s="37">
        <f t="shared" si="100"/>
        <v>110</v>
      </c>
      <c r="Q646" s="41" t="s">
        <v>43</v>
      </c>
      <c r="R646" s="42">
        <f t="shared" si="101"/>
        <v>7943100</v>
      </c>
      <c r="S646" s="42">
        <f t="shared" si="93"/>
        <v>7155945.9459459456</v>
      </c>
    </row>
    <row r="647" spans="1:19">
      <c r="A647" s="34" t="s">
        <v>628</v>
      </c>
      <c r="B647" s="2" t="s">
        <v>26</v>
      </c>
      <c r="C647" s="3">
        <v>180</v>
      </c>
      <c r="D647" s="4" t="s">
        <v>43</v>
      </c>
      <c r="F647" s="6">
        <v>1</v>
      </c>
      <c r="G647" s="7" t="s">
        <v>21</v>
      </c>
      <c r="H647" s="6">
        <v>20</v>
      </c>
      <c r="I647" s="7" t="s">
        <v>43</v>
      </c>
      <c r="J647" s="8">
        <f>1680000/20</f>
        <v>84000</v>
      </c>
      <c r="K647" s="4" t="s">
        <v>43</v>
      </c>
      <c r="M647" s="9">
        <v>0.17</v>
      </c>
      <c r="O647" s="7" t="s">
        <v>43</v>
      </c>
      <c r="P647" s="3">
        <f t="shared" si="100"/>
        <v>180</v>
      </c>
      <c r="Q647" s="7" t="s">
        <v>43</v>
      </c>
      <c r="R647" s="8">
        <f t="shared" si="101"/>
        <v>12549600</v>
      </c>
      <c r="S647" s="32">
        <f t="shared" si="93"/>
        <v>11305945.945945945</v>
      </c>
    </row>
    <row r="648" spans="1:19">
      <c r="A648" s="34" t="s">
        <v>629</v>
      </c>
      <c r="B648" s="2" t="s">
        <v>26</v>
      </c>
      <c r="C648" s="3">
        <v>100</v>
      </c>
      <c r="D648" s="4" t="s">
        <v>43</v>
      </c>
      <c r="F648" s="6">
        <v>1</v>
      </c>
      <c r="G648" s="7" t="s">
        <v>21</v>
      </c>
      <c r="H648" s="6">
        <v>20</v>
      </c>
      <c r="I648" s="7" t="s">
        <v>43</v>
      </c>
      <c r="J648" s="8">
        <f>1680000/20</f>
        <v>84000</v>
      </c>
      <c r="K648" s="4" t="s">
        <v>43</v>
      </c>
      <c r="M648" s="9">
        <v>0.17</v>
      </c>
      <c r="O648" s="7" t="s">
        <v>43</v>
      </c>
      <c r="P648" s="3">
        <f t="shared" si="100"/>
        <v>100</v>
      </c>
      <c r="Q648" s="7" t="s">
        <v>43</v>
      </c>
      <c r="R648" s="8">
        <f t="shared" si="101"/>
        <v>6972000</v>
      </c>
      <c r="S648" s="32">
        <f t="shared" si="93"/>
        <v>6281081.0810810803</v>
      </c>
    </row>
    <row r="649" spans="1:19" s="45" customFormat="1">
      <c r="A649" s="44" t="s">
        <v>630</v>
      </c>
      <c r="B649" s="45" t="s">
        <v>26</v>
      </c>
      <c r="C649" s="46">
        <v>30</v>
      </c>
      <c r="D649" s="47" t="s">
        <v>43</v>
      </c>
      <c r="E649" s="48">
        <f>2+1+2</f>
        <v>5</v>
      </c>
      <c r="F649" s="49">
        <v>1</v>
      </c>
      <c r="G649" s="50" t="s">
        <v>21</v>
      </c>
      <c r="H649" s="49">
        <v>20</v>
      </c>
      <c r="I649" s="50" t="s">
        <v>43</v>
      </c>
      <c r="J649" s="51">
        <f>2352000/20</f>
        <v>117600</v>
      </c>
      <c r="K649" s="47" t="s">
        <v>43</v>
      </c>
      <c r="L649" s="52"/>
      <c r="M649" s="52">
        <v>0.17</v>
      </c>
      <c r="N649" s="46">
        <f>3+6+20+2+2+20</f>
        <v>53</v>
      </c>
      <c r="O649" s="50" t="s">
        <v>43</v>
      </c>
      <c r="P649" s="46">
        <f t="shared" si="100"/>
        <v>77</v>
      </c>
      <c r="Q649" s="50" t="s">
        <v>43</v>
      </c>
      <c r="R649" s="51">
        <f t="shared" si="101"/>
        <v>7515816</v>
      </c>
      <c r="S649" s="51">
        <f t="shared" si="93"/>
        <v>6771005.405405405</v>
      </c>
    </row>
    <row r="650" spans="1:19">
      <c r="A650" s="34" t="s">
        <v>631</v>
      </c>
      <c r="B650" s="2" t="s">
        <v>26</v>
      </c>
      <c r="C650" s="3">
        <v>100</v>
      </c>
      <c r="D650" s="4" t="s">
        <v>43</v>
      </c>
      <c r="F650" s="6">
        <v>1</v>
      </c>
      <c r="G650" s="7" t="s">
        <v>21</v>
      </c>
      <c r="H650" s="6">
        <v>20</v>
      </c>
      <c r="I650" s="7" t="s">
        <v>43</v>
      </c>
      <c r="J650" s="8">
        <f>2280000/20</f>
        <v>114000</v>
      </c>
      <c r="K650" s="4" t="s">
        <v>43</v>
      </c>
      <c r="M650" s="9">
        <v>0.17</v>
      </c>
      <c r="O650" s="7" t="s">
        <v>43</v>
      </c>
      <c r="P650" s="3">
        <f t="shared" si="100"/>
        <v>100</v>
      </c>
      <c r="Q650" s="7" t="s">
        <v>43</v>
      </c>
      <c r="R650" s="8">
        <f t="shared" si="101"/>
        <v>9462000</v>
      </c>
      <c r="S650" s="32">
        <f t="shared" si="93"/>
        <v>8524324.3243243229</v>
      </c>
    </row>
    <row r="651" spans="1:19">
      <c r="A651" s="34" t="s">
        <v>632</v>
      </c>
      <c r="B651" s="2" t="s">
        <v>26</v>
      </c>
      <c r="C651" s="3">
        <v>26</v>
      </c>
      <c r="D651" s="4" t="s">
        <v>43</v>
      </c>
      <c r="F651" s="6">
        <v>1</v>
      </c>
      <c r="G651" s="7" t="s">
        <v>21</v>
      </c>
      <c r="H651" s="6">
        <v>40</v>
      </c>
      <c r="I651" s="7" t="s">
        <v>43</v>
      </c>
      <c r="J651" s="8">
        <f>2688000/40</f>
        <v>67200</v>
      </c>
      <c r="K651" s="4" t="s">
        <v>43</v>
      </c>
      <c r="M651" s="9">
        <v>0.17</v>
      </c>
      <c r="O651" s="7" t="s">
        <v>43</v>
      </c>
      <c r="P651" s="3">
        <f t="shared" si="100"/>
        <v>26</v>
      </c>
      <c r="Q651" s="7" t="s">
        <v>43</v>
      </c>
      <c r="R651" s="8">
        <f t="shared" si="101"/>
        <v>1450176</v>
      </c>
      <c r="S651" s="32">
        <f t="shared" si="93"/>
        <v>1306464.8648648649</v>
      </c>
    </row>
    <row r="652" spans="1:19" s="17" customFormat="1">
      <c r="A652" s="16" t="s">
        <v>633</v>
      </c>
      <c r="B652" s="17" t="s">
        <v>26</v>
      </c>
      <c r="C652" s="18"/>
      <c r="D652" s="19" t="s">
        <v>43</v>
      </c>
      <c r="E652" s="20"/>
      <c r="F652" s="21">
        <v>1</v>
      </c>
      <c r="G652" s="22" t="s">
        <v>21</v>
      </c>
      <c r="H652" s="21">
        <v>20</v>
      </c>
      <c r="I652" s="22" t="s">
        <v>43</v>
      </c>
      <c r="J652" s="23">
        <v>120000</v>
      </c>
      <c r="K652" s="19" t="s">
        <v>43</v>
      </c>
      <c r="L652" s="24"/>
      <c r="M652" s="24">
        <v>0.17</v>
      </c>
      <c r="N652" s="18"/>
      <c r="O652" s="22" t="s">
        <v>43</v>
      </c>
      <c r="P652" s="18">
        <f t="shared" si="100"/>
        <v>0</v>
      </c>
      <c r="Q652" s="22" t="s">
        <v>43</v>
      </c>
      <c r="R652" s="23">
        <f t="shared" si="101"/>
        <v>0</v>
      </c>
      <c r="S652" s="23">
        <f t="shared" si="93"/>
        <v>0</v>
      </c>
    </row>
    <row r="653" spans="1:19" s="26" customFormat="1">
      <c r="A653" s="25" t="s">
        <v>634</v>
      </c>
      <c r="B653" s="26" t="s">
        <v>26</v>
      </c>
      <c r="C653" s="27">
        <v>11</v>
      </c>
      <c r="D653" s="28" t="s">
        <v>43</v>
      </c>
      <c r="E653" s="29"/>
      <c r="F653" s="30">
        <v>1</v>
      </c>
      <c r="G653" s="31" t="s">
        <v>21</v>
      </c>
      <c r="H653" s="30">
        <v>25</v>
      </c>
      <c r="I653" s="31" t="s">
        <v>43</v>
      </c>
      <c r="J653" s="32">
        <f>1560000/25</f>
        <v>62400</v>
      </c>
      <c r="K653" s="28" t="s">
        <v>43</v>
      </c>
      <c r="L653" s="33"/>
      <c r="M653" s="33">
        <v>0.17</v>
      </c>
      <c r="N653" s="27"/>
      <c r="O653" s="31" t="s">
        <v>43</v>
      </c>
      <c r="P653" s="27">
        <f t="shared" si="100"/>
        <v>11</v>
      </c>
      <c r="Q653" s="31" t="s">
        <v>43</v>
      </c>
      <c r="R653" s="32">
        <f t="shared" si="101"/>
        <v>569712</v>
      </c>
      <c r="S653" s="32">
        <f t="shared" si="93"/>
        <v>513254.05405405402</v>
      </c>
    </row>
    <row r="654" spans="1:19" s="45" customFormat="1">
      <c r="A654" s="44" t="s">
        <v>635</v>
      </c>
      <c r="B654" s="45" t="s">
        <v>26</v>
      </c>
      <c r="C654" s="46"/>
      <c r="D654" s="47" t="s">
        <v>43</v>
      </c>
      <c r="E654" s="48">
        <f>8+2</f>
        <v>10</v>
      </c>
      <c r="F654" s="49">
        <v>1</v>
      </c>
      <c r="G654" s="50" t="s">
        <v>21</v>
      </c>
      <c r="H654" s="49">
        <v>10</v>
      </c>
      <c r="I654" s="50" t="s">
        <v>43</v>
      </c>
      <c r="J654" s="51">
        <f>2280000/10</f>
        <v>228000</v>
      </c>
      <c r="K654" s="47" t="s">
        <v>43</v>
      </c>
      <c r="L654" s="52"/>
      <c r="M654" s="52">
        <v>0.17</v>
      </c>
      <c r="N654" s="46">
        <f>20+20+2+6</f>
        <v>48</v>
      </c>
      <c r="O654" s="50" t="s">
        <v>43</v>
      </c>
      <c r="P654" s="46">
        <f t="shared" si="100"/>
        <v>52</v>
      </c>
      <c r="Q654" s="50" t="s">
        <v>43</v>
      </c>
      <c r="R654" s="51">
        <f t="shared" si="101"/>
        <v>9840480</v>
      </c>
      <c r="S654" s="32">
        <f t="shared" si="93"/>
        <v>8865297.297297297</v>
      </c>
    </row>
    <row r="655" spans="1:19" s="45" customFormat="1">
      <c r="A655" s="44" t="s">
        <v>636</v>
      </c>
      <c r="B655" s="45" t="s">
        <v>26</v>
      </c>
      <c r="C655" s="46"/>
      <c r="D655" s="47" t="s">
        <v>43</v>
      </c>
      <c r="E655" s="48">
        <v>2</v>
      </c>
      <c r="F655" s="49">
        <v>1</v>
      </c>
      <c r="G655" s="50" t="s">
        <v>21</v>
      </c>
      <c r="H655" s="49">
        <v>10</v>
      </c>
      <c r="I655" s="50" t="s">
        <v>43</v>
      </c>
      <c r="J655" s="51">
        <f>2280000/10</f>
        <v>228000</v>
      </c>
      <c r="K655" s="47" t="s">
        <v>43</v>
      </c>
      <c r="L655" s="52"/>
      <c r="M655" s="52">
        <v>0.17</v>
      </c>
      <c r="N655" s="83">
        <f>3+(24/12)+2+2+0.5</f>
        <v>9.5</v>
      </c>
      <c r="O655" s="142" t="s">
        <v>43</v>
      </c>
      <c r="P655" s="83">
        <f t="shared" si="100"/>
        <v>10.5</v>
      </c>
      <c r="Q655" s="50" t="s">
        <v>43</v>
      </c>
      <c r="R655" s="51">
        <f t="shared" si="101"/>
        <v>1987020</v>
      </c>
      <c r="S655" s="32">
        <f t="shared" si="93"/>
        <v>1790108.1081081079</v>
      </c>
    </row>
    <row r="656" spans="1:19" s="45" customFormat="1">
      <c r="A656" s="44" t="s">
        <v>637</v>
      </c>
      <c r="B656" s="45" t="s">
        <v>26</v>
      </c>
      <c r="C656" s="46">
        <v>80</v>
      </c>
      <c r="D656" s="47" t="s">
        <v>43</v>
      </c>
      <c r="E656" s="48"/>
      <c r="F656" s="49">
        <v>1</v>
      </c>
      <c r="G656" s="50" t="s">
        <v>21</v>
      </c>
      <c r="H656" s="49">
        <v>10</v>
      </c>
      <c r="I656" s="50" t="s">
        <v>43</v>
      </c>
      <c r="J656" s="51">
        <f>2040000/10</f>
        <v>204000</v>
      </c>
      <c r="K656" s="47" t="s">
        <v>43</v>
      </c>
      <c r="L656" s="52"/>
      <c r="M656" s="52">
        <v>0.17</v>
      </c>
      <c r="N656" s="46"/>
      <c r="O656" s="50" t="s">
        <v>43</v>
      </c>
      <c r="P656" s="46">
        <f t="shared" si="100"/>
        <v>80</v>
      </c>
      <c r="Q656" s="50" t="s">
        <v>43</v>
      </c>
      <c r="R656" s="51">
        <f t="shared" si="101"/>
        <v>13545600</v>
      </c>
      <c r="S656" s="32">
        <f t="shared" si="93"/>
        <v>12203243.243243242</v>
      </c>
    </row>
    <row r="657" spans="1:19" s="85" customFormat="1">
      <c r="A657" s="84" t="s">
        <v>638</v>
      </c>
      <c r="B657" s="85" t="s">
        <v>26</v>
      </c>
      <c r="C657" s="86">
        <v>45</v>
      </c>
      <c r="D657" s="87" t="s">
        <v>43</v>
      </c>
      <c r="E657" s="92"/>
      <c r="F657" s="88">
        <v>1</v>
      </c>
      <c r="G657" s="89" t="s">
        <v>21</v>
      </c>
      <c r="H657" s="88">
        <v>10</v>
      </c>
      <c r="I657" s="89" t="s">
        <v>43</v>
      </c>
      <c r="J657" s="90">
        <f>2040000/10</f>
        <v>204000</v>
      </c>
      <c r="K657" s="87" t="s">
        <v>43</v>
      </c>
      <c r="L657" s="91"/>
      <c r="M657" s="91">
        <v>0.17</v>
      </c>
      <c r="N657" s="86"/>
      <c r="O657" s="89" t="s">
        <v>43</v>
      </c>
      <c r="P657" s="86">
        <f t="shared" si="100"/>
        <v>45</v>
      </c>
      <c r="Q657" s="89" t="s">
        <v>43</v>
      </c>
      <c r="R657" s="90">
        <f t="shared" si="101"/>
        <v>7619400</v>
      </c>
      <c r="S657" s="32">
        <f t="shared" si="93"/>
        <v>6864324.3243243238</v>
      </c>
    </row>
    <row r="658" spans="1:19" s="17" customFormat="1">
      <c r="A658" s="16" t="s">
        <v>639</v>
      </c>
      <c r="B658" s="17" t="s">
        <v>26</v>
      </c>
      <c r="C658" s="18"/>
      <c r="D658" s="19" t="s">
        <v>20</v>
      </c>
      <c r="E658" s="20"/>
      <c r="F658" s="21">
        <v>20</v>
      </c>
      <c r="G658" s="22" t="s">
        <v>34</v>
      </c>
      <c r="H658" s="21">
        <v>6</v>
      </c>
      <c r="I658" s="22" t="s">
        <v>20</v>
      </c>
      <c r="J658" s="23">
        <v>14500</v>
      </c>
      <c r="K658" s="19" t="s">
        <v>20</v>
      </c>
      <c r="L658" s="24"/>
      <c r="M658" s="24">
        <v>0.17</v>
      </c>
      <c r="N658" s="18"/>
      <c r="O658" s="22" t="s">
        <v>20</v>
      </c>
      <c r="P658" s="18">
        <f t="shared" si="100"/>
        <v>0</v>
      </c>
      <c r="Q658" s="22" t="s">
        <v>20</v>
      </c>
      <c r="R658" s="23">
        <f t="shared" si="101"/>
        <v>0</v>
      </c>
      <c r="S658" s="23">
        <f t="shared" si="93"/>
        <v>0</v>
      </c>
    </row>
    <row r="659" spans="1:19" s="45" customFormat="1">
      <c r="A659" s="44" t="s">
        <v>640</v>
      </c>
      <c r="B659" s="45" t="s">
        <v>26</v>
      </c>
      <c r="C659" s="46">
        <v>11</v>
      </c>
      <c r="D659" s="47" t="s">
        <v>20</v>
      </c>
      <c r="E659" s="48">
        <v>2</v>
      </c>
      <c r="F659" s="49">
        <v>1</v>
      </c>
      <c r="G659" s="50" t="s">
        <v>21</v>
      </c>
      <c r="H659" s="49">
        <v>6</v>
      </c>
      <c r="I659" s="50" t="s">
        <v>20</v>
      </c>
      <c r="J659" s="51">
        <f>2130000/6</f>
        <v>355000</v>
      </c>
      <c r="K659" s="47" t="s">
        <v>20</v>
      </c>
      <c r="L659" s="52"/>
      <c r="M659" s="52">
        <v>0.17</v>
      </c>
      <c r="N659" s="46"/>
      <c r="O659" s="50" t="s">
        <v>20</v>
      </c>
      <c r="P659" s="46">
        <f t="shared" si="100"/>
        <v>23</v>
      </c>
      <c r="Q659" s="50" t="s">
        <v>20</v>
      </c>
      <c r="R659" s="51">
        <f t="shared" si="101"/>
        <v>6776950</v>
      </c>
      <c r="S659" s="51">
        <f t="shared" si="93"/>
        <v>6105360.3603603598</v>
      </c>
    </row>
    <row r="660" spans="1:19" s="63" customFormat="1">
      <c r="A660" s="72" t="s">
        <v>641</v>
      </c>
      <c r="B660" s="63" t="s">
        <v>26</v>
      </c>
      <c r="C660" s="64">
        <v>3</v>
      </c>
      <c r="D660" s="65" t="s">
        <v>20</v>
      </c>
      <c r="E660" s="66">
        <v>2</v>
      </c>
      <c r="F660" s="67">
        <v>1</v>
      </c>
      <c r="G660" s="68" t="s">
        <v>21</v>
      </c>
      <c r="H660" s="67">
        <v>6</v>
      </c>
      <c r="I660" s="68" t="s">
        <v>20</v>
      </c>
      <c r="J660" s="69">
        <f>930000/6</f>
        <v>155000</v>
      </c>
      <c r="K660" s="65" t="s">
        <v>20</v>
      </c>
      <c r="L660" s="70"/>
      <c r="M660" s="70">
        <v>0.17</v>
      </c>
      <c r="N660" s="64">
        <f>6+1+2+3+3</f>
        <v>15</v>
      </c>
      <c r="O660" s="68" t="s">
        <v>20</v>
      </c>
      <c r="P660" s="64">
        <f t="shared" si="100"/>
        <v>0</v>
      </c>
      <c r="Q660" s="68" t="s">
        <v>20</v>
      </c>
      <c r="R660" s="69">
        <f t="shared" si="101"/>
        <v>0</v>
      </c>
      <c r="S660" s="69">
        <f t="shared" si="93"/>
        <v>0</v>
      </c>
    </row>
    <row r="661" spans="1:19" s="45" customFormat="1">
      <c r="A661" s="44" t="s">
        <v>642</v>
      </c>
      <c r="B661" s="45" t="s">
        <v>26</v>
      </c>
      <c r="C661" s="46">
        <v>15</v>
      </c>
      <c r="D661" s="47" t="s">
        <v>20</v>
      </c>
      <c r="E661" s="48">
        <f>5+1</f>
        <v>6</v>
      </c>
      <c r="F661" s="49">
        <v>1</v>
      </c>
      <c r="G661" s="50" t="s">
        <v>21</v>
      </c>
      <c r="H661" s="49">
        <v>6</v>
      </c>
      <c r="I661" s="50" t="s">
        <v>20</v>
      </c>
      <c r="J661" s="51">
        <f>480000/6</f>
        <v>80000</v>
      </c>
      <c r="K661" s="47" t="s">
        <v>20</v>
      </c>
      <c r="L661" s="52"/>
      <c r="M661" s="52">
        <v>0.17</v>
      </c>
      <c r="N661" s="46">
        <f>3+6+2</f>
        <v>11</v>
      </c>
      <c r="O661" s="50" t="s">
        <v>20</v>
      </c>
      <c r="P661" s="46">
        <f t="shared" si="100"/>
        <v>40</v>
      </c>
      <c r="Q661" s="50" t="s">
        <v>20</v>
      </c>
      <c r="R661" s="51">
        <f t="shared" si="101"/>
        <v>2656000</v>
      </c>
      <c r="S661" s="51">
        <f t="shared" si="93"/>
        <v>2392792.7927927924</v>
      </c>
    </row>
    <row r="662" spans="1:19" s="17" customFormat="1">
      <c r="A662" s="16" t="s">
        <v>643</v>
      </c>
      <c r="B662" s="17" t="s">
        <v>26</v>
      </c>
      <c r="C662" s="18"/>
      <c r="D662" s="19" t="s">
        <v>20</v>
      </c>
      <c r="E662" s="20"/>
      <c r="F662" s="21">
        <v>1</v>
      </c>
      <c r="G662" s="22" t="s">
        <v>21</v>
      </c>
      <c r="H662" s="21">
        <v>6</v>
      </c>
      <c r="I662" s="22" t="s">
        <v>20</v>
      </c>
      <c r="J662" s="23">
        <f>990000/6</f>
        <v>165000</v>
      </c>
      <c r="K662" s="19" t="s">
        <v>20</v>
      </c>
      <c r="L662" s="24"/>
      <c r="M662" s="24">
        <v>0.17</v>
      </c>
      <c r="N662" s="18"/>
      <c r="O662" s="22" t="s">
        <v>20</v>
      </c>
      <c r="P662" s="18">
        <f t="shared" si="100"/>
        <v>0</v>
      </c>
      <c r="Q662" s="22" t="s">
        <v>20</v>
      </c>
      <c r="R662" s="23">
        <f t="shared" si="101"/>
        <v>0</v>
      </c>
      <c r="S662" s="23">
        <f t="shared" si="93"/>
        <v>0</v>
      </c>
    </row>
    <row r="663" spans="1:19" s="17" customFormat="1">
      <c r="A663" s="137" t="s">
        <v>644</v>
      </c>
      <c r="B663" s="17" t="s">
        <v>645</v>
      </c>
      <c r="C663" s="18"/>
      <c r="D663" s="19" t="s">
        <v>43</v>
      </c>
      <c r="E663" s="20"/>
      <c r="F663" s="21">
        <v>1</v>
      </c>
      <c r="G663" s="22" t="s">
        <v>21</v>
      </c>
      <c r="H663" s="21">
        <v>30</v>
      </c>
      <c r="I663" s="22" t="s">
        <v>43</v>
      </c>
      <c r="J663" s="23">
        <v>130000</v>
      </c>
      <c r="K663" s="19" t="s">
        <v>43</v>
      </c>
      <c r="L663" s="24">
        <v>0.17499999999999999</v>
      </c>
      <c r="M663" s="24">
        <v>0.03</v>
      </c>
      <c r="N663" s="18"/>
      <c r="O663" s="22" t="s">
        <v>43</v>
      </c>
      <c r="P663" s="18">
        <f t="shared" si="100"/>
        <v>0</v>
      </c>
      <c r="Q663" s="22" t="s">
        <v>43</v>
      </c>
      <c r="R663" s="23">
        <f t="shared" si="101"/>
        <v>0</v>
      </c>
      <c r="S663" s="23">
        <f t="shared" si="93"/>
        <v>0</v>
      </c>
    </row>
    <row r="664" spans="1:19" s="17" customFormat="1">
      <c r="A664" s="137" t="s">
        <v>646</v>
      </c>
      <c r="B664" s="17" t="s">
        <v>645</v>
      </c>
      <c r="C664" s="18"/>
      <c r="D664" s="19" t="s">
        <v>43</v>
      </c>
      <c r="E664" s="20"/>
      <c r="F664" s="21">
        <v>1</v>
      </c>
      <c r="G664" s="22" t="s">
        <v>21</v>
      </c>
      <c r="H664" s="21">
        <v>30</v>
      </c>
      <c r="I664" s="22" t="s">
        <v>43</v>
      </c>
      <c r="J664" s="23">
        <v>216000</v>
      </c>
      <c r="K664" s="19" t="s">
        <v>43</v>
      </c>
      <c r="L664" s="24"/>
      <c r="M664" s="24">
        <v>0.15</v>
      </c>
      <c r="N664" s="143"/>
      <c r="O664" s="22" t="s">
        <v>43</v>
      </c>
      <c r="P664" s="143">
        <f t="shared" si="100"/>
        <v>0</v>
      </c>
      <c r="Q664" s="22" t="s">
        <v>43</v>
      </c>
      <c r="R664" s="23">
        <f t="shared" si="101"/>
        <v>0</v>
      </c>
      <c r="S664" s="23">
        <f t="shared" si="93"/>
        <v>0</v>
      </c>
    </row>
    <row r="665" spans="1:19" s="17" customFormat="1">
      <c r="A665" s="137" t="s">
        <v>647</v>
      </c>
      <c r="B665" s="17" t="s">
        <v>645</v>
      </c>
      <c r="C665" s="18"/>
      <c r="D665" s="19" t="s">
        <v>43</v>
      </c>
      <c r="E665" s="20"/>
      <c r="F665" s="21">
        <v>1</v>
      </c>
      <c r="G665" s="22" t="s">
        <v>21</v>
      </c>
      <c r="H665" s="21">
        <v>30</v>
      </c>
      <c r="I665" s="22" t="s">
        <v>43</v>
      </c>
      <c r="J665" s="23">
        <v>216000</v>
      </c>
      <c r="K665" s="19" t="s">
        <v>43</v>
      </c>
      <c r="L665" s="24"/>
      <c r="M665" s="24">
        <v>0.15</v>
      </c>
      <c r="N665" s="143"/>
      <c r="O665" s="22" t="s">
        <v>43</v>
      </c>
      <c r="P665" s="143">
        <f t="shared" si="100"/>
        <v>0</v>
      </c>
      <c r="Q665" s="22" t="s">
        <v>43</v>
      </c>
      <c r="R665" s="23">
        <f t="shared" si="101"/>
        <v>0</v>
      </c>
      <c r="S665" s="23">
        <f t="shared" si="93"/>
        <v>0</v>
      </c>
    </row>
    <row r="666" spans="1:19" s="17" customFormat="1">
      <c r="A666" s="137" t="s">
        <v>648</v>
      </c>
      <c r="B666" s="17" t="s">
        <v>645</v>
      </c>
      <c r="C666" s="18"/>
      <c r="D666" s="19" t="s">
        <v>43</v>
      </c>
      <c r="E666" s="20"/>
      <c r="F666" s="21">
        <v>1</v>
      </c>
      <c r="G666" s="22" t="s">
        <v>21</v>
      </c>
      <c r="H666" s="21">
        <v>30</v>
      </c>
      <c r="I666" s="22" t="s">
        <v>43</v>
      </c>
      <c r="J666" s="23">
        <v>220000</v>
      </c>
      <c r="K666" s="19" t="s">
        <v>43</v>
      </c>
      <c r="L666" s="24"/>
      <c r="M666" s="24">
        <v>0.15</v>
      </c>
      <c r="N666" s="143"/>
      <c r="O666" s="22" t="s">
        <v>43</v>
      </c>
      <c r="P666" s="143">
        <f t="shared" si="100"/>
        <v>0</v>
      </c>
      <c r="Q666" s="22" t="s">
        <v>43</v>
      </c>
      <c r="R666" s="23">
        <f t="shared" si="101"/>
        <v>0</v>
      </c>
      <c r="S666" s="23">
        <f t="shared" si="93"/>
        <v>0</v>
      </c>
    </row>
    <row r="667" spans="1:19" s="26" customFormat="1">
      <c r="A667" s="138" t="s">
        <v>649</v>
      </c>
      <c r="B667" s="26" t="s">
        <v>645</v>
      </c>
      <c r="C667" s="27">
        <v>14</v>
      </c>
      <c r="D667" s="28" t="s">
        <v>43</v>
      </c>
      <c r="E667" s="29"/>
      <c r="F667" s="30">
        <v>1</v>
      </c>
      <c r="G667" s="31" t="s">
        <v>21</v>
      </c>
      <c r="H667" s="30">
        <v>20</v>
      </c>
      <c r="I667" s="31" t="s">
        <v>43</v>
      </c>
      <c r="J667" s="32">
        <v>285600</v>
      </c>
      <c r="K667" s="28" t="s">
        <v>43</v>
      </c>
      <c r="L667" s="33">
        <v>0.17499999999999999</v>
      </c>
      <c r="M667" s="33">
        <v>0.03</v>
      </c>
      <c r="N667" s="27">
        <f>1+1</f>
        <v>2</v>
      </c>
      <c r="O667" s="31" t="s">
        <v>43</v>
      </c>
      <c r="P667" s="27">
        <f t="shared" si="100"/>
        <v>12</v>
      </c>
      <c r="Q667" s="31" t="s">
        <v>43</v>
      </c>
      <c r="R667" s="32">
        <f t="shared" si="101"/>
        <v>2742616.8</v>
      </c>
      <c r="S667" s="32">
        <f t="shared" si="93"/>
        <v>2470825.9459459456</v>
      </c>
    </row>
    <row r="668" spans="1:19" s="17" customFormat="1">
      <c r="A668" s="137" t="s">
        <v>650</v>
      </c>
      <c r="B668" s="63" t="s">
        <v>192</v>
      </c>
      <c r="C668" s="18"/>
      <c r="D668" s="19" t="s">
        <v>43</v>
      </c>
      <c r="E668" s="20"/>
      <c r="F668" s="21">
        <v>1</v>
      </c>
      <c r="G668" s="22" t="s">
        <v>21</v>
      </c>
      <c r="H668" s="21">
        <v>5</v>
      </c>
      <c r="I668" s="22" t="s">
        <v>43</v>
      </c>
      <c r="J668" s="23">
        <v>250000</v>
      </c>
      <c r="K668" s="19" t="s">
        <v>43</v>
      </c>
      <c r="L668" s="24"/>
      <c r="M668" s="24"/>
      <c r="N668" s="144"/>
      <c r="O668" s="145" t="s">
        <v>43</v>
      </c>
      <c r="P668" s="144">
        <f t="shared" si="100"/>
        <v>0</v>
      </c>
      <c r="Q668" s="22" t="s">
        <v>43</v>
      </c>
      <c r="R668" s="23">
        <f t="shared" si="101"/>
        <v>0</v>
      </c>
      <c r="S668" s="23">
        <f t="shared" si="93"/>
        <v>0</v>
      </c>
    </row>
    <row r="669" spans="1:19">
      <c r="A669" s="15" t="s">
        <v>651</v>
      </c>
      <c r="S669" s="23"/>
    </row>
    <row r="670" spans="1:19" s="26" customFormat="1">
      <c r="A670" s="25" t="s">
        <v>652</v>
      </c>
      <c r="B670" s="26" t="s">
        <v>19</v>
      </c>
      <c r="C670" s="27">
        <v>50</v>
      </c>
      <c r="D670" s="28" t="s">
        <v>34</v>
      </c>
      <c r="E670" s="29"/>
      <c r="F670" s="30">
        <v>1</v>
      </c>
      <c r="G670" s="31" t="s">
        <v>21</v>
      </c>
      <c r="H670" s="30">
        <v>50</v>
      </c>
      <c r="I670" s="31" t="s">
        <v>34</v>
      </c>
      <c r="J670" s="32">
        <v>28000</v>
      </c>
      <c r="K670" s="28" t="s">
        <v>34</v>
      </c>
      <c r="L670" s="33">
        <v>0.125</v>
      </c>
      <c r="M670" s="33">
        <v>0.05</v>
      </c>
      <c r="N670" s="27"/>
      <c r="O670" s="31" t="s">
        <v>34</v>
      </c>
      <c r="P670" s="27">
        <f t="shared" ref="P670:P676" si="102">(C670+(E670*F670*H670))-N670</f>
        <v>50</v>
      </c>
      <c r="Q670" s="31" t="s">
        <v>34</v>
      </c>
      <c r="R670" s="32">
        <f t="shared" ref="R670:R676" si="103">P670*(J670-(J670*L670)-((J670-(J670*L670))*M670))</f>
        <v>1163750</v>
      </c>
      <c r="S670" s="32">
        <f t="shared" ref="S670:S735" si="104">R670/1.11</f>
        <v>1048423.4234234233</v>
      </c>
    </row>
    <row r="671" spans="1:19" s="45" customFormat="1">
      <c r="A671" s="44" t="s">
        <v>653</v>
      </c>
      <c r="B671" s="45" t="s">
        <v>645</v>
      </c>
      <c r="C671" s="46">
        <v>1744</v>
      </c>
      <c r="D671" s="47" t="s">
        <v>104</v>
      </c>
      <c r="E671" s="48">
        <f>30+20</f>
        <v>50</v>
      </c>
      <c r="F671" s="49">
        <v>1</v>
      </c>
      <c r="G671" s="50" t="s">
        <v>21</v>
      </c>
      <c r="H671" s="49">
        <v>100</v>
      </c>
      <c r="I671" s="50" t="s">
        <v>104</v>
      </c>
      <c r="J671" s="51">
        <v>14000</v>
      </c>
      <c r="K671" s="47" t="s">
        <v>104</v>
      </c>
      <c r="L671" s="52">
        <v>0.15</v>
      </c>
      <c r="M671" s="52"/>
      <c r="N671" s="46">
        <f>500+600+200+100+200+200+600+300+500+500+500+100</f>
        <v>4300</v>
      </c>
      <c r="O671" s="50" t="s">
        <v>104</v>
      </c>
      <c r="P671" s="46">
        <f t="shared" si="102"/>
        <v>2444</v>
      </c>
      <c r="Q671" s="50" t="s">
        <v>104</v>
      </c>
      <c r="R671" s="51">
        <f t="shared" si="103"/>
        <v>29083600</v>
      </c>
      <c r="S671" s="51">
        <f t="shared" si="104"/>
        <v>26201441.441441439</v>
      </c>
    </row>
    <row r="672" spans="1:19" s="45" customFormat="1">
      <c r="A672" s="44" t="s">
        <v>654</v>
      </c>
      <c r="B672" s="45" t="s">
        <v>645</v>
      </c>
      <c r="C672" s="46">
        <v>1025</v>
      </c>
      <c r="D672" s="47" t="s">
        <v>104</v>
      </c>
      <c r="E672" s="48">
        <v>15</v>
      </c>
      <c r="F672" s="49">
        <v>1</v>
      </c>
      <c r="G672" s="50" t="s">
        <v>21</v>
      </c>
      <c r="H672" s="49">
        <v>50</v>
      </c>
      <c r="I672" s="50" t="s">
        <v>104</v>
      </c>
      <c r="J672" s="51">
        <v>24000</v>
      </c>
      <c r="K672" s="47" t="s">
        <v>104</v>
      </c>
      <c r="L672" s="52"/>
      <c r="M672" s="52"/>
      <c r="N672" s="46">
        <f>50+50+350+50</f>
        <v>500</v>
      </c>
      <c r="O672" s="50" t="s">
        <v>104</v>
      </c>
      <c r="P672" s="46">
        <f t="shared" si="102"/>
        <v>1275</v>
      </c>
      <c r="Q672" s="50" t="s">
        <v>104</v>
      </c>
      <c r="R672" s="51">
        <f t="shared" si="103"/>
        <v>30600000</v>
      </c>
      <c r="S672" s="51">
        <f t="shared" si="104"/>
        <v>27567567.567567565</v>
      </c>
    </row>
    <row r="673" spans="1:19" s="17" customFormat="1">
      <c r="A673" s="109" t="s">
        <v>655</v>
      </c>
      <c r="B673" s="17" t="s">
        <v>26</v>
      </c>
      <c r="C673" s="18"/>
      <c r="D673" s="19" t="s">
        <v>104</v>
      </c>
      <c r="E673" s="20"/>
      <c r="F673" s="21">
        <v>1</v>
      </c>
      <c r="G673" s="22" t="s">
        <v>21</v>
      </c>
      <c r="H673" s="21">
        <v>40</v>
      </c>
      <c r="I673" s="22" t="s">
        <v>104</v>
      </c>
      <c r="J673" s="23">
        <v>20000</v>
      </c>
      <c r="K673" s="19" t="s">
        <v>104</v>
      </c>
      <c r="L673" s="24"/>
      <c r="M673" s="24">
        <v>0.17</v>
      </c>
      <c r="N673" s="18"/>
      <c r="O673" s="22" t="s">
        <v>104</v>
      </c>
      <c r="P673" s="18">
        <f>(C673+(E673*F673*H673))-N673</f>
        <v>0</v>
      </c>
      <c r="Q673" s="22" t="s">
        <v>104</v>
      </c>
      <c r="R673" s="23">
        <f>P673*(J673-(J673*L673)-((J673-(J673*L673))*M673))</f>
        <v>0</v>
      </c>
      <c r="S673" s="23">
        <f t="shared" si="104"/>
        <v>0</v>
      </c>
    </row>
    <row r="674" spans="1:19" s="26" customFormat="1">
      <c r="A674" s="108" t="s">
        <v>656</v>
      </c>
      <c r="B674" s="26" t="s">
        <v>26</v>
      </c>
      <c r="C674" s="27">
        <v>40</v>
      </c>
      <c r="D674" s="28" t="s">
        <v>104</v>
      </c>
      <c r="E674" s="29"/>
      <c r="F674" s="30">
        <v>1</v>
      </c>
      <c r="G674" s="31" t="s">
        <v>21</v>
      </c>
      <c r="H674" s="30">
        <v>20</v>
      </c>
      <c r="I674" s="31" t="s">
        <v>104</v>
      </c>
      <c r="J674" s="32">
        <f>780000/20</f>
        <v>39000</v>
      </c>
      <c r="K674" s="28" t="s">
        <v>104</v>
      </c>
      <c r="L674" s="33"/>
      <c r="M674" s="33">
        <v>0.17</v>
      </c>
      <c r="N674" s="27"/>
      <c r="O674" s="31" t="s">
        <v>104</v>
      </c>
      <c r="P674" s="27">
        <f>(C674+(E674*F674*H674))-N674</f>
        <v>40</v>
      </c>
      <c r="Q674" s="31" t="s">
        <v>104</v>
      </c>
      <c r="R674" s="32">
        <f>P674*(J674-(J674*L674)-((J674-(J674*L674))*M674))</f>
        <v>1294800</v>
      </c>
      <c r="S674" s="32">
        <f t="shared" si="104"/>
        <v>1166486.4864864864</v>
      </c>
    </row>
    <row r="675" spans="1:19" s="16" customFormat="1">
      <c r="A675" s="72" t="s">
        <v>657</v>
      </c>
      <c r="B675" s="16" t="s">
        <v>26</v>
      </c>
      <c r="C675" s="129"/>
      <c r="D675" s="130" t="s">
        <v>34</v>
      </c>
      <c r="E675" s="131">
        <v>5</v>
      </c>
      <c r="F675" s="132">
        <v>15</v>
      </c>
      <c r="G675" s="133" t="s">
        <v>104</v>
      </c>
      <c r="H675" s="132">
        <v>20</v>
      </c>
      <c r="I675" s="133" t="s">
        <v>34</v>
      </c>
      <c r="J675" s="134">
        <f>472500/15/20</f>
        <v>1575</v>
      </c>
      <c r="K675" s="130" t="s">
        <v>34</v>
      </c>
      <c r="L675" s="135"/>
      <c r="M675" s="135">
        <v>0.17</v>
      </c>
      <c r="N675" s="129">
        <v>1500</v>
      </c>
      <c r="O675" s="133" t="s">
        <v>34</v>
      </c>
      <c r="P675" s="129">
        <f>(C675+(E675*F675*H675))-N675</f>
        <v>0</v>
      </c>
      <c r="Q675" s="133" t="s">
        <v>34</v>
      </c>
      <c r="R675" s="134">
        <f>P675*(J675-(J675*L675)-((J675-(J675*L675))*M675))</f>
        <v>0</v>
      </c>
      <c r="S675" s="134">
        <f t="shared" si="104"/>
        <v>0</v>
      </c>
    </row>
    <row r="676" spans="1:19" s="45" customFormat="1">
      <c r="A676" s="108" t="s">
        <v>658</v>
      </c>
      <c r="B676" s="45" t="s">
        <v>659</v>
      </c>
      <c r="C676" s="46">
        <v>100</v>
      </c>
      <c r="D676" s="47" t="s">
        <v>34</v>
      </c>
      <c r="E676" s="48"/>
      <c r="F676" s="49">
        <v>1</v>
      </c>
      <c r="G676" s="50" t="s">
        <v>21</v>
      </c>
      <c r="H676" s="49">
        <v>200</v>
      </c>
      <c r="I676" s="50" t="s">
        <v>34</v>
      </c>
      <c r="J676" s="51">
        <v>11500</v>
      </c>
      <c r="K676" s="47" t="s">
        <v>104</v>
      </c>
      <c r="L676" s="52">
        <v>0.17499999999999999</v>
      </c>
      <c r="M676" s="52">
        <v>0.03</v>
      </c>
      <c r="N676" s="46"/>
      <c r="O676" s="50" t="s">
        <v>34</v>
      </c>
      <c r="P676" s="46">
        <f t="shared" si="102"/>
        <v>100</v>
      </c>
      <c r="Q676" s="50" t="s">
        <v>34</v>
      </c>
      <c r="R676" s="51">
        <f t="shared" si="103"/>
        <v>920287.5</v>
      </c>
      <c r="S676" s="32">
        <f t="shared" si="104"/>
        <v>829087.83783783775</v>
      </c>
    </row>
    <row r="677" spans="1:19">
      <c r="S677" s="23"/>
    </row>
    <row r="678" spans="1:19" ht="15.75">
      <c r="A678" s="14" t="s">
        <v>660</v>
      </c>
      <c r="S678" s="23"/>
    </row>
    <row r="679" spans="1:19" s="26" customFormat="1">
      <c r="A679" s="94" t="s">
        <v>661</v>
      </c>
      <c r="B679" s="26" t="s">
        <v>182</v>
      </c>
      <c r="C679" s="27">
        <v>477</v>
      </c>
      <c r="D679" s="28" t="s">
        <v>104</v>
      </c>
      <c r="E679" s="29"/>
      <c r="F679" s="30">
        <v>1</v>
      </c>
      <c r="G679" s="31" t="s">
        <v>21</v>
      </c>
      <c r="H679" s="30">
        <v>60</v>
      </c>
      <c r="I679" s="31" t="s">
        <v>104</v>
      </c>
      <c r="J679" s="32">
        <v>8600</v>
      </c>
      <c r="K679" s="28" t="s">
        <v>104</v>
      </c>
      <c r="L679" s="33">
        <v>0.05</v>
      </c>
      <c r="M679" s="33"/>
      <c r="N679" s="27">
        <f>60+10+12+10</f>
        <v>92</v>
      </c>
      <c r="O679" s="31" t="s">
        <v>104</v>
      </c>
      <c r="P679" s="27">
        <f t="shared" ref="P679:P695" si="105">(C679+(E679*F679*H679))-N679</f>
        <v>385</v>
      </c>
      <c r="Q679" s="31" t="s">
        <v>104</v>
      </c>
      <c r="R679" s="32">
        <f t="shared" ref="R679:R695" si="106">P679*(J679-(J679*L679)-((J679-(J679*L679))*M679))</f>
        <v>3145450</v>
      </c>
      <c r="S679" s="32">
        <f t="shared" si="104"/>
        <v>2833738.7387387385</v>
      </c>
    </row>
    <row r="680" spans="1:19" s="63" customFormat="1">
      <c r="A680" s="93" t="s">
        <v>662</v>
      </c>
      <c r="B680" s="63" t="s">
        <v>19</v>
      </c>
      <c r="C680" s="64"/>
      <c r="D680" s="65" t="s">
        <v>34</v>
      </c>
      <c r="E680" s="66">
        <v>5</v>
      </c>
      <c r="F680" s="67">
        <v>1</v>
      </c>
      <c r="G680" s="68" t="s">
        <v>21</v>
      </c>
      <c r="H680" s="67">
        <v>50</v>
      </c>
      <c r="I680" s="68" t="s">
        <v>34</v>
      </c>
      <c r="J680" s="69">
        <v>34100</v>
      </c>
      <c r="K680" s="65" t="s">
        <v>34</v>
      </c>
      <c r="L680" s="70">
        <v>0.125</v>
      </c>
      <c r="M680" s="70">
        <v>0.05</v>
      </c>
      <c r="N680" s="64">
        <v>250</v>
      </c>
      <c r="O680" s="68" t="s">
        <v>34</v>
      </c>
      <c r="P680" s="64">
        <f t="shared" si="105"/>
        <v>0</v>
      </c>
      <c r="Q680" s="68" t="s">
        <v>34</v>
      </c>
      <c r="R680" s="69">
        <f t="shared" si="106"/>
        <v>0</v>
      </c>
      <c r="S680" s="23">
        <f t="shared" si="104"/>
        <v>0</v>
      </c>
    </row>
    <row r="681" spans="1:19" s="45" customFormat="1">
      <c r="A681" s="44" t="s">
        <v>663</v>
      </c>
      <c r="B681" s="45" t="s">
        <v>19</v>
      </c>
      <c r="C681" s="46">
        <v>20</v>
      </c>
      <c r="D681" s="47" t="s">
        <v>34</v>
      </c>
      <c r="E681" s="48">
        <v>1</v>
      </c>
      <c r="F681" s="49">
        <v>1</v>
      </c>
      <c r="G681" s="50" t="s">
        <v>21</v>
      </c>
      <c r="H681" s="49">
        <v>50</v>
      </c>
      <c r="I681" s="50" t="s">
        <v>34</v>
      </c>
      <c r="J681" s="51">
        <v>34100</v>
      </c>
      <c r="K681" s="47" t="s">
        <v>34</v>
      </c>
      <c r="L681" s="52">
        <v>0.125</v>
      </c>
      <c r="M681" s="52">
        <v>0.05</v>
      </c>
      <c r="N681" s="46">
        <v>50</v>
      </c>
      <c r="O681" s="50" t="s">
        <v>34</v>
      </c>
      <c r="P681" s="46">
        <f t="shared" si="105"/>
        <v>20</v>
      </c>
      <c r="Q681" s="50" t="s">
        <v>34</v>
      </c>
      <c r="R681" s="51">
        <f t="shared" si="106"/>
        <v>566912.5</v>
      </c>
      <c r="S681" s="51">
        <f t="shared" si="104"/>
        <v>510731.98198198195</v>
      </c>
    </row>
    <row r="682" spans="1:19" s="45" customFormat="1">
      <c r="A682" s="44" t="s">
        <v>664</v>
      </c>
      <c r="B682" s="45" t="s">
        <v>19</v>
      </c>
      <c r="C682" s="46">
        <v>23</v>
      </c>
      <c r="D682" s="47" t="s">
        <v>34</v>
      </c>
      <c r="E682" s="48">
        <v>1</v>
      </c>
      <c r="F682" s="49">
        <v>1</v>
      </c>
      <c r="G682" s="50" t="s">
        <v>21</v>
      </c>
      <c r="H682" s="49">
        <v>50</v>
      </c>
      <c r="I682" s="50" t="s">
        <v>34</v>
      </c>
      <c r="J682" s="51">
        <v>32000</v>
      </c>
      <c r="K682" s="47" t="s">
        <v>34</v>
      </c>
      <c r="L682" s="52">
        <v>0.125</v>
      </c>
      <c r="M682" s="52">
        <v>0.05</v>
      </c>
      <c r="N682" s="46">
        <v>50</v>
      </c>
      <c r="O682" s="50" t="s">
        <v>34</v>
      </c>
      <c r="P682" s="46">
        <f t="shared" si="105"/>
        <v>23</v>
      </c>
      <c r="Q682" s="50" t="s">
        <v>34</v>
      </c>
      <c r="R682" s="51">
        <f t="shared" si="106"/>
        <v>611800</v>
      </c>
      <c r="S682" s="51">
        <f t="shared" si="104"/>
        <v>551171.17117117113</v>
      </c>
    </row>
    <row r="683" spans="1:19" s="85" customFormat="1">
      <c r="A683" s="94" t="s">
        <v>665</v>
      </c>
      <c r="B683" s="85" t="s">
        <v>19</v>
      </c>
      <c r="C683" s="86">
        <v>12</v>
      </c>
      <c r="D683" s="87" t="s">
        <v>34</v>
      </c>
      <c r="E683" s="92"/>
      <c r="F683" s="88">
        <v>1</v>
      </c>
      <c r="G683" s="89" t="s">
        <v>21</v>
      </c>
      <c r="H683" s="88">
        <v>50</v>
      </c>
      <c r="I683" s="89" t="s">
        <v>34</v>
      </c>
      <c r="J683" s="90">
        <v>32000</v>
      </c>
      <c r="K683" s="87" t="s">
        <v>34</v>
      </c>
      <c r="L683" s="91">
        <v>0.125</v>
      </c>
      <c r="M683" s="91">
        <v>0.05</v>
      </c>
      <c r="N683" s="86"/>
      <c r="O683" s="89" t="s">
        <v>34</v>
      </c>
      <c r="P683" s="86">
        <f t="shared" si="105"/>
        <v>12</v>
      </c>
      <c r="Q683" s="89" t="s">
        <v>34</v>
      </c>
      <c r="R683" s="90">
        <f t="shared" si="106"/>
        <v>319200</v>
      </c>
      <c r="S683" s="32">
        <f t="shared" si="104"/>
        <v>287567.56756756752</v>
      </c>
    </row>
    <row r="684" spans="1:19" s="17" customFormat="1">
      <c r="A684" s="93" t="s">
        <v>666</v>
      </c>
      <c r="B684" s="17" t="s">
        <v>19</v>
      </c>
      <c r="C684" s="18"/>
      <c r="D684" s="19" t="s">
        <v>34</v>
      </c>
      <c r="E684" s="20"/>
      <c r="F684" s="21">
        <v>1</v>
      </c>
      <c r="G684" s="22" t="s">
        <v>21</v>
      </c>
      <c r="H684" s="21">
        <v>50</v>
      </c>
      <c r="I684" s="22" t="s">
        <v>34</v>
      </c>
      <c r="J684" s="23">
        <v>31200</v>
      </c>
      <c r="K684" s="19" t="s">
        <v>34</v>
      </c>
      <c r="L684" s="24">
        <v>0.125</v>
      </c>
      <c r="M684" s="24">
        <v>0.05</v>
      </c>
      <c r="N684" s="18"/>
      <c r="O684" s="22" t="s">
        <v>34</v>
      </c>
      <c r="P684" s="18">
        <f t="shared" si="105"/>
        <v>0</v>
      </c>
      <c r="Q684" s="22" t="s">
        <v>34</v>
      </c>
      <c r="R684" s="23">
        <f t="shared" si="106"/>
        <v>0</v>
      </c>
      <c r="S684" s="23">
        <f t="shared" si="104"/>
        <v>0</v>
      </c>
    </row>
    <row r="685" spans="1:19" s="17" customFormat="1">
      <c r="A685" s="93" t="s">
        <v>667</v>
      </c>
      <c r="B685" s="17" t="s">
        <v>19</v>
      </c>
      <c r="C685" s="18"/>
      <c r="D685" s="19" t="s">
        <v>34</v>
      </c>
      <c r="E685" s="20"/>
      <c r="F685" s="21">
        <v>1</v>
      </c>
      <c r="G685" s="22" t="s">
        <v>21</v>
      </c>
      <c r="H685" s="21">
        <v>50</v>
      </c>
      <c r="I685" s="22" t="s">
        <v>34</v>
      </c>
      <c r="J685" s="23">
        <v>12000</v>
      </c>
      <c r="K685" s="19" t="s">
        <v>34</v>
      </c>
      <c r="L685" s="24">
        <v>0.125</v>
      </c>
      <c r="M685" s="24">
        <v>0.05</v>
      </c>
      <c r="N685" s="18"/>
      <c r="O685" s="22" t="s">
        <v>34</v>
      </c>
      <c r="P685" s="18">
        <f t="shared" si="105"/>
        <v>0</v>
      </c>
      <c r="Q685" s="22" t="s">
        <v>34</v>
      </c>
      <c r="R685" s="23">
        <f t="shared" si="106"/>
        <v>0</v>
      </c>
      <c r="S685" s="23">
        <f t="shared" si="104"/>
        <v>0</v>
      </c>
    </row>
    <row r="686" spans="1:19" s="17" customFormat="1">
      <c r="A686" s="93" t="s">
        <v>668</v>
      </c>
      <c r="B686" s="17" t="s">
        <v>19</v>
      </c>
      <c r="C686" s="18"/>
      <c r="D686" s="19" t="s">
        <v>34</v>
      </c>
      <c r="E686" s="20"/>
      <c r="F686" s="21">
        <v>1</v>
      </c>
      <c r="G686" s="22" t="s">
        <v>21</v>
      </c>
      <c r="H686" s="21">
        <v>50</v>
      </c>
      <c r="I686" s="22" t="s">
        <v>34</v>
      </c>
      <c r="J686" s="23">
        <v>36200</v>
      </c>
      <c r="K686" s="19" t="s">
        <v>34</v>
      </c>
      <c r="L686" s="24">
        <v>0.125</v>
      </c>
      <c r="M686" s="24">
        <v>0.05</v>
      </c>
      <c r="N686" s="18"/>
      <c r="O686" s="22" t="s">
        <v>34</v>
      </c>
      <c r="P686" s="18">
        <f t="shared" si="105"/>
        <v>0</v>
      </c>
      <c r="Q686" s="22" t="s">
        <v>34</v>
      </c>
      <c r="R686" s="23">
        <f t="shared" si="106"/>
        <v>0</v>
      </c>
      <c r="S686" s="23">
        <f t="shared" si="104"/>
        <v>0</v>
      </c>
    </row>
    <row r="687" spans="1:19" s="45" customFormat="1">
      <c r="A687" s="94" t="s">
        <v>669</v>
      </c>
      <c r="B687" s="45" t="s">
        <v>19</v>
      </c>
      <c r="C687" s="46">
        <v>186</v>
      </c>
      <c r="D687" s="47" t="s">
        <v>34</v>
      </c>
      <c r="E687" s="48">
        <f>1+5</f>
        <v>6</v>
      </c>
      <c r="F687" s="49">
        <v>1</v>
      </c>
      <c r="G687" s="50" t="s">
        <v>21</v>
      </c>
      <c r="H687" s="49">
        <v>50</v>
      </c>
      <c r="I687" s="50" t="s">
        <v>34</v>
      </c>
      <c r="J687" s="51">
        <v>28300</v>
      </c>
      <c r="K687" s="47" t="s">
        <v>34</v>
      </c>
      <c r="L687" s="52">
        <v>0.125</v>
      </c>
      <c r="M687" s="52">
        <v>0.05</v>
      </c>
      <c r="N687" s="46">
        <f>250+50+2</f>
        <v>302</v>
      </c>
      <c r="O687" s="50" t="s">
        <v>34</v>
      </c>
      <c r="P687" s="46">
        <f t="shared" si="105"/>
        <v>184</v>
      </c>
      <c r="Q687" s="50" t="s">
        <v>34</v>
      </c>
      <c r="R687" s="51">
        <f t="shared" si="106"/>
        <v>4328485</v>
      </c>
      <c r="S687" s="51">
        <f t="shared" si="104"/>
        <v>3899536.0360360355</v>
      </c>
    </row>
    <row r="688" spans="1:19" s="45" customFormat="1">
      <c r="A688" s="94" t="s">
        <v>670</v>
      </c>
      <c r="B688" s="45" t="s">
        <v>19</v>
      </c>
      <c r="C688" s="46">
        <v>12</v>
      </c>
      <c r="D688" s="47" t="s">
        <v>34</v>
      </c>
      <c r="E688" s="48">
        <f>1+1</f>
        <v>2</v>
      </c>
      <c r="F688" s="49">
        <v>1</v>
      </c>
      <c r="G688" s="50" t="s">
        <v>21</v>
      </c>
      <c r="H688" s="49">
        <v>50</v>
      </c>
      <c r="I688" s="50" t="s">
        <v>34</v>
      </c>
      <c r="J688" s="51">
        <v>28300</v>
      </c>
      <c r="K688" s="47" t="s">
        <v>34</v>
      </c>
      <c r="L688" s="52">
        <v>0.125</v>
      </c>
      <c r="M688" s="52">
        <v>0.05</v>
      </c>
      <c r="N688" s="46">
        <f>50+5+50+1</f>
        <v>106</v>
      </c>
      <c r="O688" s="50" t="s">
        <v>34</v>
      </c>
      <c r="P688" s="46">
        <f t="shared" si="105"/>
        <v>6</v>
      </c>
      <c r="Q688" s="50" t="s">
        <v>34</v>
      </c>
      <c r="R688" s="51">
        <f t="shared" si="106"/>
        <v>141146.25</v>
      </c>
      <c r="S688" s="51">
        <f t="shared" si="104"/>
        <v>127158.78378378377</v>
      </c>
    </row>
    <row r="689" spans="1:19" s="17" customFormat="1">
      <c r="A689" s="93" t="s">
        <v>671</v>
      </c>
      <c r="B689" s="17" t="s">
        <v>19</v>
      </c>
      <c r="C689" s="18"/>
      <c r="D689" s="19" t="s">
        <v>34</v>
      </c>
      <c r="E689" s="20"/>
      <c r="F689" s="21">
        <v>1</v>
      </c>
      <c r="G689" s="22" t="s">
        <v>21</v>
      </c>
      <c r="H689" s="21">
        <v>50</v>
      </c>
      <c r="I689" s="22" t="s">
        <v>34</v>
      </c>
      <c r="J689" s="23">
        <v>26500</v>
      </c>
      <c r="K689" s="19" t="s">
        <v>34</v>
      </c>
      <c r="L689" s="24">
        <v>0.125</v>
      </c>
      <c r="M689" s="24">
        <v>0.05</v>
      </c>
      <c r="N689" s="18"/>
      <c r="O689" s="22" t="s">
        <v>34</v>
      </c>
      <c r="P689" s="18">
        <f t="shared" si="105"/>
        <v>0</v>
      </c>
      <c r="Q689" s="22" t="s">
        <v>34</v>
      </c>
      <c r="R689" s="23">
        <f t="shared" si="106"/>
        <v>0</v>
      </c>
      <c r="S689" s="23">
        <f t="shared" si="104"/>
        <v>0</v>
      </c>
    </row>
    <row r="690" spans="1:19" s="26" customFormat="1">
      <c r="A690" s="107" t="s">
        <v>672</v>
      </c>
      <c r="B690" s="26" t="s">
        <v>26</v>
      </c>
      <c r="C690" s="27">
        <v>148</v>
      </c>
      <c r="D690" s="28" t="s">
        <v>34</v>
      </c>
      <c r="E690" s="29"/>
      <c r="F690" s="30">
        <v>1</v>
      </c>
      <c r="G690" s="31" t="s">
        <v>21</v>
      </c>
      <c r="H690" s="30">
        <v>50</v>
      </c>
      <c r="I690" s="31" t="s">
        <v>34</v>
      </c>
      <c r="J690" s="32">
        <f>1375000/50</f>
        <v>27500</v>
      </c>
      <c r="K690" s="28" t="s">
        <v>34</v>
      </c>
      <c r="L690" s="33"/>
      <c r="M690" s="33">
        <v>0.17</v>
      </c>
      <c r="N690" s="27">
        <v>10</v>
      </c>
      <c r="O690" s="31" t="s">
        <v>34</v>
      </c>
      <c r="P690" s="27">
        <f t="shared" si="105"/>
        <v>138</v>
      </c>
      <c r="Q690" s="31" t="s">
        <v>34</v>
      </c>
      <c r="R690" s="32">
        <f t="shared" si="106"/>
        <v>3149850</v>
      </c>
      <c r="S690" s="32">
        <f t="shared" si="104"/>
        <v>2837702.7027027025</v>
      </c>
    </row>
    <row r="691" spans="1:19" s="26" customFormat="1">
      <c r="A691" s="107" t="s">
        <v>673</v>
      </c>
      <c r="B691" s="26" t="s">
        <v>26</v>
      </c>
      <c r="C691" s="27">
        <v>333</v>
      </c>
      <c r="D691" s="28" t="s">
        <v>34</v>
      </c>
      <c r="E691" s="29"/>
      <c r="F691" s="30">
        <v>1</v>
      </c>
      <c r="G691" s="31" t="s">
        <v>21</v>
      </c>
      <c r="H691" s="30">
        <v>50</v>
      </c>
      <c r="I691" s="31" t="s">
        <v>34</v>
      </c>
      <c r="J691" s="32">
        <f>1375000/50</f>
        <v>27500</v>
      </c>
      <c r="K691" s="28" t="s">
        <v>34</v>
      </c>
      <c r="L691" s="33"/>
      <c r="M691" s="33">
        <v>0.17</v>
      </c>
      <c r="N691" s="27"/>
      <c r="O691" s="31" t="s">
        <v>34</v>
      </c>
      <c r="P691" s="27">
        <f t="shared" si="105"/>
        <v>333</v>
      </c>
      <c r="Q691" s="31" t="s">
        <v>34</v>
      </c>
      <c r="R691" s="32">
        <f t="shared" si="106"/>
        <v>7600725</v>
      </c>
      <c r="S691" s="32">
        <f t="shared" si="104"/>
        <v>6847499.9999999991</v>
      </c>
    </row>
    <row r="692" spans="1:19" s="17" customFormat="1">
      <c r="A692" s="93" t="s">
        <v>674</v>
      </c>
      <c r="B692" s="17" t="s">
        <v>26</v>
      </c>
      <c r="C692" s="18"/>
      <c r="D692" s="19" t="s">
        <v>34</v>
      </c>
      <c r="E692" s="20"/>
      <c r="F692" s="21">
        <v>1</v>
      </c>
      <c r="G692" s="22" t="s">
        <v>21</v>
      </c>
      <c r="H692" s="21">
        <v>50</v>
      </c>
      <c r="I692" s="22" t="s">
        <v>34</v>
      </c>
      <c r="J692" s="23">
        <v>28500</v>
      </c>
      <c r="K692" s="19" t="s">
        <v>34</v>
      </c>
      <c r="L692" s="24"/>
      <c r="M692" s="24">
        <v>0.17</v>
      </c>
      <c r="N692" s="18"/>
      <c r="O692" s="22" t="s">
        <v>34</v>
      </c>
      <c r="P692" s="18">
        <f t="shared" si="105"/>
        <v>0</v>
      </c>
      <c r="Q692" s="22" t="s">
        <v>34</v>
      </c>
      <c r="R692" s="23">
        <f t="shared" si="106"/>
        <v>0</v>
      </c>
      <c r="S692" s="23">
        <f t="shared" si="104"/>
        <v>0</v>
      </c>
    </row>
    <row r="693" spans="1:19" s="17" customFormat="1">
      <c r="A693" s="93" t="s">
        <v>675</v>
      </c>
      <c r="B693" s="17" t="s">
        <v>26</v>
      </c>
      <c r="C693" s="18"/>
      <c r="D693" s="19" t="s">
        <v>34</v>
      </c>
      <c r="E693" s="20"/>
      <c r="F693" s="21">
        <v>1</v>
      </c>
      <c r="G693" s="22" t="s">
        <v>21</v>
      </c>
      <c r="H693" s="21">
        <v>50</v>
      </c>
      <c r="I693" s="22" t="s">
        <v>34</v>
      </c>
      <c r="J693" s="23">
        <v>28500</v>
      </c>
      <c r="K693" s="19" t="s">
        <v>34</v>
      </c>
      <c r="L693" s="24"/>
      <c r="M693" s="24">
        <v>0.17</v>
      </c>
      <c r="N693" s="18"/>
      <c r="O693" s="22" t="s">
        <v>34</v>
      </c>
      <c r="P693" s="18">
        <f t="shared" si="105"/>
        <v>0</v>
      </c>
      <c r="Q693" s="22" t="s">
        <v>34</v>
      </c>
      <c r="R693" s="23">
        <f t="shared" si="106"/>
        <v>0</v>
      </c>
      <c r="S693" s="23">
        <f t="shared" si="104"/>
        <v>0</v>
      </c>
    </row>
    <row r="694" spans="1:19" s="45" customFormat="1">
      <c r="A694" s="107" t="s">
        <v>676</v>
      </c>
      <c r="B694" s="45" t="s">
        <v>26</v>
      </c>
      <c r="C694" s="46">
        <v>200</v>
      </c>
      <c r="D694" s="47" t="s">
        <v>34</v>
      </c>
      <c r="E694" s="48">
        <f>3+4</f>
        <v>7</v>
      </c>
      <c r="F694" s="49">
        <v>1</v>
      </c>
      <c r="G694" s="50" t="s">
        <v>21</v>
      </c>
      <c r="H694" s="49">
        <v>50</v>
      </c>
      <c r="I694" s="50" t="s">
        <v>34</v>
      </c>
      <c r="J694" s="51">
        <f>1375000/50</f>
        <v>27500</v>
      </c>
      <c r="K694" s="47" t="s">
        <v>34</v>
      </c>
      <c r="L694" s="52"/>
      <c r="M694" s="52">
        <v>0.17</v>
      </c>
      <c r="N694" s="46"/>
      <c r="O694" s="50" t="s">
        <v>34</v>
      </c>
      <c r="P694" s="46">
        <f t="shared" si="105"/>
        <v>550</v>
      </c>
      <c r="Q694" s="50" t="s">
        <v>34</v>
      </c>
      <c r="R694" s="51">
        <f t="shared" si="106"/>
        <v>12553750</v>
      </c>
      <c r="S694" s="51">
        <f t="shared" si="104"/>
        <v>11309684.684684685</v>
      </c>
    </row>
    <row r="695" spans="1:19" s="45" customFormat="1">
      <c r="A695" s="107" t="s">
        <v>677</v>
      </c>
      <c r="B695" s="45" t="s">
        <v>26</v>
      </c>
      <c r="C695" s="46">
        <v>46</v>
      </c>
      <c r="D695" s="47" t="s">
        <v>34</v>
      </c>
      <c r="E695" s="48">
        <f>2+2</f>
        <v>4</v>
      </c>
      <c r="F695" s="49">
        <v>1</v>
      </c>
      <c r="G695" s="50" t="s">
        <v>21</v>
      </c>
      <c r="H695" s="49">
        <v>50</v>
      </c>
      <c r="I695" s="50" t="s">
        <v>34</v>
      </c>
      <c r="J695" s="51">
        <f>1375000/50</f>
        <v>27500</v>
      </c>
      <c r="K695" s="47" t="s">
        <v>34</v>
      </c>
      <c r="L695" s="52"/>
      <c r="M695" s="52">
        <v>0.17</v>
      </c>
      <c r="N695" s="46">
        <v>2</v>
      </c>
      <c r="O695" s="50" t="s">
        <v>34</v>
      </c>
      <c r="P695" s="46">
        <f t="shared" si="105"/>
        <v>244</v>
      </c>
      <c r="Q695" s="50" t="s">
        <v>34</v>
      </c>
      <c r="R695" s="51">
        <f t="shared" si="106"/>
        <v>5569300</v>
      </c>
      <c r="S695" s="51">
        <f t="shared" si="104"/>
        <v>5017387.3873873865</v>
      </c>
    </row>
    <row r="696" spans="1:19">
      <c r="S696" s="23"/>
    </row>
    <row r="697" spans="1:19" ht="15.75">
      <c r="A697" s="14" t="s">
        <v>678</v>
      </c>
      <c r="S697" s="23"/>
    </row>
    <row r="698" spans="1:19">
      <c r="A698" s="15" t="s">
        <v>679</v>
      </c>
      <c r="S698" s="23"/>
    </row>
    <row r="699" spans="1:19" s="63" customFormat="1">
      <c r="A699" s="111" t="s">
        <v>680</v>
      </c>
      <c r="B699" s="63" t="s">
        <v>192</v>
      </c>
      <c r="C699" s="64"/>
      <c r="D699" s="65" t="s">
        <v>292</v>
      </c>
      <c r="E699" s="66"/>
      <c r="F699" s="67">
        <v>1</v>
      </c>
      <c r="G699" s="68" t="s">
        <v>21</v>
      </c>
      <c r="H699" s="67">
        <v>720</v>
      </c>
      <c r="I699" s="68" t="s">
        <v>292</v>
      </c>
      <c r="J699" s="69">
        <v>3100</v>
      </c>
      <c r="K699" s="65" t="s">
        <v>292</v>
      </c>
      <c r="L699" s="70"/>
      <c r="M699" s="70">
        <v>0.15</v>
      </c>
      <c r="N699" s="64"/>
      <c r="O699" s="68" t="s">
        <v>292</v>
      </c>
      <c r="P699" s="64">
        <f t="shared" ref="P699:P707" si="107">(C699+(E699*F699*H699))-N699</f>
        <v>0</v>
      </c>
      <c r="Q699" s="68" t="s">
        <v>292</v>
      </c>
      <c r="R699" s="69">
        <f t="shared" ref="R699:R707" si="108">P699*(J699-(J699*L699)-((J699-(J699*L699))*M699))</f>
        <v>0</v>
      </c>
      <c r="S699" s="23">
        <f t="shared" si="104"/>
        <v>0</v>
      </c>
    </row>
    <row r="700" spans="1:19" s="63" customFormat="1">
      <c r="A700" s="111" t="s">
        <v>681</v>
      </c>
      <c r="B700" s="63" t="s">
        <v>192</v>
      </c>
      <c r="C700" s="64"/>
      <c r="D700" s="65" t="s">
        <v>292</v>
      </c>
      <c r="E700" s="66"/>
      <c r="F700" s="67">
        <v>1</v>
      </c>
      <c r="G700" s="68" t="s">
        <v>21</v>
      </c>
      <c r="H700" s="67">
        <v>480</v>
      </c>
      <c r="I700" s="68" t="s">
        <v>292</v>
      </c>
      <c r="J700" s="69">
        <v>4750</v>
      </c>
      <c r="K700" s="65" t="s">
        <v>292</v>
      </c>
      <c r="L700" s="70"/>
      <c r="M700" s="70">
        <v>0.15</v>
      </c>
      <c r="N700" s="64"/>
      <c r="O700" s="68" t="s">
        <v>292</v>
      </c>
      <c r="P700" s="64">
        <f t="shared" si="107"/>
        <v>0</v>
      </c>
      <c r="Q700" s="68" t="s">
        <v>292</v>
      </c>
      <c r="R700" s="69">
        <f t="shared" si="108"/>
        <v>0</v>
      </c>
      <c r="S700" s="23">
        <f t="shared" si="104"/>
        <v>0</v>
      </c>
    </row>
    <row r="701" spans="1:19" s="17" customFormat="1">
      <c r="A701" s="111" t="s">
        <v>682</v>
      </c>
      <c r="B701" s="63" t="s">
        <v>192</v>
      </c>
      <c r="C701" s="18"/>
      <c r="D701" s="19" t="s">
        <v>292</v>
      </c>
      <c r="E701" s="20"/>
      <c r="F701" s="21">
        <v>1</v>
      </c>
      <c r="G701" s="22" t="s">
        <v>21</v>
      </c>
      <c r="H701" s="21">
        <v>360</v>
      </c>
      <c r="I701" s="22" t="s">
        <v>292</v>
      </c>
      <c r="J701" s="23">
        <v>6000</v>
      </c>
      <c r="K701" s="19" t="s">
        <v>292</v>
      </c>
      <c r="L701" s="24"/>
      <c r="M701" s="24">
        <v>0.15</v>
      </c>
      <c r="N701" s="64"/>
      <c r="O701" s="22" t="s">
        <v>292</v>
      </c>
      <c r="P701" s="18">
        <f t="shared" si="107"/>
        <v>0</v>
      </c>
      <c r="Q701" s="22" t="s">
        <v>292</v>
      </c>
      <c r="R701" s="23">
        <f t="shared" si="108"/>
        <v>0</v>
      </c>
      <c r="S701" s="23">
        <f t="shared" si="104"/>
        <v>0</v>
      </c>
    </row>
    <row r="702" spans="1:19" s="17" customFormat="1">
      <c r="A702" s="93" t="s">
        <v>683</v>
      </c>
      <c r="B702" s="17" t="s">
        <v>19</v>
      </c>
      <c r="C702" s="18"/>
      <c r="D702" s="19" t="s">
        <v>292</v>
      </c>
      <c r="E702" s="20"/>
      <c r="F702" s="21">
        <v>10</v>
      </c>
      <c r="G702" s="22" t="s">
        <v>104</v>
      </c>
      <c r="H702" s="21">
        <v>24</v>
      </c>
      <c r="I702" s="22" t="s">
        <v>292</v>
      </c>
      <c r="J702" s="23">
        <v>2300</v>
      </c>
      <c r="K702" s="19" t="s">
        <v>292</v>
      </c>
      <c r="L702" s="24">
        <v>0.125</v>
      </c>
      <c r="M702" s="24">
        <v>0.05</v>
      </c>
      <c r="N702" s="18"/>
      <c r="O702" s="22" t="s">
        <v>292</v>
      </c>
      <c r="P702" s="18">
        <f t="shared" si="107"/>
        <v>0</v>
      </c>
      <c r="Q702" s="22" t="s">
        <v>292</v>
      </c>
      <c r="R702" s="23">
        <f t="shared" si="108"/>
        <v>0</v>
      </c>
      <c r="S702" s="23">
        <f t="shared" si="104"/>
        <v>0</v>
      </c>
    </row>
    <row r="703" spans="1:19" s="17" customFormat="1">
      <c r="A703" s="93" t="s">
        <v>684</v>
      </c>
      <c r="B703" s="17" t="s">
        <v>19</v>
      </c>
      <c r="C703" s="18"/>
      <c r="D703" s="19" t="s">
        <v>292</v>
      </c>
      <c r="E703" s="20"/>
      <c r="F703" s="21">
        <v>10</v>
      </c>
      <c r="G703" s="22" t="s">
        <v>104</v>
      </c>
      <c r="H703" s="21">
        <v>12</v>
      </c>
      <c r="I703" s="22" t="s">
        <v>292</v>
      </c>
      <c r="J703" s="23">
        <v>4600</v>
      </c>
      <c r="K703" s="19" t="s">
        <v>292</v>
      </c>
      <c r="L703" s="24">
        <v>0.125</v>
      </c>
      <c r="M703" s="24">
        <v>0.05</v>
      </c>
      <c r="N703" s="18"/>
      <c r="O703" s="22" t="s">
        <v>292</v>
      </c>
      <c r="P703" s="18">
        <f t="shared" si="107"/>
        <v>0</v>
      </c>
      <c r="Q703" s="22" t="s">
        <v>292</v>
      </c>
      <c r="R703" s="23">
        <f t="shared" si="108"/>
        <v>0</v>
      </c>
      <c r="S703" s="23">
        <f t="shared" si="104"/>
        <v>0</v>
      </c>
    </row>
    <row r="704" spans="1:19" s="17" customFormat="1">
      <c r="A704" s="109" t="s">
        <v>685</v>
      </c>
      <c r="B704" s="17" t="s">
        <v>26</v>
      </c>
      <c r="C704" s="18"/>
      <c r="D704" s="19" t="s">
        <v>292</v>
      </c>
      <c r="E704" s="20"/>
      <c r="F704" s="21">
        <v>1</v>
      </c>
      <c r="G704" s="22" t="s">
        <v>21</v>
      </c>
      <c r="H704" s="21">
        <v>480</v>
      </c>
      <c r="I704" s="22" t="s">
        <v>292</v>
      </c>
      <c r="J704" s="23">
        <f>588000/480</f>
        <v>1225</v>
      </c>
      <c r="K704" s="19" t="s">
        <v>292</v>
      </c>
      <c r="L704" s="24"/>
      <c r="M704" s="24">
        <v>0.17</v>
      </c>
      <c r="N704" s="18"/>
      <c r="O704" s="22" t="s">
        <v>292</v>
      </c>
      <c r="P704" s="18">
        <f t="shared" si="107"/>
        <v>0</v>
      </c>
      <c r="Q704" s="22" t="s">
        <v>292</v>
      </c>
      <c r="R704" s="23">
        <f t="shared" si="108"/>
        <v>0</v>
      </c>
      <c r="S704" s="23">
        <f t="shared" si="104"/>
        <v>0</v>
      </c>
    </row>
    <row r="705" spans="1:19" s="17" customFormat="1">
      <c r="A705" s="109" t="s">
        <v>686</v>
      </c>
      <c r="B705" s="17" t="s">
        <v>26</v>
      </c>
      <c r="C705" s="18"/>
      <c r="D705" s="19" t="s">
        <v>292</v>
      </c>
      <c r="E705" s="20"/>
      <c r="F705" s="21">
        <v>1</v>
      </c>
      <c r="G705" s="22" t="s">
        <v>21</v>
      </c>
      <c r="H705" s="21">
        <v>240</v>
      </c>
      <c r="I705" s="22" t="s">
        <v>292</v>
      </c>
      <c r="J705" s="23">
        <f>588000/240</f>
        <v>2450</v>
      </c>
      <c r="K705" s="19" t="s">
        <v>292</v>
      </c>
      <c r="L705" s="24"/>
      <c r="M705" s="24">
        <v>0.17</v>
      </c>
      <c r="N705" s="18"/>
      <c r="O705" s="22" t="s">
        <v>292</v>
      </c>
      <c r="P705" s="18">
        <f t="shared" si="107"/>
        <v>0</v>
      </c>
      <c r="Q705" s="22" t="s">
        <v>292</v>
      </c>
      <c r="R705" s="23">
        <f t="shared" si="108"/>
        <v>0</v>
      </c>
      <c r="S705" s="23">
        <f t="shared" si="104"/>
        <v>0</v>
      </c>
    </row>
    <row r="706" spans="1:19" s="17" customFormat="1">
      <c r="A706" s="109" t="s">
        <v>687</v>
      </c>
      <c r="B706" s="17" t="s">
        <v>26</v>
      </c>
      <c r="C706" s="18"/>
      <c r="D706" s="19" t="s">
        <v>292</v>
      </c>
      <c r="E706" s="20"/>
      <c r="F706" s="21">
        <v>1</v>
      </c>
      <c r="G706" s="22" t="s">
        <v>21</v>
      </c>
      <c r="H706" s="21">
        <v>120</v>
      </c>
      <c r="I706" s="22" t="s">
        <v>292</v>
      </c>
      <c r="J706" s="23">
        <v>4800</v>
      </c>
      <c r="K706" s="19" t="s">
        <v>292</v>
      </c>
      <c r="L706" s="24"/>
      <c r="M706" s="24">
        <v>0.17</v>
      </c>
      <c r="N706" s="18"/>
      <c r="O706" s="22" t="s">
        <v>292</v>
      </c>
      <c r="P706" s="18">
        <f t="shared" si="107"/>
        <v>0</v>
      </c>
      <c r="Q706" s="22" t="s">
        <v>292</v>
      </c>
      <c r="R706" s="23">
        <f t="shared" si="108"/>
        <v>0</v>
      </c>
      <c r="S706" s="23">
        <f t="shared" si="104"/>
        <v>0</v>
      </c>
    </row>
    <row r="707" spans="1:19" s="17" customFormat="1">
      <c r="A707" s="109" t="s">
        <v>688</v>
      </c>
      <c r="B707" s="17" t="s">
        <v>26</v>
      </c>
      <c r="C707" s="18"/>
      <c r="D707" s="19" t="s">
        <v>292</v>
      </c>
      <c r="E707" s="20"/>
      <c r="F707" s="21">
        <v>1</v>
      </c>
      <c r="G707" s="22" t="s">
        <v>21</v>
      </c>
      <c r="H707" s="21">
        <v>120</v>
      </c>
      <c r="I707" s="22" t="s">
        <v>292</v>
      </c>
      <c r="J707" s="23">
        <v>9500</v>
      </c>
      <c r="K707" s="19" t="s">
        <v>292</v>
      </c>
      <c r="L707" s="24"/>
      <c r="M707" s="24">
        <v>0.17</v>
      </c>
      <c r="N707" s="18"/>
      <c r="O707" s="22" t="s">
        <v>292</v>
      </c>
      <c r="P707" s="18">
        <f t="shared" si="107"/>
        <v>0</v>
      </c>
      <c r="Q707" s="22" t="s">
        <v>292</v>
      </c>
      <c r="R707" s="23">
        <f t="shared" si="108"/>
        <v>0</v>
      </c>
      <c r="S707" s="23">
        <f t="shared" si="104"/>
        <v>0</v>
      </c>
    </row>
    <row r="708" spans="1:19">
      <c r="A708" s="15" t="s">
        <v>689</v>
      </c>
      <c r="S708" s="23"/>
    </row>
    <row r="709" spans="1:19" s="85" customFormat="1">
      <c r="A709" s="84" t="s">
        <v>690</v>
      </c>
      <c r="B709" s="85" t="s">
        <v>26</v>
      </c>
      <c r="C709" s="86">
        <v>144</v>
      </c>
      <c r="D709" s="87" t="s">
        <v>292</v>
      </c>
      <c r="E709" s="92"/>
      <c r="F709" s="88">
        <v>1</v>
      </c>
      <c r="G709" s="89" t="s">
        <v>21</v>
      </c>
      <c r="H709" s="88">
        <v>72</v>
      </c>
      <c r="I709" s="89" t="s">
        <v>292</v>
      </c>
      <c r="J709" s="90">
        <f>900000/72</f>
        <v>12500</v>
      </c>
      <c r="K709" s="87" t="s">
        <v>292</v>
      </c>
      <c r="L709" s="91"/>
      <c r="M709" s="91">
        <v>0.17</v>
      </c>
      <c r="N709" s="86"/>
      <c r="O709" s="89" t="s">
        <v>292</v>
      </c>
      <c r="P709" s="86">
        <f>(C709+(E709*F709*H709))-N709</f>
        <v>144</v>
      </c>
      <c r="Q709" s="89" t="s">
        <v>292</v>
      </c>
      <c r="R709" s="90">
        <f>P709*(J709-(J709*L709)-((J709-(J709*L709))*M709))</f>
        <v>1494000</v>
      </c>
      <c r="S709" s="32">
        <f t="shared" si="104"/>
        <v>1345945.9459459458</v>
      </c>
    </row>
    <row r="710" spans="1:19" s="17" customFormat="1">
      <c r="A710" s="16" t="s">
        <v>691</v>
      </c>
      <c r="B710" s="17" t="s">
        <v>26</v>
      </c>
      <c r="C710" s="18"/>
      <c r="D710" s="19" t="s">
        <v>292</v>
      </c>
      <c r="E710" s="20"/>
      <c r="F710" s="21">
        <v>1</v>
      </c>
      <c r="G710" s="22" t="s">
        <v>21</v>
      </c>
      <c r="H710" s="21">
        <v>72</v>
      </c>
      <c r="I710" s="22" t="s">
        <v>292</v>
      </c>
      <c r="J710" s="23">
        <f>900000/72</f>
        <v>12500</v>
      </c>
      <c r="K710" s="19" t="s">
        <v>292</v>
      </c>
      <c r="L710" s="24"/>
      <c r="M710" s="24">
        <v>0.17</v>
      </c>
      <c r="N710" s="18"/>
      <c r="O710" s="22" t="s">
        <v>292</v>
      </c>
      <c r="P710" s="18">
        <f>(C710+(E710*F710*H710))-N710</f>
        <v>0</v>
      </c>
      <c r="Q710" s="22" t="s">
        <v>292</v>
      </c>
      <c r="R710" s="23">
        <f>P710*(J710-(J710*L710)-((J710-(J710*L710))*M710))</f>
        <v>0</v>
      </c>
      <c r="S710" s="23">
        <f t="shared" si="104"/>
        <v>0</v>
      </c>
    </row>
    <row r="711" spans="1:19" s="26" customFormat="1">
      <c r="A711" s="25" t="s">
        <v>692</v>
      </c>
      <c r="B711" s="26" t="s">
        <v>26</v>
      </c>
      <c r="C711" s="27">
        <v>282</v>
      </c>
      <c r="D711" s="28" t="s">
        <v>292</v>
      </c>
      <c r="E711" s="29"/>
      <c r="F711" s="30">
        <v>1</v>
      </c>
      <c r="G711" s="31" t="s">
        <v>21</v>
      </c>
      <c r="H711" s="30">
        <v>72</v>
      </c>
      <c r="I711" s="31" t="s">
        <v>292</v>
      </c>
      <c r="J711" s="32">
        <f>705600/72</f>
        <v>9800</v>
      </c>
      <c r="K711" s="28" t="s">
        <v>292</v>
      </c>
      <c r="L711" s="33"/>
      <c r="M711" s="33">
        <v>0.17</v>
      </c>
      <c r="N711" s="27">
        <v>72</v>
      </c>
      <c r="O711" s="31" t="s">
        <v>292</v>
      </c>
      <c r="P711" s="27">
        <f>(C711+(E711*F711*H711))-N711</f>
        <v>210</v>
      </c>
      <c r="Q711" s="31" t="s">
        <v>292</v>
      </c>
      <c r="R711" s="32">
        <f>P711*(J711-(J711*L711)-((J711-(J711*L711))*M711))</f>
        <v>1708140</v>
      </c>
      <c r="S711" s="32">
        <f t="shared" si="104"/>
        <v>1538864.8648648646</v>
      </c>
    </row>
    <row r="712" spans="1:19" s="26" customFormat="1">
      <c r="A712" s="25" t="s">
        <v>693</v>
      </c>
      <c r="B712" s="26" t="s">
        <v>26</v>
      </c>
      <c r="C712" s="27">
        <v>60</v>
      </c>
      <c r="D712" s="28" t="s">
        <v>292</v>
      </c>
      <c r="E712" s="29"/>
      <c r="F712" s="30">
        <v>1</v>
      </c>
      <c r="G712" s="31" t="s">
        <v>21</v>
      </c>
      <c r="H712" s="30">
        <v>72</v>
      </c>
      <c r="I712" s="31" t="s">
        <v>292</v>
      </c>
      <c r="J712" s="32">
        <f>705600/72</f>
        <v>9800</v>
      </c>
      <c r="K712" s="28" t="s">
        <v>292</v>
      </c>
      <c r="L712" s="33"/>
      <c r="M712" s="33">
        <v>0.17</v>
      </c>
      <c r="N712" s="27">
        <v>24</v>
      </c>
      <c r="O712" s="31" t="s">
        <v>292</v>
      </c>
      <c r="P712" s="27">
        <f>(C712+(E712*F712*H712))-N712</f>
        <v>36</v>
      </c>
      <c r="Q712" s="31" t="s">
        <v>292</v>
      </c>
      <c r="R712" s="32">
        <f>P712*(J712-(J712*L712)-((J712-(J712*L712))*M712))</f>
        <v>292824</v>
      </c>
      <c r="S712" s="32">
        <f t="shared" si="104"/>
        <v>263805.40540540538</v>
      </c>
    </row>
    <row r="713" spans="1:19">
      <c r="A713" s="15" t="s">
        <v>694</v>
      </c>
      <c r="S713" s="23">
        <f t="shared" si="104"/>
        <v>0</v>
      </c>
    </row>
    <row r="714" spans="1:19">
      <c r="A714" s="34" t="s">
        <v>695</v>
      </c>
      <c r="B714" s="2" t="s">
        <v>26</v>
      </c>
      <c r="C714" s="3">
        <v>108</v>
      </c>
      <c r="D714" s="4" t="s">
        <v>292</v>
      </c>
      <c r="F714" s="6">
        <v>1</v>
      </c>
      <c r="G714" s="7" t="s">
        <v>21</v>
      </c>
      <c r="H714" s="6">
        <v>120</v>
      </c>
      <c r="I714" s="7" t="s">
        <v>292</v>
      </c>
      <c r="J714" s="8">
        <f>762000/120</f>
        <v>6350</v>
      </c>
      <c r="K714" s="4" t="s">
        <v>292</v>
      </c>
      <c r="M714" s="9">
        <v>0.17</v>
      </c>
      <c r="O714" s="7" t="s">
        <v>292</v>
      </c>
      <c r="P714" s="3">
        <f>(C714+(E714*F714*H714))-N714</f>
        <v>108</v>
      </c>
      <c r="Q714" s="7" t="s">
        <v>292</v>
      </c>
      <c r="R714" s="8">
        <f>P714*(J714-(J714*L714)-((J714-(J714*L714))*M714))</f>
        <v>569214</v>
      </c>
      <c r="S714" s="32">
        <f t="shared" si="104"/>
        <v>512805.40540540538</v>
      </c>
    </row>
    <row r="715" spans="1:19" s="17" customFormat="1">
      <c r="A715" s="16" t="s">
        <v>696</v>
      </c>
      <c r="B715" s="17" t="s">
        <v>26</v>
      </c>
      <c r="C715" s="18"/>
      <c r="D715" s="19" t="s">
        <v>292</v>
      </c>
      <c r="E715" s="20"/>
      <c r="F715" s="21">
        <v>1</v>
      </c>
      <c r="G715" s="22" t="s">
        <v>21</v>
      </c>
      <c r="H715" s="21">
        <v>80</v>
      </c>
      <c r="I715" s="22" t="s">
        <v>292</v>
      </c>
      <c r="J715" s="23">
        <f>732000/80</f>
        <v>9150</v>
      </c>
      <c r="K715" s="19" t="s">
        <v>292</v>
      </c>
      <c r="L715" s="24"/>
      <c r="M715" s="24">
        <v>0.17</v>
      </c>
      <c r="N715" s="18"/>
      <c r="O715" s="22" t="s">
        <v>292</v>
      </c>
      <c r="P715" s="18">
        <f>(C715+(E715*F715*H715))-N715</f>
        <v>0</v>
      </c>
      <c r="Q715" s="22" t="s">
        <v>292</v>
      </c>
      <c r="R715" s="23">
        <f>P715*(J715-(J715*L715)-((J715-(J715*L715))*M715))</f>
        <v>0</v>
      </c>
      <c r="S715" s="23">
        <f t="shared" si="104"/>
        <v>0</v>
      </c>
    </row>
    <row r="716" spans="1:19" s="26" customFormat="1">
      <c r="A716" s="25" t="s">
        <v>697</v>
      </c>
      <c r="B716" s="26" t="s">
        <v>26</v>
      </c>
      <c r="C716" s="27">
        <v>234</v>
      </c>
      <c r="D716" s="28" t="s">
        <v>292</v>
      </c>
      <c r="E716" s="29"/>
      <c r="F716" s="30">
        <v>1</v>
      </c>
      <c r="G716" s="31" t="s">
        <v>21</v>
      </c>
      <c r="H716" s="30">
        <v>60</v>
      </c>
      <c r="I716" s="31" t="s">
        <v>292</v>
      </c>
      <c r="J716" s="32">
        <f>732000/60</f>
        <v>12200</v>
      </c>
      <c r="K716" s="28" t="s">
        <v>292</v>
      </c>
      <c r="L716" s="33"/>
      <c r="M716" s="33">
        <v>0.17</v>
      </c>
      <c r="N716" s="27"/>
      <c r="O716" s="31" t="s">
        <v>292</v>
      </c>
      <c r="P716" s="27">
        <f>(C716+(E716*F716*H716))-N716</f>
        <v>234</v>
      </c>
      <c r="Q716" s="31" t="s">
        <v>292</v>
      </c>
      <c r="R716" s="32">
        <f>P716*(J716-(J716*L716)-((J716-(J716*L716))*M716))</f>
        <v>2369484</v>
      </c>
      <c r="S716" s="32">
        <f t="shared" si="104"/>
        <v>2134670.2702702703</v>
      </c>
    </row>
    <row r="717" spans="1:19" s="17" customFormat="1">
      <c r="A717" s="16" t="s">
        <v>698</v>
      </c>
      <c r="B717" s="17" t="s">
        <v>26</v>
      </c>
      <c r="C717" s="18"/>
      <c r="D717" s="19" t="s">
        <v>292</v>
      </c>
      <c r="E717" s="20"/>
      <c r="F717" s="21">
        <v>1</v>
      </c>
      <c r="G717" s="22" t="s">
        <v>21</v>
      </c>
      <c r="H717" s="21">
        <v>60</v>
      </c>
      <c r="I717" s="22" t="s">
        <v>292</v>
      </c>
      <c r="J717" s="23">
        <f>852000/60</f>
        <v>14200</v>
      </c>
      <c r="K717" s="19" t="s">
        <v>292</v>
      </c>
      <c r="L717" s="24"/>
      <c r="M717" s="24">
        <v>0.17</v>
      </c>
      <c r="N717" s="18"/>
      <c r="O717" s="22" t="s">
        <v>292</v>
      </c>
      <c r="P717" s="18">
        <f>(C717+(E717*F717*H717))-N717</f>
        <v>0</v>
      </c>
      <c r="Q717" s="22" t="s">
        <v>292</v>
      </c>
      <c r="R717" s="23">
        <f>P717*(J717-(J717*L717)-((J717-(J717*L717))*M717))</f>
        <v>0</v>
      </c>
      <c r="S717" s="23">
        <f t="shared" si="104"/>
        <v>0</v>
      </c>
    </row>
    <row r="718" spans="1:19">
      <c r="S718" s="23"/>
    </row>
    <row r="719" spans="1:19" ht="15.75">
      <c r="A719" s="14" t="s">
        <v>699</v>
      </c>
      <c r="S719" s="23"/>
    </row>
    <row r="720" spans="1:19" s="17" customFormat="1">
      <c r="A720" s="16" t="s">
        <v>700</v>
      </c>
      <c r="B720" s="17" t="s">
        <v>19</v>
      </c>
      <c r="C720" s="18"/>
      <c r="D720" s="19" t="s">
        <v>20</v>
      </c>
      <c r="E720" s="20"/>
      <c r="F720" s="21">
        <v>1</v>
      </c>
      <c r="G720" s="22" t="s">
        <v>21</v>
      </c>
      <c r="H720" s="21">
        <v>24</v>
      </c>
      <c r="I720" s="22" t="s">
        <v>20</v>
      </c>
      <c r="J720" s="23">
        <v>17200</v>
      </c>
      <c r="K720" s="19" t="s">
        <v>20</v>
      </c>
      <c r="L720" s="24">
        <v>0.125</v>
      </c>
      <c r="M720" s="24">
        <v>0.05</v>
      </c>
      <c r="N720" s="18"/>
      <c r="O720" s="22" t="s">
        <v>20</v>
      </c>
      <c r="P720" s="18">
        <f t="shared" ref="P720:P735" si="109">(C720+(E720*F720*H720))-N720</f>
        <v>0</v>
      </c>
      <c r="Q720" s="22" t="s">
        <v>20</v>
      </c>
      <c r="R720" s="23">
        <f t="shared" ref="R720:R737" si="110">P720*(J720-(J720*L720)-((J720-(J720*L720))*M720))</f>
        <v>0</v>
      </c>
      <c r="S720" s="23">
        <f t="shared" si="104"/>
        <v>0</v>
      </c>
    </row>
    <row r="721" spans="1:19" s="17" customFormat="1">
      <c r="A721" s="16" t="s">
        <v>701</v>
      </c>
      <c r="B721" s="17" t="s">
        <v>19</v>
      </c>
      <c r="C721" s="18"/>
      <c r="D721" s="19" t="s">
        <v>20</v>
      </c>
      <c r="E721" s="20"/>
      <c r="F721" s="21">
        <v>1</v>
      </c>
      <c r="G721" s="22" t="s">
        <v>21</v>
      </c>
      <c r="H721" s="21">
        <v>24</v>
      </c>
      <c r="I721" s="22" t="s">
        <v>20</v>
      </c>
      <c r="J721" s="23">
        <v>21100</v>
      </c>
      <c r="K721" s="19" t="s">
        <v>20</v>
      </c>
      <c r="L721" s="24">
        <v>0.125</v>
      </c>
      <c r="M721" s="24">
        <v>0.05</v>
      </c>
      <c r="N721" s="18"/>
      <c r="O721" s="22" t="s">
        <v>20</v>
      </c>
      <c r="P721" s="18">
        <f t="shared" si="109"/>
        <v>0</v>
      </c>
      <c r="Q721" s="22" t="s">
        <v>20</v>
      </c>
      <c r="R721" s="23">
        <f t="shared" si="110"/>
        <v>0</v>
      </c>
      <c r="S721" s="23">
        <f t="shared" si="104"/>
        <v>0</v>
      </c>
    </row>
    <row r="722" spans="1:19" s="17" customFormat="1">
      <c r="A722" s="16" t="s">
        <v>702</v>
      </c>
      <c r="B722" s="17" t="s">
        <v>19</v>
      </c>
      <c r="C722" s="18"/>
      <c r="D722" s="19" t="s">
        <v>20</v>
      </c>
      <c r="E722" s="20"/>
      <c r="F722" s="21">
        <v>1</v>
      </c>
      <c r="G722" s="22" t="s">
        <v>21</v>
      </c>
      <c r="H722" s="21">
        <v>24</v>
      </c>
      <c r="I722" s="22" t="s">
        <v>20</v>
      </c>
      <c r="J722" s="23">
        <v>22500</v>
      </c>
      <c r="K722" s="19" t="s">
        <v>20</v>
      </c>
      <c r="L722" s="24">
        <v>0.125</v>
      </c>
      <c r="M722" s="24">
        <v>0.05</v>
      </c>
      <c r="N722" s="18"/>
      <c r="O722" s="22" t="s">
        <v>20</v>
      </c>
      <c r="P722" s="18">
        <f t="shared" si="109"/>
        <v>0</v>
      </c>
      <c r="Q722" s="22" t="s">
        <v>20</v>
      </c>
      <c r="R722" s="23">
        <f t="shared" si="110"/>
        <v>0</v>
      </c>
      <c r="S722" s="23">
        <f t="shared" si="104"/>
        <v>0</v>
      </c>
    </row>
    <row r="723" spans="1:19" s="63" customFormat="1">
      <c r="A723" s="72" t="s">
        <v>703</v>
      </c>
      <c r="B723" s="63" t="s">
        <v>19</v>
      </c>
      <c r="C723" s="64">
        <v>24</v>
      </c>
      <c r="D723" s="65" t="s">
        <v>20</v>
      </c>
      <c r="E723" s="66">
        <v>2</v>
      </c>
      <c r="F723" s="67">
        <v>1</v>
      </c>
      <c r="G723" s="68" t="s">
        <v>21</v>
      </c>
      <c r="H723" s="67">
        <v>24</v>
      </c>
      <c r="I723" s="68" t="s">
        <v>20</v>
      </c>
      <c r="J723" s="69">
        <v>10450</v>
      </c>
      <c r="K723" s="65" t="s">
        <v>20</v>
      </c>
      <c r="L723" s="70">
        <v>0.125</v>
      </c>
      <c r="M723" s="70">
        <v>0.05</v>
      </c>
      <c r="N723" s="64">
        <f>24+48</f>
        <v>72</v>
      </c>
      <c r="O723" s="68" t="s">
        <v>20</v>
      </c>
      <c r="P723" s="64">
        <f t="shared" si="109"/>
        <v>0</v>
      </c>
      <c r="Q723" s="68" t="s">
        <v>20</v>
      </c>
      <c r="R723" s="69">
        <f t="shared" si="110"/>
        <v>0</v>
      </c>
      <c r="S723" s="69">
        <f t="shared" si="104"/>
        <v>0</v>
      </c>
    </row>
    <row r="724" spans="1:19" s="45" customFormat="1">
      <c r="A724" s="44" t="s">
        <v>704</v>
      </c>
      <c r="B724" s="45" t="s">
        <v>19</v>
      </c>
      <c r="C724" s="46"/>
      <c r="D724" s="47" t="s">
        <v>20</v>
      </c>
      <c r="E724" s="48">
        <f>2+10+4+4</f>
        <v>20</v>
      </c>
      <c r="F724" s="49">
        <v>1</v>
      </c>
      <c r="G724" s="50" t="s">
        <v>21</v>
      </c>
      <c r="H724" s="49">
        <v>24</v>
      </c>
      <c r="I724" s="50" t="s">
        <v>20</v>
      </c>
      <c r="J724" s="51">
        <v>18150</v>
      </c>
      <c r="K724" s="47" t="s">
        <v>20</v>
      </c>
      <c r="L724" s="52">
        <v>0.125</v>
      </c>
      <c r="M724" s="52">
        <v>0.05</v>
      </c>
      <c r="N724" s="46">
        <f>240+48+96+48</f>
        <v>432</v>
      </c>
      <c r="O724" s="50" t="s">
        <v>20</v>
      </c>
      <c r="P724" s="46">
        <f t="shared" si="109"/>
        <v>48</v>
      </c>
      <c r="Q724" s="50" t="s">
        <v>20</v>
      </c>
      <c r="R724" s="51">
        <f t="shared" si="110"/>
        <v>724185</v>
      </c>
      <c r="S724" s="32">
        <f t="shared" si="104"/>
        <v>652418.91891891882</v>
      </c>
    </row>
    <row r="725" spans="1:19" s="63" customFormat="1">
      <c r="A725" s="72" t="s">
        <v>705</v>
      </c>
      <c r="B725" s="63" t="s">
        <v>19</v>
      </c>
      <c r="C725" s="64"/>
      <c r="D725" s="65" t="s">
        <v>20</v>
      </c>
      <c r="E725" s="66"/>
      <c r="F725" s="67">
        <v>1</v>
      </c>
      <c r="G725" s="68" t="s">
        <v>21</v>
      </c>
      <c r="H725" s="67">
        <v>24</v>
      </c>
      <c r="I725" s="68" t="s">
        <v>20</v>
      </c>
      <c r="J725" s="69">
        <v>15000</v>
      </c>
      <c r="K725" s="65" t="s">
        <v>20</v>
      </c>
      <c r="L725" s="70">
        <v>0.125</v>
      </c>
      <c r="M725" s="70">
        <v>0.05</v>
      </c>
      <c r="N725" s="64"/>
      <c r="O725" s="68" t="s">
        <v>20</v>
      </c>
      <c r="P725" s="64">
        <f t="shared" si="109"/>
        <v>0</v>
      </c>
      <c r="Q725" s="68" t="s">
        <v>20</v>
      </c>
      <c r="R725" s="69">
        <f t="shared" si="110"/>
        <v>0</v>
      </c>
      <c r="S725" s="23">
        <f t="shared" si="104"/>
        <v>0</v>
      </c>
    </row>
    <row r="726" spans="1:19" s="45" customFormat="1">
      <c r="A726" s="44" t="s">
        <v>706</v>
      </c>
      <c r="B726" s="45" t="s">
        <v>19</v>
      </c>
      <c r="C726" s="46">
        <v>73</v>
      </c>
      <c r="D726" s="47" t="s">
        <v>20</v>
      </c>
      <c r="E726" s="48"/>
      <c r="F726" s="49">
        <v>1</v>
      </c>
      <c r="G726" s="50" t="s">
        <v>21</v>
      </c>
      <c r="H726" s="49">
        <v>96</v>
      </c>
      <c r="I726" s="50" t="s">
        <v>20</v>
      </c>
      <c r="J726" s="51">
        <v>14000</v>
      </c>
      <c r="K726" s="47" t="s">
        <v>20</v>
      </c>
      <c r="L726" s="52">
        <v>0.125</v>
      </c>
      <c r="M726" s="52">
        <v>0.05</v>
      </c>
      <c r="N726" s="46"/>
      <c r="O726" s="50" t="s">
        <v>20</v>
      </c>
      <c r="P726" s="46">
        <f t="shared" si="109"/>
        <v>73</v>
      </c>
      <c r="Q726" s="50" t="s">
        <v>20</v>
      </c>
      <c r="R726" s="51">
        <f t="shared" si="110"/>
        <v>849537.5</v>
      </c>
      <c r="S726" s="32">
        <f t="shared" si="104"/>
        <v>765349.09909909905</v>
      </c>
    </row>
    <row r="727" spans="1:19" s="26" customFormat="1">
      <c r="A727" s="25" t="s">
        <v>707</v>
      </c>
      <c r="B727" s="26" t="s">
        <v>19</v>
      </c>
      <c r="C727" s="27"/>
      <c r="D727" s="28" t="s">
        <v>20</v>
      </c>
      <c r="E727" s="29">
        <v>2</v>
      </c>
      <c r="F727" s="30">
        <v>1</v>
      </c>
      <c r="G727" s="31" t="s">
        <v>21</v>
      </c>
      <c r="H727" s="30">
        <v>24</v>
      </c>
      <c r="I727" s="31" t="s">
        <v>20</v>
      </c>
      <c r="J727" s="32">
        <v>41000</v>
      </c>
      <c r="K727" s="28" t="s">
        <v>20</v>
      </c>
      <c r="L727" s="33">
        <v>0.125</v>
      </c>
      <c r="M727" s="33">
        <v>0.05</v>
      </c>
      <c r="N727" s="27">
        <f>24+24</f>
        <v>48</v>
      </c>
      <c r="O727" s="31" t="s">
        <v>20</v>
      </c>
      <c r="P727" s="27">
        <f t="shared" si="109"/>
        <v>0</v>
      </c>
      <c r="Q727" s="31" t="s">
        <v>20</v>
      </c>
      <c r="R727" s="32">
        <f t="shared" si="110"/>
        <v>0</v>
      </c>
      <c r="S727" s="32">
        <f t="shared" si="104"/>
        <v>0</v>
      </c>
    </row>
    <row r="728" spans="1:19" s="26" customFormat="1">
      <c r="A728" s="25" t="s">
        <v>708</v>
      </c>
      <c r="B728" s="26" t="s">
        <v>19</v>
      </c>
      <c r="C728" s="27">
        <v>346</v>
      </c>
      <c r="D728" s="28" t="s">
        <v>20</v>
      </c>
      <c r="E728" s="29"/>
      <c r="F728" s="30">
        <v>1</v>
      </c>
      <c r="G728" s="31" t="s">
        <v>21</v>
      </c>
      <c r="H728" s="30">
        <v>100</v>
      </c>
      <c r="I728" s="31" t="s">
        <v>20</v>
      </c>
      <c r="J728" s="32">
        <v>15500</v>
      </c>
      <c r="K728" s="28" t="s">
        <v>20</v>
      </c>
      <c r="L728" s="33">
        <v>0.125</v>
      </c>
      <c r="M728" s="33">
        <v>0.05</v>
      </c>
      <c r="N728" s="27"/>
      <c r="O728" s="31" t="s">
        <v>20</v>
      </c>
      <c r="P728" s="27">
        <f t="shared" si="109"/>
        <v>346</v>
      </c>
      <c r="Q728" s="31" t="s">
        <v>20</v>
      </c>
      <c r="R728" s="32">
        <f t="shared" si="110"/>
        <v>4457993.75</v>
      </c>
      <c r="S728" s="32">
        <f t="shared" si="104"/>
        <v>4016210.5855855853</v>
      </c>
    </row>
    <row r="729" spans="1:19" s="17" customFormat="1">
      <c r="A729" s="111" t="s">
        <v>709</v>
      </c>
      <c r="B729" s="17" t="s">
        <v>26</v>
      </c>
      <c r="C729" s="18"/>
      <c r="D729" s="19" t="s">
        <v>20</v>
      </c>
      <c r="E729" s="20"/>
      <c r="F729" s="21">
        <v>8</v>
      </c>
      <c r="G729" s="22" t="s">
        <v>21</v>
      </c>
      <c r="H729" s="21">
        <v>12</v>
      </c>
      <c r="I729" s="22" t="s">
        <v>20</v>
      </c>
      <c r="J729" s="23">
        <v>17500</v>
      </c>
      <c r="K729" s="19" t="s">
        <v>20</v>
      </c>
      <c r="L729" s="24"/>
      <c r="M729" s="24">
        <v>0.17</v>
      </c>
      <c r="N729" s="18"/>
      <c r="O729" s="22" t="s">
        <v>20</v>
      </c>
      <c r="P729" s="18">
        <f t="shared" si="109"/>
        <v>0</v>
      </c>
      <c r="Q729" s="22" t="s">
        <v>20</v>
      </c>
      <c r="R729" s="23">
        <f t="shared" si="110"/>
        <v>0</v>
      </c>
      <c r="S729" s="23">
        <f t="shared" si="104"/>
        <v>0</v>
      </c>
    </row>
    <row r="730" spans="1:19" s="26" customFormat="1">
      <c r="A730" s="107" t="s">
        <v>710</v>
      </c>
      <c r="B730" s="26" t="s">
        <v>26</v>
      </c>
      <c r="C730" s="27">
        <v>24</v>
      </c>
      <c r="D730" s="28" t="s">
        <v>20</v>
      </c>
      <c r="E730" s="29"/>
      <c r="F730" s="30">
        <v>1</v>
      </c>
      <c r="G730" s="31" t="s">
        <v>21</v>
      </c>
      <c r="H730" s="30">
        <v>24</v>
      </c>
      <c r="I730" s="31" t="s">
        <v>20</v>
      </c>
      <c r="J730" s="32">
        <f>420000/24</f>
        <v>17500</v>
      </c>
      <c r="K730" s="28" t="s">
        <v>20</v>
      </c>
      <c r="L730" s="33"/>
      <c r="M730" s="33">
        <v>0.17</v>
      </c>
      <c r="N730" s="27"/>
      <c r="O730" s="31" t="s">
        <v>20</v>
      </c>
      <c r="P730" s="27">
        <f t="shared" si="109"/>
        <v>24</v>
      </c>
      <c r="Q730" s="31" t="s">
        <v>20</v>
      </c>
      <c r="R730" s="32">
        <f t="shared" si="110"/>
        <v>348600</v>
      </c>
      <c r="S730" s="32">
        <f t="shared" si="104"/>
        <v>314054.05405405402</v>
      </c>
    </row>
    <row r="731" spans="1:19" s="63" customFormat="1">
      <c r="A731" s="111" t="s">
        <v>711</v>
      </c>
      <c r="B731" s="63" t="s">
        <v>26</v>
      </c>
      <c r="C731" s="64"/>
      <c r="D731" s="65" t="s">
        <v>20</v>
      </c>
      <c r="E731" s="66"/>
      <c r="F731" s="67">
        <v>1</v>
      </c>
      <c r="G731" s="68" t="s">
        <v>21</v>
      </c>
      <c r="H731" s="67">
        <v>24</v>
      </c>
      <c r="I731" s="68" t="s">
        <v>20</v>
      </c>
      <c r="J731" s="69">
        <f>450000/24</f>
        <v>18750</v>
      </c>
      <c r="K731" s="65" t="s">
        <v>20</v>
      </c>
      <c r="L731" s="70"/>
      <c r="M731" s="70">
        <v>0.17</v>
      </c>
      <c r="N731" s="64"/>
      <c r="O731" s="68" t="s">
        <v>20</v>
      </c>
      <c r="P731" s="64">
        <f t="shared" si="109"/>
        <v>0</v>
      </c>
      <c r="Q731" s="68" t="s">
        <v>20</v>
      </c>
      <c r="R731" s="69">
        <f t="shared" si="110"/>
        <v>0</v>
      </c>
      <c r="S731" s="23">
        <f t="shared" si="104"/>
        <v>0</v>
      </c>
    </row>
    <row r="732" spans="1:19" s="17" customFormat="1">
      <c r="A732" s="111" t="s">
        <v>712</v>
      </c>
      <c r="B732" s="17" t="s">
        <v>26</v>
      </c>
      <c r="C732" s="18"/>
      <c r="D732" s="19" t="s">
        <v>20</v>
      </c>
      <c r="E732" s="20"/>
      <c r="F732" s="21">
        <v>1</v>
      </c>
      <c r="G732" s="22" t="s">
        <v>21</v>
      </c>
      <c r="H732" s="21">
        <v>24</v>
      </c>
      <c r="I732" s="22" t="s">
        <v>20</v>
      </c>
      <c r="J732" s="23">
        <v>17250</v>
      </c>
      <c r="K732" s="19" t="s">
        <v>20</v>
      </c>
      <c r="L732" s="24"/>
      <c r="M732" s="24">
        <v>0.17</v>
      </c>
      <c r="N732" s="18"/>
      <c r="O732" s="22" t="s">
        <v>20</v>
      </c>
      <c r="P732" s="18">
        <f t="shared" si="109"/>
        <v>0</v>
      </c>
      <c r="Q732" s="22" t="s">
        <v>20</v>
      </c>
      <c r="R732" s="23">
        <f t="shared" si="110"/>
        <v>0</v>
      </c>
      <c r="S732" s="23">
        <f t="shared" si="104"/>
        <v>0</v>
      </c>
    </row>
    <row r="733" spans="1:19" s="17" customFormat="1">
      <c r="A733" s="111" t="s">
        <v>713</v>
      </c>
      <c r="B733" s="17" t="s">
        <v>26</v>
      </c>
      <c r="C733" s="18"/>
      <c r="D733" s="19" t="s">
        <v>20</v>
      </c>
      <c r="E733" s="20"/>
      <c r="F733" s="21">
        <v>1</v>
      </c>
      <c r="G733" s="22" t="s">
        <v>21</v>
      </c>
      <c r="H733" s="21">
        <v>12</v>
      </c>
      <c r="I733" s="22" t="s">
        <v>20</v>
      </c>
      <c r="J733" s="23">
        <f>336000/12</f>
        <v>28000</v>
      </c>
      <c r="K733" s="19" t="s">
        <v>20</v>
      </c>
      <c r="L733" s="24"/>
      <c r="M733" s="24">
        <v>0.17</v>
      </c>
      <c r="N733" s="18"/>
      <c r="O733" s="22" t="s">
        <v>20</v>
      </c>
      <c r="P733" s="18">
        <f t="shared" si="109"/>
        <v>0</v>
      </c>
      <c r="Q733" s="22" t="s">
        <v>20</v>
      </c>
      <c r="R733" s="23">
        <f t="shared" si="110"/>
        <v>0</v>
      </c>
      <c r="S733" s="23">
        <f t="shared" si="104"/>
        <v>0</v>
      </c>
    </row>
    <row r="734" spans="1:19" s="17" customFormat="1">
      <c r="A734" s="111" t="s">
        <v>714</v>
      </c>
      <c r="B734" s="17" t="s">
        <v>26</v>
      </c>
      <c r="C734" s="18"/>
      <c r="D734" s="19" t="s">
        <v>20</v>
      </c>
      <c r="E734" s="20"/>
      <c r="F734" s="21">
        <v>1</v>
      </c>
      <c r="G734" s="22" t="s">
        <v>21</v>
      </c>
      <c r="H734" s="21">
        <v>12</v>
      </c>
      <c r="I734" s="22" t="s">
        <v>20</v>
      </c>
      <c r="J734" s="23">
        <f>294000/12</f>
        <v>24500</v>
      </c>
      <c r="K734" s="19" t="s">
        <v>20</v>
      </c>
      <c r="L734" s="24"/>
      <c r="M734" s="24">
        <v>0.17</v>
      </c>
      <c r="N734" s="18"/>
      <c r="O734" s="22" t="s">
        <v>20</v>
      </c>
      <c r="P734" s="18">
        <f t="shared" si="109"/>
        <v>0</v>
      </c>
      <c r="Q734" s="22" t="s">
        <v>20</v>
      </c>
      <c r="R734" s="23">
        <f t="shared" si="110"/>
        <v>0</v>
      </c>
      <c r="S734" s="23">
        <f t="shared" si="104"/>
        <v>0</v>
      </c>
    </row>
    <row r="735" spans="1:19" s="17" customFormat="1">
      <c r="A735" s="111" t="s">
        <v>709</v>
      </c>
      <c r="B735" s="17" t="s">
        <v>26</v>
      </c>
      <c r="C735" s="18"/>
      <c r="D735" s="19" t="s">
        <v>20</v>
      </c>
      <c r="E735" s="20"/>
      <c r="F735" s="21">
        <v>8</v>
      </c>
      <c r="G735" s="22" t="s">
        <v>21</v>
      </c>
      <c r="H735" s="21">
        <v>12</v>
      </c>
      <c r="I735" s="22" t="s">
        <v>20</v>
      </c>
      <c r="J735" s="23">
        <v>17500</v>
      </c>
      <c r="K735" s="19" t="s">
        <v>20</v>
      </c>
      <c r="L735" s="24"/>
      <c r="M735" s="24">
        <v>0.17</v>
      </c>
      <c r="N735" s="18"/>
      <c r="O735" s="22" t="s">
        <v>20</v>
      </c>
      <c r="P735" s="18">
        <f t="shared" si="109"/>
        <v>0</v>
      </c>
      <c r="Q735" s="22" t="s">
        <v>20</v>
      </c>
      <c r="R735" s="23">
        <f t="shared" si="110"/>
        <v>0</v>
      </c>
      <c r="S735" s="23">
        <f t="shared" si="104"/>
        <v>0</v>
      </c>
    </row>
    <row r="736" spans="1:19" s="63" customFormat="1">
      <c r="A736" s="111" t="s">
        <v>715</v>
      </c>
      <c r="B736" s="63" t="s">
        <v>192</v>
      </c>
      <c r="C736" s="64"/>
      <c r="D736" s="65" t="s">
        <v>43</v>
      </c>
      <c r="E736" s="66"/>
      <c r="F736" s="67">
        <v>48</v>
      </c>
      <c r="G736" s="68" t="s">
        <v>34</v>
      </c>
      <c r="H736" s="67">
        <v>1</v>
      </c>
      <c r="I736" s="68" t="s">
        <v>43</v>
      </c>
      <c r="J736" s="69">
        <v>91000</v>
      </c>
      <c r="K736" s="65" t="s">
        <v>43</v>
      </c>
      <c r="L736" s="70"/>
      <c r="M736" s="70"/>
      <c r="N736" s="64"/>
      <c r="O736" s="68" t="s">
        <v>43</v>
      </c>
      <c r="P736" s="64">
        <f>(C736+(E736*F736*H736))-N736</f>
        <v>0</v>
      </c>
      <c r="Q736" s="68" t="s">
        <v>43</v>
      </c>
      <c r="R736" s="69">
        <f t="shared" si="110"/>
        <v>0</v>
      </c>
      <c r="S736" s="23">
        <f t="shared" ref="S736:S737" si="111">R736/1.11</f>
        <v>0</v>
      </c>
    </row>
    <row r="737" spans="1:19" s="26" customFormat="1">
      <c r="A737" s="107" t="s">
        <v>716</v>
      </c>
      <c r="B737" s="26" t="s">
        <v>659</v>
      </c>
      <c r="C737" s="27">
        <v>144</v>
      </c>
      <c r="D737" s="28" t="s">
        <v>20</v>
      </c>
      <c r="E737" s="29"/>
      <c r="F737" s="30">
        <v>1</v>
      </c>
      <c r="G737" s="31" t="s">
        <v>21</v>
      </c>
      <c r="H737" s="30">
        <v>24</v>
      </c>
      <c r="I737" s="31" t="s">
        <v>20</v>
      </c>
      <c r="J737" s="32">
        <v>18200</v>
      </c>
      <c r="K737" s="28" t="s">
        <v>20</v>
      </c>
      <c r="L737" s="33">
        <v>0.15</v>
      </c>
      <c r="M737" s="33">
        <v>0.03</v>
      </c>
      <c r="N737" s="27">
        <v>24</v>
      </c>
      <c r="O737" s="31" t="s">
        <v>20</v>
      </c>
      <c r="P737" s="27">
        <f>(C737+(E737*F737*H737))-N737</f>
        <v>120</v>
      </c>
      <c r="Q737" s="31" t="s">
        <v>20</v>
      </c>
      <c r="R737" s="32">
        <f t="shared" si="110"/>
        <v>1800708</v>
      </c>
      <c r="S737" s="32">
        <f t="shared" si="111"/>
        <v>1622259.4594594594</v>
      </c>
    </row>
    <row r="738" spans="1:19">
      <c r="A738" s="2"/>
      <c r="R738" s="23"/>
      <c r="S738" s="23"/>
    </row>
    <row r="740" spans="1:19" ht="16.5">
      <c r="R740" s="146">
        <f>SUM(R6:R738)</f>
        <v>1255489815.2499998</v>
      </c>
      <c r="S740" s="146">
        <f>SUM(S6:S738)</f>
        <v>1131071905.6306307</v>
      </c>
    </row>
    <row r="741" spans="1:19">
      <c r="R741" s="156">
        <f>S741+(S741*11%)</f>
        <v>32119995.999999963</v>
      </c>
      <c r="S741" s="147">
        <v>28936933.333333299</v>
      </c>
    </row>
    <row r="742" spans="1:19">
      <c r="R742" s="155">
        <f>S742+(S742*11%)</f>
        <v>4965013671.5666723</v>
      </c>
      <c r="S742" s="148">
        <v>4472985289.6997051</v>
      </c>
    </row>
    <row r="743" spans="1:19" ht="15.75">
      <c r="R743" s="149">
        <f>SUM(R740:R742)</f>
        <v>6252623482.8166723</v>
      </c>
      <c r="S743" s="149">
        <f>S740+S741+S742</f>
        <v>5632994128.6636696</v>
      </c>
    </row>
    <row r="744" spans="1:19">
      <c r="R744" s="150"/>
      <c r="S744" s="150"/>
    </row>
    <row r="745" spans="1:19" ht="15.75">
      <c r="R745" s="151"/>
      <c r="S745" s="157"/>
    </row>
    <row r="746" spans="1:19" ht="15.75">
      <c r="R746" s="153"/>
      <c r="S746" s="154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5"/>
  <sheetViews>
    <sheetView zoomScaleNormal="100" workbookViewId="0">
      <pane ySplit="3" topLeftCell="A654" activePane="bottomLeft" state="frozen"/>
      <selection pane="bottomLeft" activeCell="A671" sqref="A671:XFD671"/>
    </sheetView>
  </sheetViews>
  <sheetFormatPr defaultRowHeight="12.75"/>
  <cols>
    <col min="1" max="1" width="51.28515625" style="34" customWidth="1"/>
    <col min="2" max="2" width="31.7109375" style="2" customWidth="1"/>
    <col min="3" max="3" width="4.85546875" style="3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3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0.85546875" style="2" bestFit="1" customWidth="1"/>
    <col min="22" max="16384" width="9.140625" style="2"/>
  </cols>
  <sheetData>
    <row r="1" spans="1:19" ht="30">
      <c r="A1" s="1" t="s">
        <v>718</v>
      </c>
    </row>
    <row r="2" spans="1:19" s="10" customFormat="1">
      <c r="A2" s="328" t="s">
        <v>0</v>
      </c>
      <c r="B2" s="327" t="s">
        <v>1</v>
      </c>
      <c r="C2" s="322" t="s">
        <v>2</v>
      </c>
      <c r="D2" s="322"/>
      <c r="E2" s="329" t="s">
        <v>720</v>
      </c>
      <c r="F2" s="324" t="s">
        <v>4</v>
      </c>
      <c r="G2" s="324"/>
      <c r="H2" s="324"/>
      <c r="I2" s="324"/>
      <c r="J2" s="325" t="s">
        <v>5</v>
      </c>
      <c r="K2" s="326"/>
      <c r="L2" s="326"/>
      <c r="M2" s="327"/>
      <c r="N2" s="318" t="s">
        <v>6</v>
      </c>
      <c r="O2" s="319"/>
      <c r="P2" s="322" t="s">
        <v>7</v>
      </c>
      <c r="Q2" s="322"/>
      <c r="R2" s="323" t="s">
        <v>8</v>
      </c>
      <c r="S2" s="323" t="s">
        <v>9</v>
      </c>
    </row>
    <row r="3" spans="1:19" s="10" customFormat="1">
      <c r="A3" s="328"/>
      <c r="B3" s="327"/>
      <c r="C3" s="322"/>
      <c r="D3" s="322"/>
      <c r="E3" s="329"/>
      <c r="F3" s="324" t="s">
        <v>10</v>
      </c>
      <c r="G3" s="324"/>
      <c r="H3" s="324" t="s">
        <v>11</v>
      </c>
      <c r="I3" s="324"/>
      <c r="J3" s="11" t="s">
        <v>12</v>
      </c>
      <c r="K3" s="12" t="s">
        <v>13</v>
      </c>
      <c r="L3" s="13" t="s">
        <v>14</v>
      </c>
      <c r="M3" s="13" t="s">
        <v>15</v>
      </c>
      <c r="N3" s="320"/>
      <c r="O3" s="321"/>
      <c r="P3" s="322"/>
      <c r="Q3" s="322"/>
      <c r="R3" s="323"/>
      <c r="S3" s="323"/>
    </row>
    <row r="4" spans="1:19" ht="15.75">
      <c r="A4" s="14" t="s">
        <v>16</v>
      </c>
    </row>
    <row r="5" spans="1:19">
      <c r="A5" s="15" t="s">
        <v>17</v>
      </c>
    </row>
    <row r="6" spans="1:19" s="17" customFormat="1">
      <c r="A6" s="16" t="s">
        <v>18</v>
      </c>
      <c r="B6" s="17" t="s">
        <v>19</v>
      </c>
      <c r="C6" s="18"/>
      <c r="D6" s="19" t="s">
        <v>20</v>
      </c>
      <c r="E6" s="20"/>
      <c r="F6" s="21">
        <v>1</v>
      </c>
      <c r="G6" s="22" t="s">
        <v>21</v>
      </c>
      <c r="H6" s="21">
        <v>60</v>
      </c>
      <c r="I6" s="22" t="s">
        <v>20</v>
      </c>
      <c r="J6" s="23">
        <v>43500</v>
      </c>
      <c r="K6" s="19" t="s">
        <v>20</v>
      </c>
      <c r="L6" s="24">
        <v>0.125</v>
      </c>
      <c r="M6" s="24">
        <v>0.05</v>
      </c>
      <c r="N6" s="18"/>
      <c r="O6" s="22" t="s">
        <v>20</v>
      </c>
      <c r="P6" s="18">
        <f t="shared" ref="P6:P15" si="0">(C6+(E6*F6*H6))-N6</f>
        <v>0</v>
      </c>
      <c r="Q6" s="22" t="s">
        <v>20</v>
      </c>
      <c r="R6" s="23">
        <f t="shared" ref="R6:R15" si="1">P6*(J6-(J6*L6)-((J6-(J6*L6))*M6))</f>
        <v>0</v>
      </c>
      <c r="S6" s="23">
        <f>R6/1.11</f>
        <v>0</v>
      </c>
    </row>
    <row r="7" spans="1:19" s="17" customFormat="1">
      <c r="A7" s="16" t="s">
        <v>22</v>
      </c>
      <c r="B7" s="17" t="s">
        <v>19</v>
      </c>
      <c r="C7" s="18"/>
      <c r="D7" s="19" t="s">
        <v>20</v>
      </c>
      <c r="E7" s="20"/>
      <c r="F7" s="21">
        <v>1</v>
      </c>
      <c r="G7" s="22" t="s">
        <v>21</v>
      </c>
      <c r="H7" s="21">
        <v>48</v>
      </c>
      <c r="I7" s="22" t="s">
        <v>20</v>
      </c>
      <c r="J7" s="23">
        <v>28000</v>
      </c>
      <c r="K7" s="19" t="s">
        <v>20</v>
      </c>
      <c r="L7" s="24">
        <v>0.125</v>
      </c>
      <c r="M7" s="24">
        <v>0.05</v>
      </c>
      <c r="N7" s="18"/>
      <c r="O7" s="22" t="s">
        <v>20</v>
      </c>
      <c r="P7" s="18">
        <f t="shared" si="0"/>
        <v>0</v>
      </c>
      <c r="Q7" s="22" t="s">
        <v>20</v>
      </c>
      <c r="R7" s="23">
        <f t="shared" si="1"/>
        <v>0</v>
      </c>
      <c r="S7" s="23">
        <f t="shared" ref="S7:S74" si="2">R7/1.11</f>
        <v>0</v>
      </c>
    </row>
    <row r="8" spans="1:19" s="17" customFormat="1">
      <c r="A8" s="16" t="s">
        <v>23</v>
      </c>
      <c r="B8" s="17" t="s">
        <v>19</v>
      </c>
      <c r="C8" s="18"/>
      <c r="D8" s="19" t="s">
        <v>20</v>
      </c>
      <c r="E8" s="20"/>
      <c r="F8" s="21">
        <v>1</v>
      </c>
      <c r="G8" s="22" t="s">
        <v>21</v>
      </c>
      <c r="H8" s="21">
        <v>48</v>
      </c>
      <c r="I8" s="22" t="s">
        <v>20</v>
      </c>
      <c r="J8" s="23">
        <v>31700</v>
      </c>
      <c r="K8" s="19" t="s">
        <v>20</v>
      </c>
      <c r="L8" s="24">
        <v>0.125</v>
      </c>
      <c r="M8" s="24">
        <v>0.05</v>
      </c>
      <c r="N8" s="18"/>
      <c r="O8" s="22" t="s">
        <v>20</v>
      </c>
      <c r="P8" s="18">
        <f t="shared" si="0"/>
        <v>0</v>
      </c>
      <c r="Q8" s="22" t="s">
        <v>20</v>
      </c>
      <c r="R8" s="23">
        <f t="shared" si="1"/>
        <v>0</v>
      </c>
      <c r="S8" s="23">
        <f t="shared" si="2"/>
        <v>0</v>
      </c>
    </row>
    <row r="9" spans="1:19" s="17" customFormat="1">
      <c r="A9" s="16" t="s">
        <v>24</v>
      </c>
      <c r="B9" s="17" t="s">
        <v>19</v>
      </c>
      <c r="C9" s="18"/>
      <c r="D9" s="19" t="s">
        <v>20</v>
      </c>
      <c r="E9" s="20"/>
      <c r="F9" s="21">
        <v>1</v>
      </c>
      <c r="G9" s="22" t="s">
        <v>21</v>
      </c>
      <c r="H9" s="21">
        <v>48</v>
      </c>
      <c r="I9" s="22" t="s">
        <v>20</v>
      </c>
      <c r="J9" s="23">
        <v>25000</v>
      </c>
      <c r="K9" s="19" t="s">
        <v>20</v>
      </c>
      <c r="L9" s="24">
        <v>0.125</v>
      </c>
      <c r="M9" s="24">
        <v>0.05</v>
      </c>
      <c r="N9" s="18"/>
      <c r="O9" s="22" t="s">
        <v>20</v>
      </c>
      <c r="P9" s="18">
        <f t="shared" si="0"/>
        <v>0</v>
      </c>
      <c r="Q9" s="22" t="s">
        <v>20</v>
      </c>
      <c r="R9" s="23">
        <f t="shared" si="1"/>
        <v>0</v>
      </c>
      <c r="S9" s="23">
        <f t="shared" si="2"/>
        <v>0</v>
      </c>
    </row>
    <row r="10" spans="1:19" s="17" customFormat="1">
      <c r="A10" s="16" t="s">
        <v>25</v>
      </c>
      <c r="B10" s="17" t="s">
        <v>26</v>
      </c>
      <c r="C10" s="18"/>
      <c r="D10" s="19" t="s">
        <v>20</v>
      </c>
      <c r="E10" s="20"/>
      <c r="F10" s="21">
        <v>1</v>
      </c>
      <c r="G10" s="22" t="s">
        <v>21</v>
      </c>
      <c r="H10" s="21">
        <v>60</v>
      </c>
      <c r="I10" s="22" t="s">
        <v>20</v>
      </c>
      <c r="J10" s="23">
        <v>23800</v>
      </c>
      <c r="K10" s="19" t="s">
        <v>20</v>
      </c>
      <c r="L10" s="24"/>
      <c r="M10" s="24">
        <v>0.17</v>
      </c>
      <c r="N10" s="18"/>
      <c r="O10" s="22" t="s">
        <v>20</v>
      </c>
      <c r="P10" s="18">
        <f t="shared" si="0"/>
        <v>0</v>
      </c>
      <c r="Q10" s="22" t="s">
        <v>20</v>
      </c>
      <c r="R10" s="23">
        <f t="shared" si="1"/>
        <v>0</v>
      </c>
      <c r="S10" s="23">
        <f t="shared" si="2"/>
        <v>0</v>
      </c>
    </row>
    <row r="11" spans="1:19" s="17" customFormat="1">
      <c r="A11" s="16" t="s">
        <v>27</v>
      </c>
      <c r="B11" s="17" t="s">
        <v>26</v>
      </c>
      <c r="C11" s="18">
        <v>84</v>
      </c>
      <c r="D11" s="19" t="s">
        <v>20</v>
      </c>
      <c r="E11" s="20"/>
      <c r="F11" s="21">
        <v>1</v>
      </c>
      <c r="G11" s="22" t="s">
        <v>21</v>
      </c>
      <c r="H11" s="21">
        <v>60</v>
      </c>
      <c r="I11" s="22" t="s">
        <v>20</v>
      </c>
      <c r="J11" s="23">
        <v>23800</v>
      </c>
      <c r="K11" s="19" t="s">
        <v>20</v>
      </c>
      <c r="L11" s="24"/>
      <c r="M11" s="24">
        <v>0.17</v>
      </c>
      <c r="N11" s="18">
        <f>24+60</f>
        <v>84</v>
      </c>
      <c r="O11" s="22" t="s">
        <v>20</v>
      </c>
      <c r="P11" s="18">
        <f t="shared" si="0"/>
        <v>0</v>
      </c>
      <c r="Q11" s="22" t="s">
        <v>20</v>
      </c>
      <c r="R11" s="23">
        <f t="shared" si="1"/>
        <v>0</v>
      </c>
      <c r="S11" s="23">
        <f t="shared" si="2"/>
        <v>0</v>
      </c>
    </row>
    <row r="12" spans="1:19" s="17" customFormat="1">
      <c r="A12" s="16" t="s">
        <v>28</v>
      </c>
      <c r="B12" s="17" t="s">
        <v>26</v>
      </c>
      <c r="C12" s="18">
        <v>6</v>
      </c>
      <c r="D12" s="19" t="s">
        <v>20</v>
      </c>
      <c r="E12" s="20"/>
      <c r="F12" s="21">
        <v>1</v>
      </c>
      <c r="G12" s="22" t="s">
        <v>21</v>
      </c>
      <c r="H12" s="21">
        <v>60</v>
      </c>
      <c r="I12" s="22" t="s">
        <v>20</v>
      </c>
      <c r="J12" s="23">
        <v>27500</v>
      </c>
      <c r="K12" s="19" t="s">
        <v>20</v>
      </c>
      <c r="L12" s="24"/>
      <c r="M12" s="24">
        <v>0.17</v>
      </c>
      <c r="N12" s="18">
        <v>6</v>
      </c>
      <c r="O12" s="22" t="s">
        <v>20</v>
      </c>
      <c r="P12" s="18">
        <f t="shared" si="0"/>
        <v>0</v>
      </c>
      <c r="Q12" s="22" t="s">
        <v>20</v>
      </c>
      <c r="R12" s="23">
        <f t="shared" si="1"/>
        <v>0</v>
      </c>
      <c r="S12" s="23">
        <f t="shared" si="2"/>
        <v>0</v>
      </c>
    </row>
    <row r="13" spans="1:19" s="17" customFormat="1">
      <c r="A13" s="16" t="s">
        <v>29</v>
      </c>
      <c r="B13" s="17" t="s">
        <v>26</v>
      </c>
      <c r="C13" s="18"/>
      <c r="D13" s="19" t="s">
        <v>20</v>
      </c>
      <c r="E13" s="20"/>
      <c r="F13" s="21">
        <v>1</v>
      </c>
      <c r="G13" s="22" t="s">
        <v>21</v>
      </c>
      <c r="H13" s="21">
        <v>36</v>
      </c>
      <c r="I13" s="22" t="s">
        <v>20</v>
      </c>
      <c r="J13" s="23">
        <v>50500</v>
      </c>
      <c r="K13" s="19" t="s">
        <v>20</v>
      </c>
      <c r="L13" s="24"/>
      <c r="M13" s="24">
        <v>0.17</v>
      </c>
      <c r="N13" s="18"/>
      <c r="O13" s="22" t="s">
        <v>20</v>
      </c>
      <c r="P13" s="18">
        <f t="shared" si="0"/>
        <v>0</v>
      </c>
      <c r="Q13" s="22" t="s">
        <v>20</v>
      </c>
      <c r="R13" s="23">
        <f t="shared" si="1"/>
        <v>0</v>
      </c>
      <c r="S13" s="23">
        <f t="shared" si="2"/>
        <v>0</v>
      </c>
    </row>
    <row r="14" spans="1:19" s="17" customFormat="1">
      <c r="A14" s="16" t="s">
        <v>30</v>
      </c>
      <c r="B14" s="17" t="s">
        <v>26</v>
      </c>
      <c r="C14" s="18">
        <v>27</v>
      </c>
      <c r="D14" s="19" t="s">
        <v>20</v>
      </c>
      <c r="E14" s="20"/>
      <c r="F14" s="21">
        <v>1</v>
      </c>
      <c r="G14" s="22" t="s">
        <v>21</v>
      </c>
      <c r="H14" s="21">
        <v>72</v>
      </c>
      <c r="I14" s="22" t="s">
        <v>20</v>
      </c>
      <c r="J14" s="23">
        <v>37000</v>
      </c>
      <c r="K14" s="19" t="s">
        <v>20</v>
      </c>
      <c r="L14" s="24"/>
      <c r="M14" s="24">
        <v>0.17</v>
      </c>
      <c r="N14" s="18">
        <f>3+24</f>
        <v>27</v>
      </c>
      <c r="O14" s="22" t="s">
        <v>20</v>
      </c>
      <c r="P14" s="18">
        <f t="shared" si="0"/>
        <v>0</v>
      </c>
      <c r="Q14" s="22" t="s">
        <v>20</v>
      </c>
      <c r="R14" s="23">
        <f t="shared" si="1"/>
        <v>0</v>
      </c>
      <c r="S14" s="23">
        <f t="shared" si="2"/>
        <v>0</v>
      </c>
    </row>
    <row r="15" spans="1:19" s="17" customFormat="1">
      <c r="A15" s="16" t="s">
        <v>31</v>
      </c>
      <c r="B15" s="17" t="s">
        <v>26</v>
      </c>
      <c r="C15" s="18"/>
      <c r="D15" s="19" t="s">
        <v>20</v>
      </c>
      <c r="E15" s="20"/>
      <c r="F15" s="21">
        <v>1</v>
      </c>
      <c r="G15" s="22" t="s">
        <v>21</v>
      </c>
      <c r="H15" s="21">
        <v>72</v>
      </c>
      <c r="I15" s="22" t="s">
        <v>20</v>
      </c>
      <c r="J15" s="23">
        <v>30000</v>
      </c>
      <c r="K15" s="19" t="s">
        <v>20</v>
      </c>
      <c r="L15" s="24"/>
      <c r="M15" s="24">
        <v>0.17</v>
      </c>
      <c r="N15" s="18"/>
      <c r="O15" s="22" t="s">
        <v>20</v>
      </c>
      <c r="P15" s="18">
        <f t="shared" si="0"/>
        <v>0</v>
      </c>
      <c r="Q15" s="22" t="s">
        <v>20</v>
      </c>
      <c r="R15" s="23">
        <f t="shared" si="1"/>
        <v>0</v>
      </c>
      <c r="S15" s="23">
        <f t="shared" si="2"/>
        <v>0</v>
      </c>
    </row>
    <row r="16" spans="1:19">
      <c r="A16" s="15" t="s">
        <v>32</v>
      </c>
      <c r="S16" s="23"/>
    </row>
    <row r="17" spans="1:19" s="26" customFormat="1">
      <c r="A17" s="25" t="s">
        <v>33</v>
      </c>
      <c r="B17" s="26" t="s">
        <v>19</v>
      </c>
      <c r="C17" s="27">
        <v>60</v>
      </c>
      <c r="D17" s="28" t="s">
        <v>34</v>
      </c>
      <c r="E17" s="29"/>
      <c r="F17" s="30">
        <v>1</v>
      </c>
      <c r="G17" s="31" t="s">
        <v>21</v>
      </c>
      <c r="H17" s="30">
        <v>60</v>
      </c>
      <c r="I17" s="31" t="s">
        <v>34</v>
      </c>
      <c r="J17" s="32">
        <v>22200</v>
      </c>
      <c r="K17" s="28" t="s">
        <v>34</v>
      </c>
      <c r="L17" s="33">
        <v>0.125</v>
      </c>
      <c r="M17" s="33">
        <v>0.05</v>
      </c>
      <c r="N17" s="27"/>
      <c r="O17" s="31" t="s">
        <v>34</v>
      </c>
      <c r="P17" s="27">
        <f>(C17+(E17*F17*H17))-N17</f>
        <v>60</v>
      </c>
      <c r="Q17" s="31" t="s">
        <v>34</v>
      </c>
      <c r="R17" s="32">
        <f>P17*(J17-(J17*L17)-((J17-(J17*L17))*M17))</f>
        <v>1107225</v>
      </c>
      <c r="S17" s="32">
        <f t="shared" si="2"/>
        <v>997499.99999999988</v>
      </c>
    </row>
    <row r="18" spans="1:19" s="26" customFormat="1">
      <c r="A18" s="25" t="s">
        <v>35</v>
      </c>
      <c r="B18" s="26" t="s">
        <v>19</v>
      </c>
      <c r="C18" s="27">
        <v>60</v>
      </c>
      <c r="D18" s="28" t="s">
        <v>34</v>
      </c>
      <c r="E18" s="29"/>
      <c r="F18" s="30">
        <v>1</v>
      </c>
      <c r="G18" s="31" t="s">
        <v>21</v>
      </c>
      <c r="H18" s="30">
        <v>60</v>
      </c>
      <c r="I18" s="31" t="s">
        <v>34</v>
      </c>
      <c r="J18" s="32">
        <v>31500</v>
      </c>
      <c r="K18" s="28" t="s">
        <v>34</v>
      </c>
      <c r="L18" s="33">
        <v>0.125</v>
      </c>
      <c r="M18" s="33">
        <v>0.05</v>
      </c>
      <c r="N18" s="27"/>
      <c r="O18" s="31" t="s">
        <v>34</v>
      </c>
      <c r="P18" s="27">
        <f>(C18+(E18*F18*H18))-N18</f>
        <v>60</v>
      </c>
      <c r="Q18" s="31" t="s">
        <v>34</v>
      </c>
      <c r="R18" s="32">
        <f>P18*(J18-(J18*L18)-((J18-(J18*L18))*M18))</f>
        <v>1571062.5</v>
      </c>
      <c r="S18" s="32">
        <f t="shared" si="2"/>
        <v>1415371.6216216215</v>
      </c>
    </row>
    <row r="19" spans="1:19" s="17" customFormat="1">
      <c r="A19" s="16" t="s">
        <v>36</v>
      </c>
      <c r="B19" s="17" t="s">
        <v>19</v>
      </c>
      <c r="C19" s="18">
        <v>60</v>
      </c>
      <c r="D19" s="19" t="s">
        <v>34</v>
      </c>
      <c r="E19" s="20"/>
      <c r="F19" s="21">
        <v>1</v>
      </c>
      <c r="G19" s="22" t="s">
        <v>21</v>
      </c>
      <c r="H19" s="21">
        <v>60</v>
      </c>
      <c r="I19" s="22" t="s">
        <v>34</v>
      </c>
      <c r="J19" s="23">
        <v>31200</v>
      </c>
      <c r="K19" s="19" t="s">
        <v>34</v>
      </c>
      <c r="L19" s="24">
        <v>0.125</v>
      </c>
      <c r="M19" s="24">
        <v>0.05</v>
      </c>
      <c r="N19" s="18">
        <v>60</v>
      </c>
      <c r="O19" s="22" t="s">
        <v>34</v>
      </c>
      <c r="P19" s="18">
        <f>(C19+(E19*F19*H19))-N19</f>
        <v>0</v>
      </c>
      <c r="Q19" s="22" t="s">
        <v>34</v>
      </c>
      <c r="R19" s="23">
        <f>P19*(J19-(J19*L19)-((J19-(J19*L19))*M19))</f>
        <v>0</v>
      </c>
      <c r="S19" s="23">
        <f t="shared" si="2"/>
        <v>0</v>
      </c>
    </row>
    <row r="20" spans="1:19" s="17" customFormat="1">
      <c r="A20" s="16" t="s">
        <v>37</v>
      </c>
      <c r="B20" s="17" t="s">
        <v>19</v>
      </c>
      <c r="C20" s="18">
        <v>180</v>
      </c>
      <c r="D20" s="19" t="s">
        <v>34</v>
      </c>
      <c r="E20" s="20"/>
      <c r="F20" s="21">
        <v>1</v>
      </c>
      <c r="G20" s="22" t="s">
        <v>21</v>
      </c>
      <c r="H20" s="21">
        <v>180</v>
      </c>
      <c r="I20" s="22" t="s">
        <v>34</v>
      </c>
      <c r="J20" s="23">
        <v>9120</v>
      </c>
      <c r="K20" s="19" t="s">
        <v>34</v>
      </c>
      <c r="L20" s="24">
        <v>0.125</v>
      </c>
      <c r="M20" s="24">
        <v>0.05</v>
      </c>
      <c r="N20" s="18">
        <v>180</v>
      </c>
      <c r="O20" s="22" t="s">
        <v>34</v>
      </c>
      <c r="P20" s="18">
        <f>(C20+(E20*F20*H20))-N20</f>
        <v>0</v>
      </c>
      <c r="Q20" s="22" t="s">
        <v>34</v>
      </c>
      <c r="R20" s="23">
        <f>P20*(J20-(J20*L20)-((J20-(J20*L20))*M20))</f>
        <v>0</v>
      </c>
      <c r="S20" s="23">
        <f t="shared" si="2"/>
        <v>0</v>
      </c>
    </row>
    <row r="21" spans="1:19" s="17" customFormat="1">
      <c r="A21" s="16" t="s">
        <v>38</v>
      </c>
      <c r="B21" s="17" t="s">
        <v>19</v>
      </c>
      <c r="C21" s="18"/>
      <c r="D21" s="19" t="s">
        <v>34</v>
      </c>
      <c r="E21" s="20"/>
      <c r="F21" s="21">
        <v>1</v>
      </c>
      <c r="G21" s="22" t="s">
        <v>21</v>
      </c>
      <c r="H21" s="21">
        <v>32</v>
      </c>
      <c r="I21" s="22" t="s">
        <v>34</v>
      </c>
      <c r="J21" s="23">
        <v>64800</v>
      </c>
      <c r="K21" s="19" t="s">
        <v>34</v>
      </c>
      <c r="L21" s="24">
        <v>0.125</v>
      </c>
      <c r="M21" s="24">
        <v>0.05</v>
      </c>
      <c r="N21" s="18"/>
      <c r="O21" s="22" t="s">
        <v>34</v>
      </c>
      <c r="P21" s="18">
        <f>(C21+(E21*F21*H21))-N21</f>
        <v>0</v>
      </c>
      <c r="Q21" s="22" t="s">
        <v>34</v>
      </c>
      <c r="R21" s="23">
        <f>P21*(J21-(J21*L21)-((J21-(J21*L21))*M21))</f>
        <v>0</v>
      </c>
      <c r="S21" s="23">
        <f t="shared" si="2"/>
        <v>0</v>
      </c>
    </row>
    <row r="22" spans="1:19">
      <c r="S22" s="23"/>
    </row>
    <row r="23" spans="1:19" ht="15.75">
      <c r="A23" s="14" t="s">
        <v>39</v>
      </c>
      <c r="S23" s="23"/>
    </row>
    <row r="24" spans="1:19">
      <c r="A24" s="15" t="s">
        <v>40</v>
      </c>
      <c r="S24" s="23"/>
    </row>
    <row r="25" spans="1:19" s="17" customFormat="1">
      <c r="A25" s="16" t="s">
        <v>41</v>
      </c>
      <c r="B25" s="17" t="s">
        <v>19</v>
      </c>
      <c r="C25" s="18"/>
      <c r="D25" s="19" t="s">
        <v>20</v>
      </c>
      <c r="E25" s="20"/>
      <c r="F25" s="21">
        <v>1</v>
      </c>
      <c r="G25" s="22" t="s">
        <v>21</v>
      </c>
      <c r="H25" s="21">
        <v>60</v>
      </c>
      <c r="I25" s="22" t="s">
        <v>20</v>
      </c>
      <c r="J25" s="23">
        <v>18500</v>
      </c>
      <c r="K25" s="19" t="s">
        <v>20</v>
      </c>
      <c r="L25" s="24">
        <v>0.125</v>
      </c>
      <c r="M25" s="24">
        <v>0.05</v>
      </c>
      <c r="N25" s="18"/>
      <c r="O25" s="22" t="s">
        <v>20</v>
      </c>
      <c r="P25" s="18">
        <f t="shared" ref="P25:P32" si="3">(C25+(E25*F25*H25))-N25</f>
        <v>0</v>
      </c>
      <c r="Q25" s="22" t="s">
        <v>20</v>
      </c>
      <c r="R25" s="23">
        <f t="shared" ref="R25:R32" si="4">P25*(J25-(J25*L25)-((J25-(J25*L25))*M25))</f>
        <v>0</v>
      </c>
      <c r="S25" s="23">
        <f t="shared" si="2"/>
        <v>0</v>
      </c>
    </row>
    <row r="26" spans="1:19" s="26" customFormat="1">
      <c r="A26" s="35" t="s">
        <v>42</v>
      </c>
      <c r="B26" s="36" t="s">
        <v>26</v>
      </c>
      <c r="C26" s="37">
        <v>10</v>
      </c>
      <c r="D26" s="38" t="s">
        <v>43</v>
      </c>
      <c r="E26" s="39"/>
      <c r="F26" s="40">
        <v>1</v>
      </c>
      <c r="G26" s="41" t="s">
        <v>21</v>
      </c>
      <c r="H26" s="40">
        <v>5</v>
      </c>
      <c r="I26" s="41" t="s">
        <v>43</v>
      </c>
      <c r="J26" s="42">
        <f>660000/5</f>
        <v>132000</v>
      </c>
      <c r="K26" s="38" t="s">
        <v>43</v>
      </c>
      <c r="L26" s="43"/>
      <c r="M26" s="43">
        <v>0.17</v>
      </c>
      <c r="N26" s="201">
        <v>2.5</v>
      </c>
      <c r="O26" s="202" t="s">
        <v>43</v>
      </c>
      <c r="P26" s="201">
        <f t="shared" si="3"/>
        <v>7.5</v>
      </c>
      <c r="Q26" s="41" t="s">
        <v>43</v>
      </c>
      <c r="R26" s="42">
        <f t="shared" si="4"/>
        <v>821700</v>
      </c>
      <c r="S26" s="42">
        <f t="shared" si="2"/>
        <v>740270.27027027018</v>
      </c>
    </row>
    <row r="27" spans="1:19" s="26" customFormat="1">
      <c r="A27" s="35" t="s">
        <v>42</v>
      </c>
      <c r="B27" s="36" t="s">
        <v>26</v>
      </c>
      <c r="C27" s="37">
        <v>10</v>
      </c>
      <c r="D27" s="38" t="s">
        <v>43</v>
      </c>
      <c r="E27" s="39"/>
      <c r="F27" s="40">
        <v>1</v>
      </c>
      <c r="G27" s="41" t="s">
        <v>21</v>
      </c>
      <c r="H27" s="40">
        <v>5</v>
      </c>
      <c r="I27" s="41" t="s">
        <v>43</v>
      </c>
      <c r="J27" s="42">
        <f>720000/5</f>
        <v>144000</v>
      </c>
      <c r="K27" s="38" t="s">
        <v>43</v>
      </c>
      <c r="L27" s="43"/>
      <c r="M27" s="43">
        <v>0.17</v>
      </c>
      <c r="N27" s="201"/>
      <c r="O27" s="202" t="s">
        <v>43</v>
      </c>
      <c r="P27" s="201">
        <f t="shared" si="3"/>
        <v>10</v>
      </c>
      <c r="Q27" s="41" t="s">
        <v>43</v>
      </c>
      <c r="R27" s="42">
        <f t="shared" si="4"/>
        <v>1195200</v>
      </c>
      <c r="S27" s="42">
        <f t="shared" si="2"/>
        <v>1076756.7567567567</v>
      </c>
    </row>
    <row r="28" spans="1:19" s="45" customFormat="1">
      <c r="A28" s="44" t="s">
        <v>44</v>
      </c>
      <c r="B28" s="45" t="s">
        <v>26</v>
      </c>
      <c r="C28" s="46">
        <v>10</v>
      </c>
      <c r="D28" s="47" t="s">
        <v>43</v>
      </c>
      <c r="E28" s="48"/>
      <c r="F28" s="49">
        <v>1</v>
      </c>
      <c r="G28" s="50" t="s">
        <v>21</v>
      </c>
      <c r="H28" s="49">
        <v>5</v>
      </c>
      <c r="I28" s="50" t="s">
        <v>43</v>
      </c>
      <c r="J28" s="51">
        <f>708000/5</f>
        <v>141600</v>
      </c>
      <c r="K28" s="47" t="s">
        <v>43</v>
      </c>
      <c r="L28" s="52"/>
      <c r="M28" s="52">
        <v>0.17</v>
      </c>
      <c r="N28" s="168"/>
      <c r="O28" s="169" t="s">
        <v>43</v>
      </c>
      <c r="P28" s="168">
        <f t="shared" si="3"/>
        <v>10</v>
      </c>
      <c r="Q28" s="50" t="s">
        <v>43</v>
      </c>
      <c r="R28" s="51">
        <f t="shared" si="4"/>
        <v>1175280</v>
      </c>
      <c r="S28" s="32">
        <f t="shared" si="2"/>
        <v>1058810.8108108107</v>
      </c>
    </row>
    <row r="29" spans="1:19" s="26" customFormat="1">
      <c r="A29" s="35" t="s">
        <v>45</v>
      </c>
      <c r="B29" s="36" t="s">
        <v>26</v>
      </c>
      <c r="C29" s="37">
        <v>21</v>
      </c>
      <c r="D29" s="38" t="s">
        <v>43</v>
      </c>
      <c r="E29" s="39"/>
      <c r="F29" s="40">
        <v>1</v>
      </c>
      <c r="G29" s="41" t="s">
        <v>21</v>
      </c>
      <c r="H29" s="40">
        <v>5</v>
      </c>
      <c r="I29" s="41" t="s">
        <v>43</v>
      </c>
      <c r="J29" s="42">
        <f>840000/5</f>
        <v>168000</v>
      </c>
      <c r="K29" s="38" t="s">
        <v>43</v>
      </c>
      <c r="L29" s="43"/>
      <c r="M29" s="43">
        <v>0.17</v>
      </c>
      <c r="N29" s="201">
        <f>1+1+2.5</f>
        <v>4.5</v>
      </c>
      <c r="O29" s="202" t="s">
        <v>43</v>
      </c>
      <c r="P29" s="201">
        <f t="shared" si="3"/>
        <v>16.5</v>
      </c>
      <c r="Q29" s="41" t="s">
        <v>43</v>
      </c>
      <c r="R29" s="42">
        <f t="shared" si="4"/>
        <v>2300760</v>
      </c>
      <c r="S29" s="42">
        <f t="shared" si="2"/>
        <v>2072756.7567567567</v>
      </c>
    </row>
    <row r="30" spans="1:19" s="26" customFormat="1">
      <c r="A30" s="35" t="s">
        <v>45</v>
      </c>
      <c r="B30" s="36" t="s">
        <v>26</v>
      </c>
      <c r="C30" s="37">
        <v>5</v>
      </c>
      <c r="D30" s="38" t="s">
        <v>43</v>
      </c>
      <c r="E30" s="39"/>
      <c r="F30" s="40">
        <v>1</v>
      </c>
      <c r="G30" s="41" t="s">
        <v>21</v>
      </c>
      <c r="H30" s="40">
        <v>5</v>
      </c>
      <c r="I30" s="41" t="s">
        <v>43</v>
      </c>
      <c r="J30" s="42">
        <f>915000/5</f>
        <v>183000</v>
      </c>
      <c r="K30" s="38" t="s">
        <v>43</v>
      </c>
      <c r="L30" s="43"/>
      <c r="M30" s="43">
        <v>0.17</v>
      </c>
      <c r="N30" s="201"/>
      <c r="O30" s="202" t="s">
        <v>43</v>
      </c>
      <c r="P30" s="201">
        <f t="shared" si="3"/>
        <v>5</v>
      </c>
      <c r="Q30" s="41" t="s">
        <v>43</v>
      </c>
      <c r="R30" s="42">
        <f t="shared" si="4"/>
        <v>759450</v>
      </c>
      <c r="S30" s="42">
        <f t="shared" si="2"/>
        <v>684189.18918918911</v>
      </c>
    </row>
    <row r="31" spans="1:19" s="45" customFormat="1">
      <c r="A31" s="53" t="s">
        <v>46</v>
      </c>
      <c r="B31" s="54" t="s">
        <v>26</v>
      </c>
      <c r="C31" s="55">
        <v>5</v>
      </c>
      <c r="D31" s="56" t="s">
        <v>43</v>
      </c>
      <c r="E31" s="57"/>
      <c r="F31" s="58">
        <v>1</v>
      </c>
      <c r="G31" s="59" t="s">
        <v>21</v>
      </c>
      <c r="H31" s="58">
        <v>5</v>
      </c>
      <c r="I31" s="59" t="s">
        <v>43</v>
      </c>
      <c r="J31" s="60">
        <f>810000/5</f>
        <v>162000</v>
      </c>
      <c r="K31" s="56" t="s">
        <v>43</v>
      </c>
      <c r="L31" s="61"/>
      <c r="M31" s="61">
        <v>0.17</v>
      </c>
      <c r="N31" s="203">
        <f>1+1+2.5</f>
        <v>4.5</v>
      </c>
      <c r="O31" s="204" t="s">
        <v>43</v>
      </c>
      <c r="P31" s="203">
        <f t="shared" si="3"/>
        <v>0.5</v>
      </c>
      <c r="Q31" s="59" t="s">
        <v>43</v>
      </c>
      <c r="R31" s="60">
        <f t="shared" si="4"/>
        <v>67230</v>
      </c>
      <c r="S31" s="60">
        <f t="shared" si="2"/>
        <v>60567.567567567559</v>
      </c>
    </row>
    <row r="32" spans="1:19" s="63" customFormat="1">
      <c r="A32" s="73" t="s">
        <v>46</v>
      </c>
      <c r="B32" s="74" t="s">
        <v>26</v>
      </c>
      <c r="C32" s="75">
        <v>7</v>
      </c>
      <c r="D32" s="76" t="s">
        <v>20</v>
      </c>
      <c r="E32" s="77"/>
      <c r="F32" s="78">
        <v>5</v>
      </c>
      <c r="G32" s="79" t="s">
        <v>43</v>
      </c>
      <c r="H32" s="78">
        <v>12</v>
      </c>
      <c r="I32" s="79" t="s">
        <v>20</v>
      </c>
      <c r="J32" s="80">
        <f>810000/5/12</f>
        <v>13500</v>
      </c>
      <c r="K32" s="76" t="s">
        <v>20</v>
      </c>
      <c r="L32" s="81"/>
      <c r="M32" s="81">
        <v>0.17</v>
      </c>
      <c r="N32" s="205">
        <v>7</v>
      </c>
      <c r="O32" s="206" t="s">
        <v>20</v>
      </c>
      <c r="P32" s="205">
        <f t="shared" si="3"/>
        <v>0</v>
      </c>
      <c r="Q32" s="79" t="s">
        <v>20</v>
      </c>
      <c r="R32" s="80">
        <f t="shared" si="4"/>
        <v>0</v>
      </c>
      <c r="S32" s="80">
        <f t="shared" si="2"/>
        <v>0</v>
      </c>
    </row>
    <row r="33" spans="1:19">
      <c r="S33" s="23"/>
    </row>
    <row r="34" spans="1:19" ht="15.75">
      <c r="A34" s="14" t="s">
        <v>47</v>
      </c>
      <c r="S34" s="23"/>
    </row>
    <row r="35" spans="1:19" s="17" customFormat="1">
      <c r="A35" s="16" t="s">
        <v>48</v>
      </c>
      <c r="B35" s="17" t="s">
        <v>49</v>
      </c>
      <c r="C35" s="18"/>
      <c r="D35" s="19" t="s">
        <v>20</v>
      </c>
      <c r="E35" s="20"/>
      <c r="F35" s="21">
        <v>2</v>
      </c>
      <c r="G35" s="22" t="s">
        <v>34</v>
      </c>
      <c r="H35" s="21">
        <v>20</v>
      </c>
      <c r="I35" s="22" t="s">
        <v>20</v>
      </c>
      <c r="J35" s="23">
        <v>64000</v>
      </c>
      <c r="K35" s="19" t="s">
        <v>20</v>
      </c>
      <c r="L35" s="24">
        <v>0.125</v>
      </c>
      <c r="M35" s="24">
        <v>0.05</v>
      </c>
      <c r="N35" s="18"/>
      <c r="O35" s="22" t="s">
        <v>20</v>
      </c>
      <c r="P35" s="18">
        <f t="shared" ref="P35:P61" si="5">(C35+(E35*F35*H35))-N35</f>
        <v>0</v>
      </c>
      <c r="Q35" s="22" t="s">
        <v>20</v>
      </c>
      <c r="R35" s="23">
        <f t="shared" ref="R35:R61" si="6">P35*(J35-(J35*L35)-((J35-(J35*L35))*M35))</f>
        <v>0</v>
      </c>
      <c r="S35" s="23">
        <f t="shared" si="2"/>
        <v>0</v>
      </c>
    </row>
    <row r="36" spans="1:19" s="45" customFormat="1">
      <c r="A36" s="44" t="s">
        <v>50</v>
      </c>
      <c r="B36" s="45" t="s">
        <v>49</v>
      </c>
      <c r="C36" s="46">
        <v>5</v>
      </c>
      <c r="D36" s="47" t="s">
        <v>20</v>
      </c>
      <c r="E36" s="48">
        <v>1</v>
      </c>
      <c r="F36" s="49">
        <v>6</v>
      </c>
      <c r="G36" s="50" t="s">
        <v>34</v>
      </c>
      <c r="H36" s="49">
        <v>20</v>
      </c>
      <c r="I36" s="50" t="s">
        <v>20</v>
      </c>
      <c r="J36" s="51">
        <v>47000</v>
      </c>
      <c r="K36" s="47" t="s">
        <v>20</v>
      </c>
      <c r="L36" s="52">
        <v>0.125</v>
      </c>
      <c r="M36" s="52">
        <v>0.05</v>
      </c>
      <c r="N36" s="46">
        <v>20</v>
      </c>
      <c r="O36" s="50" t="s">
        <v>20</v>
      </c>
      <c r="P36" s="46">
        <f t="shared" si="5"/>
        <v>105</v>
      </c>
      <c r="Q36" s="50" t="s">
        <v>20</v>
      </c>
      <c r="R36" s="51">
        <f t="shared" si="6"/>
        <v>4102218.75</v>
      </c>
      <c r="S36" s="51">
        <f t="shared" si="2"/>
        <v>3695692.5675675673</v>
      </c>
    </row>
    <row r="37" spans="1:19" s="26" customFormat="1">
      <c r="A37" s="25" t="s">
        <v>51</v>
      </c>
      <c r="B37" s="26" t="s">
        <v>49</v>
      </c>
      <c r="C37" s="27"/>
      <c r="D37" s="28" t="s">
        <v>20</v>
      </c>
      <c r="E37" s="29">
        <v>1</v>
      </c>
      <c r="F37" s="30">
        <v>6</v>
      </c>
      <c r="G37" s="31" t="s">
        <v>34</v>
      </c>
      <c r="H37" s="30">
        <v>20</v>
      </c>
      <c r="I37" s="31" t="s">
        <v>20</v>
      </c>
      <c r="J37" s="32">
        <v>47000</v>
      </c>
      <c r="K37" s="28" t="s">
        <v>20</v>
      </c>
      <c r="L37" s="33">
        <v>0.125</v>
      </c>
      <c r="M37" s="33">
        <v>0.05</v>
      </c>
      <c r="N37" s="27">
        <v>20</v>
      </c>
      <c r="O37" s="31" t="s">
        <v>20</v>
      </c>
      <c r="P37" s="27">
        <f t="shared" si="5"/>
        <v>100</v>
      </c>
      <c r="Q37" s="31" t="s">
        <v>20</v>
      </c>
      <c r="R37" s="32">
        <f t="shared" si="6"/>
        <v>3906875</v>
      </c>
      <c r="S37" s="32">
        <f t="shared" si="2"/>
        <v>3519707.2072072071</v>
      </c>
    </row>
    <row r="38" spans="1:19" s="17" customFormat="1">
      <c r="A38" s="16" t="s">
        <v>52</v>
      </c>
      <c r="B38" s="17" t="s">
        <v>49</v>
      </c>
      <c r="C38" s="18"/>
      <c r="D38" s="19" t="s">
        <v>20</v>
      </c>
      <c r="E38" s="20"/>
      <c r="F38" s="21">
        <v>6</v>
      </c>
      <c r="G38" s="22" t="s">
        <v>34</v>
      </c>
      <c r="H38" s="21">
        <v>20</v>
      </c>
      <c r="I38" s="22" t="s">
        <v>20</v>
      </c>
      <c r="J38" s="23">
        <v>48000</v>
      </c>
      <c r="K38" s="19" t="s">
        <v>20</v>
      </c>
      <c r="L38" s="24">
        <v>0.125</v>
      </c>
      <c r="M38" s="24">
        <v>0.05</v>
      </c>
      <c r="N38" s="18"/>
      <c r="O38" s="22" t="s">
        <v>20</v>
      </c>
      <c r="P38" s="18">
        <f t="shared" si="5"/>
        <v>0</v>
      </c>
      <c r="Q38" s="22" t="s">
        <v>20</v>
      </c>
      <c r="R38" s="23">
        <f t="shared" si="6"/>
        <v>0</v>
      </c>
      <c r="S38" s="23">
        <f t="shared" si="2"/>
        <v>0</v>
      </c>
    </row>
    <row r="39" spans="1:19" s="26" customFormat="1">
      <c r="A39" s="25" t="s">
        <v>53</v>
      </c>
      <c r="B39" s="26" t="s">
        <v>49</v>
      </c>
      <c r="C39" s="27"/>
      <c r="D39" s="28" t="s">
        <v>20</v>
      </c>
      <c r="E39" s="29">
        <v>1</v>
      </c>
      <c r="F39" s="30">
        <v>4</v>
      </c>
      <c r="G39" s="31" t="s">
        <v>34</v>
      </c>
      <c r="H39" s="30">
        <v>20</v>
      </c>
      <c r="I39" s="31" t="s">
        <v>20</v>
      </c>
      <c r="J39" s="32">
        <v>49000</v>
      </c>
      <c r="K39" s="28" t="s">
        <v>20</v>
      </c>
      <c r="L39" s="33">
        <v>0.125</v>
      </c>
      <c r="M39" s="33">
        <v>0.05</v>
      </c>
      <c r="N39" s="27">
        <f>20+6</f>
        <v>26</v>
      </c>
      <c r="O39" s="31" t="s">
        <v>20</v>
      </c>
      <c r="P39" s="27">
        <f t="shared" si="5"/>
        <v>54</v>
      </c>
      <c r="Q39" s="31" t="s">
        <v>20</v>
      </c>
      <c r="R39" s="32">
        <f t="shared" si="6"/>
        <v>2199487.5</v>
      </c>
      <c r="S39" s="32">
        <f t="shared" si="2"/>
        <v>1981520.2702702701</v>
      </c>
    </row>
    <row r="40" spans="1:19" s="45" customFormat="1">
      <c r="A40" s="35" t="s">
        <v>54</v>
      </c>
      <c r="B40" s="36" t="s">
        <v>49</v>
      </c>
      <c r="C40" s="37">
        <v>2</v>
      </c>
      <c r="D40" s="38" t="s">
        <v>20</v>
      </c>
      <c r="E40" s="39">
        <v>1</v>
      </c>
      <c r="F40" s="40">
        <v>6</v>
      </c>
      <c r="G40" s="41" t="s">
        <v>34</v>
      </c>
      <c r="H40" s="40">
        <v>20</v>
      </c>
      <c r="I40" s="41" t="s">
        <v>20</v>
      </c>
      <c r="J40" s="42">
        <v>47000</v>
      </c>
      <c r="K40" s="38" t="s">
        <v>20</v>
      </c>
      <c r="L40" s="43">
        <v>0.125</v>
      </c>
      <c r="M40" s="43">
        <v>0.1</v>
      </c>
      <c r="N40" s="37">
        <f>20+20</f>
        <v>40</v>
      </c>
      <c r="O40" s="41" t="s">
        <v>20</v>
      </c>
      <c r="P40" s="37">
        <f t="shared" si="5"/>
        <v>82</v>
      </c>
      <c r="Q40" s="41" t="s">
        <v>20</v>
      </c>
      <c r="R40" s="42">
        <f t="shared" si="6"/>
        <v>3035025</v>
      </c>
      <c r="S40" s="42">
        <f t="shared" si="2"/>
        <v>2734256.7567567565</v>
      </c>
    </row>
    <row r="41" spans="1:19" s="45" customFormat="1">
      <c r="A41" s="35" t="s">
        <v>54</v>
      </c>
      <c r="B41" s="36" t="s">
        <v>49</v>
      </c>
      <c r="C41" s="37"/>
      <c r="D41" s="38" t="s">
        <v>20</v>
      </c>
      <c r="E41" s="39">
        <v>1</v>
      </c>
      <c r="F41" s="40">
        <v>6</v>
      </c>
      <c r="G41" s="41" t="s">
        <v>34</v>
      </c>
      <c r="H41" s="40">
        <v>20</v>
      </c>
      <c r="I41" s="41" t="s">
        <v>20</v>
      </c>
      <c r="J41" s="42">
        <v>47000</v>
      </c>
      <c r="K41" s="38" t="s">
        <v>20</v>
      </c>
      <c r="L41" s="43">
        <v>0.125</v>
      </c>
      <c r="M41" s="43">
        <v>0.05</v>
      </c>
      <c r="N41" s="37"/>
      <c r="O41" s="41" t="s">
        <v>20</v>
      </c>
      <c r="P41" s="37">
        <f t="shared" ref="P41" si="7">(C41+(E41*F41*H41))-N41</f>
        <v>120</v>
      </c>
      <c r="Q41" s="41" t="s">
        <v>20</v>
      </c>
      <c r="R41" s="42">
        <f t="shared" ref="R41" si="8">P41*(J41-(J41*L41)-((J41-(J41*L41))*M41))</f>
        <v>4688250</v>
      </c>
      <c r="S41" s="42">
        <f t="shared" ref="S41" si="9">R41/1.11</f>
        <v>4223648.6486486485</v>
      </c>
    </row>
    <row r="42" spans="1:19" s="26" customFormat="1">
      <c r="A42" s="25" t="s">
        <v>55</v>
      </c>
      <c r="B42" s="26" t="s">
        <v>49</v>
      </c>
      <c r="C42" s="27"/>
      <c r="D42" s="28" t="s">
        <v>20</v>
      </c>
      <c r="E42" s="29">
        <v>1</v>
      </c>
      <c r="F42" s="30">
        <v>4</v>
      </c>
      <c r="G42" s="31" t="s">
        <v>34</v>
      </c>
      <c r="H42" s="30">
        <v>40</v>
      </c>
      <c r="I42" s="31" t="s">
        <v>20</v>
      </c>
      <c r="J42" s="32">
        <v>37000</v>
      </c>
      <c r="K42" s="28" t="s">
        <v>20</v>
      </c>
      <c r="L42" s="33">
        <v>0.125</v>
      </c>
      <c r="M42" s="33">
        <v>0.05</v>
      </c>
      <c r="N42" s="27">
        <v>20</v>
      </c>
      <c r="O42" s="31" t="s">
        <v>20</v>
      </c>
      <c r="P42" s="27">
        <f t="shared" si="5"/>
        <v>140</v>
      </c>
      <c r="Q42" s="31" t="s">
        <v>20</v>
      </c>
      <c r="R42" s="32">
        <f t="shared" si="6"/>
        <v>4305875</v>
      </c>
      <c r="S42" s="32">
        <f t="shared" si="2"/>
        <v>3879166.6666666665</v>
      </c>
    </row>
    <row r="43" spans="1:19" s="26" customFormat="1">
      <c r="A43" s="25" t="s">
        <v>56</v>
      </c>
      <c r="B43" s="26" t="s">
        <v>49</v>
      </c>
      <c r="C43" s="27">
        <v>62</v>
      </c>
      <c r="D43" s="28" t="s">
        <v>20</v>
      </c>
      <c r="E43" s="29">
        <v>1</v>
      </c>
      <c r="F43" s="30">
        <v>4</v>
      </c>
      <c r="G43" s="31" t="s">
        <v>34</v>
      </c>
      <c r="H43" s="30">
        <v>20</v>
      </c>
      <c r="I43" s="31" t="s">
        <v>20</v>
      </c>
      <c r="J43" s="32">
        <v>49000</v>
      </c>
      <c r="K43" s="28" t="s">
        <v>20</v>
      </c>
      <c r="L43" s="33">
        <v>0.125</v>
      </c>
      <c r="M43" s="33">
        <v>0.1</v>
      </c>
      <c r="N43" s="27">
        <f>10+12+80</f>
        <v>102</v>
      </c>
      <c r="O43" s="31" t="s">
        <v>20</v>
      </c>
      <c r="P43" s="27">
        <f t="shared" si="5"/>
        <v>40</v>
      </c>
      <c r="Q43" s="31" t="s">
        <v>20</v>
      </c>
      <c r="R43" s="32">
        <f t="shared" si="6"/>
        <v>1543500</v>
      </c>
      <c r="S43" s="32">
        <f t="shared" si="2"/>
        <v>1390540.5405405404</v>
      </c>
    </row>
    <row r="44" spans="1:19" s="26" customFormat="1">
      <c r="A44" s="25" t="s">
        <v>57</v>
      </c>
      <c r="B44" s="26" t="s">
        <v>49</v>
      </c>
      <c r="C44" s="27">
        <v>48</v>
      </c>
      <c r="D44" s="28" t="s">
        <v>20</v>
      </c>
      <c r="E44" s="29"/>
      <c r="F44" s="30">
        <v>4</v>
      </c>
      <c r="G44" s="31" t="s">
        <v>34</v>
      </c>
      <c r="H44" s="30">
        <v>20</v>
      </c>
      <c r="I44" s="31" t="s">
        <v>20</v>
      </c>
      <c r="J44" s="32">
        <v>66000</v>
      </c>
      <c r="K44" s="28" t="s">
        <v>20</v>
      </c>
      <c r="L44" s="33">
        <v>0.125</v>
      </c>
      <c r="M44" s="33">
        <v>0.1</v>
      </c>
      <c r="N44" s="27">
        <v>12</v>
      </c>
      <c r="O44" s="31" t="s">
        <v>20</v>
      </c>
      <c r="P44" s="27">
        <f t="shared" si="5"/>
        <v>36</v>
      </c>
      <c r="Q44" s="31" t="s">
        <v>20</v>
      </c>
      <c r="R44" s="32">
        <f t="shared" si="6"/>
        <v>1871100</v>
      </c>
      <c r="S44" s="32">
        <f t="shared" si="2"/>
        <v>1685675.6756756755</v>
      </c>
    </row>
    <row r="45" spans="1:19" s="17" customFormat="1">
      <c r="A45" s="16" t="s">
        <v>58</v>
      </c>
      <c r="B45" s="17" t="s">
        <v>49</v>
      </c>
      <c r="C45" s="18"/>
      <c r="D45" s="19" t="s">
        <v>20</v>
      </c>
      <c r="E45" s="20"/>
      <c r="F45" s="21">
        <v>6</v>
      </c>
      <c r="G45" s="22" t="s">
        <v>34</v>
      </c>
      <c r="H45" s="21">
        <v>10</v>
      </c>
      <c r="I45" s="22" t="s">
        <v>20</v>
      </c>
      <c r="J45" s="23">
        <v>73000</v>
      </c>
      <c r="K45" s="19" t="s">
        <v>20</v>
      </c>
      <c r="L45" s="24">
        <v>0.125</v>
      </c>
      <c r="M45" s="24">
        <v>0.05</v>
      </c>
      <c r="N45" s="18"/>
      <c r="O45" s="22" t="s">
        <v>20</v>
      </c>
      <c r="P45" s="18">
        <f t="shared" si="5"/>
        <v>0</v>
      </c>
      <c r="Q45" s="22" t="s">
        <v>20</v>
      </c>
      <c r="R45" s="23">
        <f t="shared" si="6"/>
        <v>0</v>
      </c>
      <c r="S45" s="23">
        <f t="shared" si="2"/>
        <v>0</v>
      </c>
    </row>
    <row r="46" spans="1:19" s="17" customFormat="1">
      <c r="A46" s="16" t="s">
        <v>59</v>
      </c>
      <c r="B46" s="17" t="s">
        <v>49</v>
      </c>
      <c r="C46" s="18"/>
      <c r="D46" s="19" t="s">
        <v>20</v>
      </c>
      <c r="E46" s="20"/>
      <c r="F46" s="21">
        <v>8</v>
      </c>
      <c r="G46" s="22" t="s">
        <v>34</v>
      </c>
      <c r="H46" s="21">
        <v>10</v>
      </c>
      <c r="I46" s="22" t="s">
        <v>20</v>
      </c>
      <c r="J46" s="23">
        <v>56000</v>
      </c>
      <c r="K46" s="19" t="s">
        <v>20</v>
      </c>
      <c r="L46" s="24">
        <v>0.125</v>
      </c>
      <c r="M46" s="24">
        <v>0.05</v>
      </c>
      <c r="N46" s="18"/>
      <c r="O46" s="22" t="s">
        <v>20</v>
      </c>
      <c r="P46" s="18">
        <f t="shared" si="5"/>
        <v>0</v>
      </c>
      <c r="Q46" s="22" t="s">
        <v>20</v>
      </c>
      <c r="R46" s="23">
        <f t="shared" si="6"/>
        <v>0</v>
      </c>
      <c r="S46" s="23">
        <f t="shared" si="2"/>
        <v>0</v>
      </c>
    </row>
    <row r="47" spans="1:19" s="17" customFormat="1">
      <c r="A47" s="16" t="s">
        <v>60</v>
      </c>
      <c r="B47" s="17" t="s">
        <v>49</v>
      </c>
      <c r="C47" s="18"/>
      <c r="D47" s="19" t="s">
        <v>20</v>
      </c>
      <c r="E47" s="20"/>
      <c r="F47" s="21">
        <v>6</v>
      </c>
      <c r="G47" s="22" t="s">
        <v>34</v>
      </c>
      <c r="H47" s="21">
        <v>20</v>
      </c>
      <c r="I47" s="22" t="s">
        <v>20</v>
      </c>
      <c r="J47" s="23">
        <v>45000</v>
      </c>
      <c r="K47" s="19" t="s">
        <v>20</v>
      </c>
      <c r="L47" s="24">
        <v>0.125</v>
      </c>
      <c r="M47" s="24">
        <v>0.05</v>
      </c>
      <c r="N47" s="18"/>
      <c r="O47" s="22" t="s">
        <v>20</v>
      </c>
      <c r="P47" s="18">
        <f t="shared" si="5"/>
        <v>0</v>
      </c>
      <c r="Q47" s="22" t="s">
        <v>20</v>
      </c>
      <c r="R47" s="23">
        <f t="shared" si="6"/>
        <v>0</v>
      </c>
      <c r="S47" s="23">
        <f t="shared" si="2"/>
        <v>0</v>
      </c>
    </row>
    <row r="48" spans="1:19" s="17" customFormat="1">
      <c r="A48" s="16" t="s">
        <v>61</v>
      </c>
      <c r="B48" s="17" t="s">
        <v>49</v>
      </c>
      <c r="C48" s="18"/>
      <c r="D48" s="19" t="s">
        <v>20</v>
      </c>
      <c r="E48" s="20"/>
      <c r="F48" s="21">
        <v>8</v>
      </c>
      <c r="G48" s="22" t="s">
        <v>34</v>
      </c>
      <c r="H48" s="21">
        <v>20</v>
      </c>
      <c r="I48" s="22" t="s">
        <v>20</v>
      </c>
      <c r="J48" s="23">
        <v>32000</v>
      </c>
      <c r="K48" s="19" t="s">
        <v>20</v>
      </c>
      <c r="L48" s="24">
        <v>0.125</v>
      </c>
      <c r="M48" s="24">
        <v>0.05</v>
      </c>
      <c r="N48" s="18"/>
      <c r="O48" s="22" t="s">
        <v>20</v>
      </c>
      <c r="P48" s="18">
        <f t="shared" si="5"/>
        <v>0</v>
      </c>
      <c r="Q48" s="22" t="s">
        <v>20</v>
      </c>
      <c r="R48" s="23">
        <f t="shared" si="6"/>
        <v>0</v>
      </c>
      <c r="S48" s="23">
        <f t="shared" si="2"/>
        <v>0</v>
      </c>
    </row>
    <row r="49" spans="1:19" s="17" customFormat="1">
      <c r="A49" s="16" t="s">
        <v>62</v>
      </c>
      <c r="B49" s="17" t="s">
        <v>49</v>
      </c>
      <c r="C49" s="18"/>
      <c r="D49" s="19" t="s">
        <v>20</v>
      </c>
      <c r="E49" s="20"/>
      <c r="F49" s="21">
        <v>8</v>
      </c>
      <c r="G49" s="22" t="s">
        <v>34</v>
      </c>
      <c r="H49" s="21">
        <v>20</v>
      </c>
      <c r="I49" s="22" t="s">
        <v>20</v>
      </c>
      <c r="J49" s="23">
        <v>27500</v>
      </c>
      <c r="K49" s="19" t="s">
        <v>20</v>
      </c>
      <c r="L49" s="24">
        <v>0.125</v>
      </c>
      <c r="M49" s="24">
        <v>0.05</v>
      </c>
      <c r="N49" s="18"/>
      <c r="O49" s="22" t="s">
        <v>20</v>
      </c>
      <c r="P49" s="18">
        <f t="shared" si="5"/>
        <v>0</v>
      </c>
      <c r="Q49" s="22" t="s">
        <v>20</v>
      </c>
      <c r="R49" s="23">
        <f t="shared" si="6"/>
        <v>0</v>
      </c>
      <c r="S49" s="23">
        <f t="shared" si="2"/>
        <v>0</v>
      </c>
    </row>
    <row r="50" spans="1:19" s="45" customFormat="1">
      <c r="A50" s="44" t="s">
        <v>63</v>
      </c>
      <c r="B50" s="45" t="s">
        <v>49</v>
      </c>
      <c r="C50" s="46">
        <v>31</v>
      </c>
      <c r="D50" s="47" t="s">
        <v>20</v>
      </c>
      <c r="E50" s="48"/>
      <c r="F50" s="49">
        <v>4</v>
      </c>
      <c r="G50" s="50" t="s">
        <v>34</v>
      </c>
      <c r="H50" s="49">
        <v>20</v>
      </c>
      <c r="I50" s="50" t="s">
        <v>20</v>
      </c>
      <c r="J50" s="51">
        <v>54000</v>
      </c>
      <c r="K50" s="47" t="s">
        <v>20</v>
      </c>
      <c r="L50" s="52">
        <v>0.125</v>
      </c>
      <c r="M50" s="52">
        <v>0.05</v>
      </c>
      <c r="N50" s="46">
        <f>6+2+10</f>
        <v>18</v>
      </c>
      <c r="O50" s="50" t="s">
        <v>20</v>
      </c>
      <c r="P50" s="46">
        <f t="shared" si="5"/>
        <v>13</v>
      </c>
      <c r="Q50" s="50" t="s">
        <v>20</v>
      </c>
      <c r="R50" s="51">
        <f t="shared" si="6"/>
        <v>583537.5</v>
      </c>
      <c r="S50" s="51">
        <f t="shared" si="2"/>
        <v>525709.45945945941</v>
      </c>
    </row>
    <row r="51" spans="1:19" s="45" customFormat="1">
      <c r="A51" s="44" t="s">
        <v>64</v>
      </c>
      <c r="B51" s="45" t="s">
        <v>49</v>
      </c>
      <c r="C51" s="46">
        <v>44</v>
      </c>
      <c r="D51" s="47" t="s">
        <v>20</v>
      </c>
      <c r="E51" s="48"/>
      <c r="F51" s="49">
        <v>6</v>
      </c>
      <c r="G51" s="50" t="s">
        <v>34</v>
      </c>
      <c r="H51" s="49">
        <v>10</v>
      </c>
      <c r="I51" s="50" t="s">
        <v>20</v>
      </c>
      <c r="J51" s="51">
        <v>72000</v>
      </c>
      <c r="K51" s="47" t="s">
        <v>20</v>
      </c>
      <c r="L51" s="52">
        <v>0.125</v>
      </c>
      <c r="M51" s="52">
        <v>0.05</v>
      </c>
      <c r="N51" s="46"/>
      <c r="O51" s="50" t="s">
        <v>20</v>
      </c>
      <c r="P51" s="46">
        <f>(C51+(E51*F51*H51))-N51</f>
        <v>44</v>
      </c>
      <c r="Q51" s="50" t="s">
        <v>20</v>
      </c>
      <c r="R51" s="51">
        <f>P51*(J51-(J51*L51)-((J51-(J51*L51))*M51))</f>
        <v>2633400</v>
      </c>
      <c r="S51" s="51">
        <f t="shared" si="2"/>
        <v>2372432.4324324322</v>
      </c>
    </row>
    <row r="52" spans="1:19" s="26" customFormat="1">
      <c r="A52" s="25" t="s">
        <v>65</v>
      </c>
      <c r="B52" s="26" t="s">
        <v>49</v>
      </c>
      <c r="C52" s="27">
        <v>77</v>
      </c>
      <c r="D52" s="28" t="s">
        <v>20</v>
      </c>
      <c r="E52" s="29"/>
      <c r="F52" s="30">
        <v>6</v>
      </c>
      <c r="G52" s="31" t="s">
        <v>34</v>
      </c>
      <c r="H52" s="30">
        <v>20</v>
      </c>
      <c r="I52" s="31" t="s">
        <v>20</v>
      </c>
      <c r="J52" s="32">
        <v>52000</v>
      </c>
      <c r="K52" s="28" t="s">
        <v>20</v>
      </c>
      <c r="L52" s="33">
        <v>0.125</v>
      </c>
      <c r="M52" s="33">
        <v>0.05</v>
      </c>
      <c r="N52" s="27">
        <f>6+6</f>
        <v>12</v>
      </c>
      <c r="O52" s="31" t="s">
        <v>20</v>
      </c>
      <c r="P52" s="27">
        <f t="shared" si="5"/>
        <v>65</v>
      </c>
      <c r="Q52" s="31" t="s">
        <v>20</v>
      </c>
      <c r="R52" s="32">
        <f t="shared" si="6"/>
        <v>2809625</v>
      </c>
      <c r="S52" s="32">
        <f t="shared" si="2"/>
        <v>2531193.6936936933</v>
      </c>
    </row>
    <row r="53" spans="1:19" s="45" customFormat="1">
      <c r="A53" s="44" t="s">
        <v>66</v>
      </c>
      <c r="B53" s="45" t="s">
        <v>49</v>
      </c>
      <c r="C53" s="46">
        <v>80</v>
      </c>
      <c r="D53" s="47" t="s">
        <v>20</v>
      </c>
      <c r="E53" s="48"/>
      <c r="F53" s="49">
        <v>6</v>
      </c>
      <c r="G53" s="50" t="s">
        <v>34</v>
      </c>
      <c r="H53" s="49">
        <v>20</v>
      </c>
      <c r="I53" s="50" t="s">
        <v>20</v>
      </c>
      <c r="J53" s="51">
        <v>37000</v>
      </c>
      <c r="K53" s="47" t="s">
        <v>20</v>
      </c>
      <c r="L53" s="52">
        <v>0.125</v>
      </c>
      <c r="M53" s="52">
        <v>0.05</v>
      </c>
      <c r="N53" s="46">
        <f>6+6</f>
        <v>12</v>
      </c>
      <c r="O53" s="50" t="s">
        <v>20</v>
      </c>
      <c r="P53" s="46">
        <f t="shared" si="5"/>
        <v>68</v>
      </c>
      <c r="Q53" s="50" t="s">
        <v>20</v>
      </c>
      <c r="R53" s="51">
        <f t="shared" si="6"/>
        <v>2091425</v>
      </c>
      <c r="S53" s="32">
        <f t="shared" si="2"/>
        <v>1884166.6666666665</v>
      </c>
    </row>
    <row r="54" spans="1:19" s="17" customFormat="1">
      <c r="A54" s="16" t="s">
        <v>67</v>
      </c>
      <c r="B54" s="17" t="s">
        <v>49</v>
      </c>
      <c r="C54" s="18"/>
      <c r="D54" s="19" t="s">
        <v>20</v>
      </c>
      <c r="E54" s="20"/>
      <c r="F54" s="21">
        <v>6</v>
      </c>
      <c r="G54" s="22" t="s">
        <v>34</v>
      </c>
      <c r="H54" s="21">
        <v>10</v>
      </c>
      <c r="I54" s="22" t="s">
        <v>20</v>
      </c>
      <c r="J54" s="23">
        <v>65000</v>
      </c>
      <c r="K54" s="19" t="s">
        <v>20</v>
      </c>
      <c r="L54" s="24">
        <v>0.125</v>
      </c>
      <c r="M54" s="24">
        <v>0.05</v>
      </c>
      <c r="N54" s="18"/>
      <c r="O54" s="22" t="s">
        <v>20</v>
      </c>
      <c r="P54" s="18">
        <f t="shared" si="5"/>
        <v>0</v>
      </c>
      <c r="Q54" s="22" t="s">
        <v>20</v>
      </c>
      <c r="R54" s="23">
        <f t="shared" si="6"/>
        <v>0</v>
      </c>
      <c r="S54" s="23">
        <f t="shared" si="2"/>
        <v>0</v>
      </c>
    </row>
    <row r="55" spans="1:19" s="17" customFormat="1">
      <c r="A55" s="95" t="s">
        <v>68</v>
      </c>
      <c r="B55" s="96" t="s">
        <v>49</v>
      </c>
      <c r="C55" s="97">
        <v>3</v>
      </c>
      <c r="D55" s="98" t="s">
        <v>20</v>
      </c>
      <c r="E55" s="105"/>
      <c r="F55" s="100">
        <v>6</v>
      </c>
      <c r="G55" s="101" t="s">
        <v>34</v>
      </c>
      <c r="H55" s="100">
        <v>10</v>
      </c>
      <c r="I55" s="101" t="s">
        <v>20</v>
      </c>
      <c r="J55" s="102">
        <v>68000</v>
      </c>
      <c r="K55" s="98" t="s">
        <v>20</v>
      </c>
      <c r="L55" s="103">
        <v>0.125</v>
      </c>
      <c r="M55" s="103">
        <v>0.1</v>
      </c>
      <c r="N55" s="97">
        <f>20-17</f>
        <v>3</v>
      </c>
      <c r="O55" s="101" t="s">
        <v>20</v>
      </c>
      <c r="P55" s="97">
        <f t="shared" si="5"/>
        <v>0</v>
      </c>
      <c r="Q55" s="101" t="s">
        <v>20</v>
      </c>
      <c r="R55" s="102">
        <f t="shared" si="6"/>
        <v>0</v>
      </c>
      <c r="S55" s="102">
        <f t="shared" si="2"/>
        <v>0</v>
      </c>
    </row>
    <row r="56" spans="1:19" s="26" customFormat="1">
      <c r="A56" s="35" t="s">
        <v>68</v>
      </c>
      <c r="B56" s="36" t="s">
        <v>49</v>
      </c>
      <c r="C56" s="37"/>
      <c r="D56" s="38" t="s">
        <v>20</v>
      </c>
      <c r="E56" s="39">
        <v>1</v>
      </c>
      <c r="F56" s="40">
        <v>6</v>
      </c>
      <c r="G56" s="41" t="s">
        <v>34</v>
      </c>
      <c r="H56" s="40">
        <v>10</v>
      </c>
      <c r="I56" s="41" t="s">
        <v>20</v>
      </c>
      <c r="J56" s="42">
        <v>71000</v>
      </c>
      <c r="K56" s="38" t="s">
        <v>20</v>
      </c>
      <c r="L56" s="43">
        <v>0.125</v>
      </c>
      <c r="M56" s="43">
        <v>0.05</v>
      </c>
      <c r="N56" s="37">
        <f>(20-3)</f>
        <v>17</v>
      </c>
      <c r="O56" s="41" t="s">
        <v>20</v>
      </c>
      <c r="P56" s="37">
        <f t="shared" ref="P56" si="10">(C56+(E56*F56*H56))-N56</f>
        <v>43</v>
      </c>
      <c r="Q56" s="41" t="s">
        <v>20</v>
      </c>
      <c r="R56" s="42">
        <f t="shared" ref="R56" si="11">P56*(J56-(J56*L56)-((J56-(J56*L56))*M56))</f>
        <v>2537806.25</v>
      </c>
      <c r="S56" s="42">
        <f t="shared" ref="S56" si="12">R56/1.11</f>
        <v>2286311.9369369368</v>
      </c>
    </row>
    <row r="57" spans="1:19" s="45" customFormat="1">
      <c r="A57" s="44" t="s">
        <v>69</v>
      </c>
      <c r="B57" s="45" t="s">
        <v>49</v>
      </c>
      <c r="C57" s="46">
        <v>3</v>
      </c>
      <c r="D57" s="47" t="s">
        <v>20</v>
      </c>
      <c r="E57" s="48">
        <v>1</v>
      </c>
      <c r="F57" s="49">
        <v>6</v>
      </c>
      <c r="G57" s="50" t="s">
        <v>34</v>
      </c>
      <c r="H57" s="49">
        <v>10</v>
      </c>
      <c r="I57" s="50" t="s">
        <v>20</v>
      </c>
      <c r="J57" s="51">
        <v>75000</v>
      </c>
      <c r="K57" s="47" t="s">
        <v>20</v>
      </c>
      <c r="L57" s="52">
        <v>0.125</v>
      </c>
      <c r="M57" s="52">
        <v>0.05</v>
      </c>
      <c r="N57" s="46">
        <v>20</v>
      </c>
      <c r="O57" s="50" t="s">
        <v>20</v>
      </c>
      <c r="P57" s="46">
        <f>(C57+(E57*F57*H57))-N57</f>
        <v>43</v>
      </c>
      <c r="Q57" s="50" t="s">
        <v>20</v>
      </c>
      <c r="R57" s="51">
        <f>P57*(J57-(J57*L57)-((J57-(J57*L57))*M57))</f>
        <v>2680781.25</v>
      </c>
      <c r="S57" s="32">
        <f t="shared" si="2"/>
        <v>2415118.2432432431</v>
      </c>
    </row>
    <row r="58" spans="1:19" s="26" customFormat="1">
      <c r="A58" s="25" t="s">
        <v>70</v>
      </c>
      <c r="B58" s="26" t="s">
        <v>49</v>
      </c>
      <c r="C58" s="27">
        <v>11</v>
      </c>
      <c r="D58" s="28" t="s">
        <v>20</v>
      </c>
      <c r="E58" s="29"/>
      <c r="F58" s="30">
        <v>6</v>
      </c>
      <c r="G58" s="31" t="s">
        <v>34</v>
      </c>
      <c r="H58" s="30">
        <v>10</v>
      </c>
      <c r="I58" s="31" t="s">
        <v>20</v>
      </c>
      <c r="J58" s="32">
        <v>52000</v>
      </c>
      <c r="K58" s="28" t="s">
        <v>20</v>
      </c>
      <c r="L58" s="33">
        <v>0.125</v>
      </c>
      <c r="M58" s="33">
        <v>0.1</v>
      </c>
      <c r="N58" s="27"/>
      <c r="O58" s="31" t="s">
        <v>20</v>
      </c>
      <c r="P58" s="27">
        <f t="shared" si="5"/>
        <v>11</v>
      </c>
      <c r="Q58" s="31" t="s">
        <v>20</v>
      </c>
      <c r="R58" s="32">
        <f t="shared" si="6"/>
        <v>450450</v>
      </c>
      <c r="S58" s="32">
        <f t="shared" si="2"/>
        <v>405810.81081081077</v>
      </c>
    </row>
    <row r="59" spans="1:19" s="45" customFormat="1">
      <c r="A59" s="44" t="s">
        <v>71</v>
      </c>
      <c r="B59" s="45" t="s">
        <v>49</v>
      </c>
      <c r="C59" s="46">
        <v>67</v>
      </c>
      <c r="D59" s="47" t="s">
        <v>20</v>
      </c>
      <c r="E59" s="48">
        <v>1</v>
      </c>
      <c r="F59" s="49">
        <v>6</v>
      </c>
      <c r="G59" s="50" t="s">
        <v>34</v>
      </c>
      <c r="H59" s="49">
        <v>20</v>
      </c>
      <c r="I59" s="50" t="s">
        <v>20</v>
      </c>
      <c r="J59" s="51">
        <v>39000</v>
      </c>
      <c r="K59" s="47" t="s">
        <v>20</v>
      </c>
      <c r="L59" s="52">
        <v>0.125</v>
      </c>
      <c r="M59" s="52">
        <v>0.05</v>
      </c>
      <c r="N59" s="46">
        <v>120</v>
      </c>
      <c r="O59" s="50" t="s">
        <v>20</v>
      </c>
      <c r="P59" s="46">
        <f>(C59+(E59*F59*H59))-N59</f>
        <v>67</v>
      </c>
      <c r="Q59" s="50" t="s">
        <v>20</v>
      </c>
      <c r="R59" s="51">
        <f>P59*(J59-(J59*L59)-((J59-(J59*L59))*M59))</f>
        <v>2172056.25</v>
      </c>
      <c r="S59" s="32">
        <f t="shared" si="2"/>
        <v>1956807.4324324322</v>
      </c>
    </row>
    <row r="60" spans="1:19" s="17" customFormat="1">
      <c r="A60" s="16" t="s">
        <v>72</v>
      </c>
      <c r="B60" s="17" t="s">
        <v>49</v>
      </c>
      <c r="C60" s="18"/>
      <c r="D60" s="19" t="s">
        <v>20</v>
      </c>
      <c r="E60" s="20"/>
      <c r="F60" s="21">
        <v>6</v>
      </c>
      <c r="G60" s="22" t="s">
        <v>34</v>
      </c>
      <c r="H60" s="21">
        <v>10</v>
      </c>
      <c r="I60" s="22" t="s">
        <v>20</v>
      </c>
      <c r="J60" s="23">
        <v>63000</v>
      </c>
      <c r="K60" s="19" t="s">
        <v>20</v>
      </c>
      <c r="L60" s="24">
        <v>0.125</v>
      </c>
      <c r="M60" s="24">
        <v>0.05</v>
      </c>
      <c r="N60" s="18"/>
      <c r="O60" s="22" t="s">
        <v>20</v>
      </c>
      <c r="P60" s="18">
        <f t="shared" si="5"/>
        <v>0</v>
      </c>
      <c r="Q60" s="22" t="s">
        <v>20</v>
      </c>
      <c r="R60" s="23">
        <f t="shared" si="6"/>
        <v>0</v>
      </c>
      <c r="S60" s="23">
        <f t="shared" si="2"/>
        <v>0</v>
      </c>
    </row>
    <row r="61" spans="1:19" s="45" customFormat="1">
      <c r="A61" s="44" t="s">
        <v>73</v>
      </c>
      <c r="B61" s="45" t="s">
        <v>49</v>
      </c>
      <c r="C61" s="46">
        <v>469</v>
      </c>
      <c r="D61" s="47" t="s">
        <v>20</v>
      </c>
      <c r="E61" s="48"/>
      <c r="F61" s="49">
        <v>4</v>
      </c>
      <c r="G61" s="50" t="s">
        <v>34</v>
      </c>
      <c r="H61" s="49">
        <v>40</v>
      </c>
      <c r="I61" s="50" t="s">
        <v>20</v>
      </c>
      <c r="J61" s="51">
        <v>26000</v>
      </c>
      <c r="K61" s="47" t="s">
        <v>20</v>
      </c>
      <c r="L61" s="52">
        <v>0.125</v>
      </c>
      <c r="M61" s="52">
        <v>0.1</v>
      </c>
      <c r="N61" s="46">
        <f>6+6</f>
        <v>12</v>
      </c>
      <c r="O61" s="50" t="s">
        <v>20</v>
      </c>
      <c r="P61" s="46">
        <f t="shared" si="5"/>
        <v>457</v>
      </c>
      <c r="Q61" s="50" t="s">
        <v>20</v>
      </c>
      <c r="R61" s="51">
        <f t="shared" si="6"/>
        <v>9357075</v>
      </c>
      <c r="S61" s="32">
        <f t="shared" si="2"/>
        <v>8429797.297297297</v>
      </c>
    </row>
    <row r="62" spans="1:19">
      <c r="S62" s="23"/>
    </row>
    <row r="63" spans="1:19" ht="15.75">
      <c r="A63" s="14" t="s">
        <v>74</v>
      </c>
      <c r="S63" s="23">
        <f t="shared" si="2"/>
        <v>0</v>
      </c>
    </row>
    <row r="64" spans="1:19" s="17" customFormat="1">
      <c r="A64" s="16" t="s">
        <v>75</v>
      </c>
      <c r="B64" s="17" t="s">
        <v>19</v>
      </c>
      <c r="C64" s="18"/>
      <c r="D64" s="19" t="s">
        <v>20</v>
      </c>
      <c r="E64" s="20"/>
      <c r="F64" s="21">
        <v>1</v>
      </c>
      <c r="G64" s="22" t="s">
        <v>21</v>
      </c>
      <c r="H64" s="21">
        <v>6</v>
      </c>
      <c r="I64" s="22" t="s">
        <v>20</v>
      </c>
      <c r="J64" s="23">
        <v>390000</v>
      </c>
      <c r="K64" s="19" t="s">
        <v>20</v>
      </c>
      <c r="L64" s="24">
        <v>0.125</v>
      </c>
      <c r="M64" s="24">
        <v>0.05</v>
      </c>
      <c r="N64" s="18"/>
      <c r="O64" s="22" t="s">
        <v>20</v>
      </c>
      <c r="P64" s="18">
        <f>(C64+(E64*F64*H64))-N64</f>
        <v>0</v>
      </c>
      <c r="Q64" s="22" t="s">
        <v>20</v>
      </c>
      <c r="R64" s="23">
        <f>P64*(J64-(J64*L64)-((J64-(J64*L64))*M64))</f>
        <v>0</v>
      </c>
      <c r="S64" s="23">
        <f t="shared" si="2"/>
        <v>0</v>
      </c>
    </row>
    <row r="65" spans="1:19" s="17" customFormat="1">
      <c r="A65" s="16" t="s">
        <v>76</v>
      </c>
      <c r="B65" s="17" t="s">
        <v>19</v>
      </c>
      <c r="C65" s="18"/>
      <c r="D65" s="19" t="s">
        <v>20</v>
      </c>
      <c r="E65" s="20"/>
      <c r="F65" s="21">
        <v>1</v>
      </c>
      <c r="G65" s="22" t="s">
        <v>21</v>
      </c>
      <c r="H65" s="21">
        <v>6</v>
      </c>
      <c r="I65" s="22" t="s">
        <v>20</v>
      </c>
      <c r="J65" s="23">
        <v>500000</v>
      </c>
      <c r="K65" s="19" t="s">
        <v>20</v>
      </c>
      <c r="L65" s="24">
        <v>0.125</v>
      </c>
      <c r="M65" s="24">
        <v>0.05</v>
      </c>
      <c r="N65" s="18"/>
      <c r="O65" s="22" t="s">
        <v>20</v>
      </c>
      <c r="P65" s="18">
        <f>(C65+(E65*F65*H65))-N65</f>
        <v>0</v>
      </c>
      <c r="Q65" s="22" t="s">
        <v>20</v>
      </c>
      <c r="R65" s="23">
        <f>P65*(J65-(J65*L65)-((J65-(J65*L65))*M65))</f>
        <v>0</v>
      </c>
      <c r="S65" s="23">
        <f t="shared" si="2"/>
        <v>0</v>
      </c>
    </row>
    <row r="66" spans="1:19">
      <c r="S66" s="23"/>
    </row>
    <row r="67" spans="1:19" ht="15.75">
      <c r="A67" s="14" t="s">
        <v>77</v>
      </c>
      <c r="S67" s="23"/>
    </row>
    <row r="68" spans="1:19">
      <c r="A68" s="15" t="s">
        <v>78</v>
      </c>
      <c r="S68" s="23"/>
    </row>
    <row r="69" spans="1:19" s="63" customFormat="1">
      <c r="A69" s="62" t="s">
        <v>79</v>
      </c>
      <c r="B69" s="63" t="s">
        <v>19</v>
      </c>
      <c r="C69" s="64"/>
      <c r="D69" s="65" t="s">
        <v>80</v>
      </c>
      <c r="E69" s="66"/>
      <c r="F69" s="67">
        <v>1</v>
      </c>
      <c r="G69" s="68" t="s">
        <v>21</v>
      </c>
      <c r="H69" s="67">
        <v>48</v>
      </c>
      <c r="I69" s="68" t="s">
        <v>80</v>
      </c>
      <c r="J69" s="69">
        <v>14500</v>
      </c>
      <c r="K69" s="65" t="s">
        <v>80</v>
      </c>
      <c r="L69" s="70">
        <v>0.125</v>
      </c>
      <c r="M69" s="70">
        <v>0.05</v>
      </c>
      <c r="N69" s="64"/>
      <c r="O69" s="68" t="s">
        <v>80</v>
      </c>
      <c r="P69" s="64">
        <f t="shared" ref="P69:P92" si="13">(C69+(E69*F69*H69))-N69</f>
        <v>0</v>
      </c>
      <c r="Q69" s="68" t="s">
        <v>80</v>
      </c>
      <c r="R69" s="69">
        <f t="shared" ref="R69:R92" si="14">P69*(J69-(J69*L69)-((J69-(J69*L69))*M69))</f>
        <v>0</v>
      </c>
      <c r="S69" s="23">
        <f t="shared" si="2"/>
        <v>0</v>
      </c>
    </row>
    <row r="70" spans="1:19" s="63" customFormat="1">
      <c r="A70" s="62" t="s">
        <v>81</v>
      </c>
      <c r="B70" s="63" t="s">
        <v>19</v>
      </c>
      <c r="C70" s="64">
        <v>5</v>
      </c>
      <c r="D70" s="65" t="s">
        <v>80</v>
      </c>
      <c r="E70" s="66"/>
      <c r="F70" s="67">
        <v>1</v>
      </c>
      <c r="G70" s="68" t="s">
        <v>21</v>
      </c>
      <c r="H70" s="67">
        <v>96</v>
      </c>
      <c r="I70" s="68" t="s">
        <v>80</v>
      </c>
      <c r="J70" s="69">
        <v>12000</v>
      </c>
      <c r="K70" s="65" t="s">
        <v>80</v>
      </c>
      <c r="L70" s="70">
        <v>0.125</v>
      </c>
      <c r="M70" s="70">
        <v>0.05</v>
      </c>
      <c r="N70" s="64">
        <f>3+2</f>
        <v>5</v>
      </c>
      <c r="O70" s="68" t="s">
        <v>80</v>
      </c>
      <c r="P70" s="64">
        <f t="shared" si="13"/>
        <v>0</v>
      </c>
      <c r="Q70" s="68" t="s">
        <v>80</v>
      </c>
      <c r="R70" s="69">
        <f t="shared" si="14"/>
        <v>0</v>
      </c>
      <c r="S70" s="23">
        <f t="shared" si="2"/>
        <v>0</v>
      </c>
    </row>
    <row r="71" spans="1:19" s="63" customFormat="1">
      <c r="A71" s="62" t="s">
        <v>82</v>
      </c>
      <c r="B71" s="63" t="s">
        <v>19</v>
      </c>
      <c r="C71" s="64"/>
      <c r="D71" s="65" t="s">
        <v>80</v>
      </c>
      <c r="E71" s="66"/>
      <c r="F71" s="67">
        <v>1</v>
      </c>
      <c r="G71" s="68" t="s">
        <v>21</v>
      </c>
      <c r="H71" s="67">
        <v>48</v>
      </c>
      <c r="I71" s="68" t="s">
        <v>80</v>
      </c>
      <c r="J71" s="69">
        <v>19500</v>
      </c>
      <c r="K71" s="65" t="s">
        <v>80</v>
      </c>
      <c r="L71" s="70">
        <v>0.125</v>
      </c>
      <c r="M71" s="70">
        <v>0.05</v>
      </c>
      <c r="N71" s="64"/>
      <c r="O71" s="68" t="s">
        <v>80</v>
      </c>
      <c r="P71" s="64">
        <f t="shared" si="13"/>
        <v>0</v>
      </c>
      <c r="Q71" s="68" t="s">
        <v>80</v>
      </c>
      <c r="R71" s="69">
        <f t="shared" si="14"/>
        <v>0</v>
      </c>
      <c r="S71" s="23">
        <f t="shared" si="2"/>
        <v>0</v>
      </c>
    </row>
    <row r="72" spans="1:19" s="63" customFormat="1">
      <c r="A72" s="62" t="s">
        <v>83</v>
      </c>
      <c r="B72" s="63" t="s">
        <v>19</v>
      </c>
      <c r="C72" s="64"/>
      <c r="D72" s="65" t="s">
        <v>80</v>
      </c>
      <c r="E72" s="66"/>
      <c r="F72" s="67">
        <v>1</v>
      </c>
      <c r="G72" s="68" t="s">
        <v>21</v>
      </c>
      <c r="H72" s="67">
        <v>48</v>
      </c>
      <c r="I72" s="68" t="s">
        <v>80</v>
      </c>
      <c r="J72" s="69">
        <v>14800</v>
      </c>
      <c r="K72" s="65" t="s">
        <v>80</v>
      </c>
      <c r="L72" s="70">
        <v>0.125</v>
      </c>
      <c r="M72" s="70">
        <v>0.05</v>
      </c>
      <c r="N72" s="64"/>
      <c r="O72" s="68" t="s">
        <v>80</v>
      </c>
      <c r="P72" s="64">
        <f t="shared" si="13"/>
        <v>0</v>
      </c>
      <c r="Q72" s="68" t="s">
        <v>80</v>
      </c>
      <c r="R72" s="69">
        <f t="shared" si="14"/>
        <v>0</v>
      </c>
      <c r="S72" s="23">
        <f t="shared" si="2"/>
        <v>0</v>
      </c>
    </row>
    <row r="73" spans="1:19" s="63" customFormat="1">
      <c r="A73" s="71" t="s">
        <v>84</v>
      </c>
      <c r="B73" s="63" t="s">
        <v>19</v>
      </c>
      <c r="C73" s="64"/>
      <c r="D73" s="65" t="s">
        <v>80</v>
      </c>
      <c r="E73" s="66"/>
      <c r="F73" s="67">
        <v>1</v>
      </c>
      <c r="G73" s="68" t="s">
        <v>21</v>
      </c>
      <c r="H73" s="67">
        <v>24</v>
      </c>
      <c r="I73" s="68" t="s">
        <v>80</v>
      </c>
      <c r="J73" s="69">
        <v>25200</v>
      </c>
      <c r="K73" s="65" t="s">
        <v>80</v>
      </c>
      <c r="L73" s="70">
        <v>0.125</v>
      </c>
      <c r="M73" s="70">
        <v>0.05</v>
      </c>
      <c r="N73" s="64"/>
      <c r="O73" s="68" t="s">
        <v>80</v>
      </c>
      <c r="P73" s="64">
        <f t="shared" si="13"/>
        <v>0</v>
      </c>
      <c r="Q73" s="68" t="s">
        <v>80</v>
      </c>
      <c r="R73" s="69">
        <f t="shared" si="14"/>
        <v>0</v>
      </c>
      <c r="S73" s="23">
        <f t="shared" si="2"/>
        <v>0</v>
      </c>
    </row>
    <row r="74" spans="1:19" s="63" customFormat="1">
      <c r="A74" s="71" t="s">
        <v>85</v>
      </c>
      <c r="B74" s="63" t="s">
        <v>19</v>
      </c>
      <c r="C74" s="64"/>
      <c r="D74" s="65" t="s">
        <v>80</v>
      </c>
      <c r="E74" s="66"/>
      <c r="F74" s="67">
        <v>1</v>
      </c>
      <c r="G74" s="68" t="s">
        <v>21</v>
      </c>
      <c r="H74" s="67">
        <v>24</v>
      </c>
      <c r="I74" s="68" t="s">
        <v>80</v>
      </c>
      <c r="J74" s="69">
        <v>20200</v>
      </c>
      <c r="K74" s="65" t="s">
        <v>80</v>
      </c>
      <c r="L74" s="70">
        <v>0.125</v>
      </c>
      <c r="M74" s="70">
        <v>0.05</v>
      </c>
      <c r="N74" s="64"/>
      <c r="O74" s="68" t="s">
        <v>80</v>
      </c>
      <c r="P74" s="64">
        <f t="shared" si="13"/>
        <v>0</v>
      </c>
      <c r="Q74" s="68" t="s">
        <v>80</v>
      </c>
      <c r="R74" s="69">
        <f t="shared" si="14"/>
        <v>0</v>
      </c>
      <c r="S74" s="23">
        <f t="shared" si="2"/>
        <v>0</v>
      </c>
    </row>
    <row r="75" spans="1:19" s="63" customFormat="1">
      <c r="A75" s="62" t="s">
        <v>86</v>
      </c>
      <c r="B75" s="63" t="s">
        <v>19</v>
      </c>
      <c r="C75" s="64"/>
      <c r="D75" s="65" t="s">
        <v>80</v>
      </c>
      <c r="E75" s="66"/>
      <c r="F75" s="67">
        <v>1</v>
      </c>
      <c r="G75" s="68" t="s">
        <v>21</v>
      </c>
      <c r="H75" s="67">
        <v>96</v>
      </c>
      <c r="I75" s="68" t="s">
        <v>80</v>
      </c>
      <c r="J75" s="69">
        <v>33000</v>
      </c>
      <c r="K75" s="65" t="s">
        <v>80</v>
      </c>
      <c r="L75" s="70">
        <v>0.125</v>
      </c>
      <c r="M75" s="70">
        <v>0.05</v>
      </c>
      <c r="N75" s="64"/>
      <c r="O75" s="68" t="s">
        <v>80</v>
      </c>
      <c r="P75" s="64">
        <f t="shared" si="13"/>
        <v>0</v>
      </c>
      <c r="Q75" s="68" t="s">
        <v>80</v>
      </c>
      <c r="R75" s="69">
        <f t="shared" si="14"/>
        <v>0</v>
      </c>
      <c r="S75" s="23">
        <f t="shared" ref="S75:S145" si="15">R75/1.11</f>
        <v>0</v>
      </c>
    </row>
    <row r="76" spans="1:19" s="45" customFormat="1">
      <c r="A76" s="44" t="s">
        <v>87</v>
      </c>
      <c r="B76" s="45" t="s">
        <v>19</v>
      </c>
      <c r="C76" s="46">
        <v>102</v>
      </c>
      <c r="D76" s="47" t="s">
        <v>88</v>
      </c>
      <c r="E76" s="48"/>
      <c r="F76" s="49">
        <v>1</v>
      </c>
      <c r="G76" s="50" t="s">
        <v>21</v>
      </c>
      <c r="H76" s="49">
        <v>60</v>
      </c>
      <c r="I76" s="50" t="s">
        <v>88</v>
      </c>
      <c r="J76" s="51">
        <v>27600</v>
      </c>
      <c r="K76" s="47" t="s">
        <v>88</v>
      </c>
      <c r="L76" s="52">
        <v>0.125</v>
      </c>
      <c r="M76" s="52">
        <v>0.05</v>
      </c>
      <c r="N76" s="46">
        <f>5+5+60</f>
        <v>70</v>
      </c>
      <c r="O76" s="50" t="s">
        <v>88</v>
      </c>
      <c r="P76" s="46">
        <f t="shared" si="13"/>
        <v>32</v>
      </c>
      <c r="Q76" s="50" t="s">
        <v>88</v>
      </c>
      <c r="R76" s="51">
        <f t="shared" si="14"/>
        <v>734160</v>
      </c>
      <c r="S76" s="32">
        <f t="shared" si="15"/>
        <v>661405.40540540533</v>
      </c>
    </row>
    <row r="77" spans="1:19" s="63" customFormat="1">
      <c r="A77" s="72" t="s">
        <v>89</v>
      </c>
      <c r="B77" s="63" t="s">
        <v>19</v>
      </c>
      <c r="C77" s="64">
        <v>2</v>
      </c>
      <c r="D77" s="65" t="s">
        <v>88</v>
      </c>
      <c r="E77" s="66"/>
      <c r="F77" s="67">
        <v>1</v>
      </c>
      <c r="G77" s="68" t="s">
        <v>21</v>
      </c>
      <c r="H77" s="67">
        <v>50</v>
      </c>
      <c r="I77" s="68" t="s">
        <v>88</v>
      </c>
      <c r="J77" s="69">
        <v>30900</v>
      </c>
      <c r="K77" s="65" t="s">
        <v>88</v>
      </c>
      <c r="L77" s="70">
        <v>0.125</v>
      </c>
      <c r="M77" s="70">
        <v>0.05</v>
      </c>
      <c r="N77" s="64">
        <v>2</v>
      </c>
      <c r="O77" s="68" t="s">
        <v>88</v>
      </c>
      <c r="P77" s="64">
        <f t="shared" si="13"/>
        <v>0</v>
      </c>
      <c r="Q77" s="68" t="s">
        <v>88</v>
      </c>
      <c r="R77" s="69">
        <f t="shared" si="14"/>
        <v>0</v>
      </c>
      <c r="S77" s="23">
        <f t="shared" si="15"/>
        <v>0</v>
      </c>
    </row>
    <row r="78" spans="1:19" s="63" customFormat="1">
      <c r="A78" s="72" t="s">
        <v>90</v>
      </c>
      <c r="B78" s="63" t="s">
        <v>19</v>
      </c>
      <c r="C78" s="64">
        <f>91+7</f>
        <v>98</v>
      </c>
      <c r="D78" s="65" t="s">
        <v>88</v>
      </c>
      <c r="E78" s="66"/>
      <c r="F78" s="67">
        <v>1</v>
      </c>
      <c r="G78" s="68" t="s">
        <v>21</v>
      </c>
      <c r="H78" s="67">
        <v>30</v>
      </c>
      <c r="I78" s="68" t="s">
        <v>88</v>
      </c>
      <c r="J78" s="69">
        <v>48000</v>
      </c>
      <c r="K78" s="65" t="s">
        <v>88</v>
      </c>
      <c r="L78" s="70">
        <v>0.125</v>
      </c>
      <c r="M78" s="70">
        <v>0.05</v>
      </c>
      <c r="N78" s="64">
        <f>2+30+6+30+30</f>
        <v>98</v>
      </c>
      <c r="O78" s="68" t="s">
        <v>88</v>
      </c>
      <c r="P78" s="64">
        <f t="shared" si="13"/>
        <v>0</v>
      </c>
      <c r="Q78" s="68" t="s">
        <v>88</v>
      </c>
      <c r="R78" s="69">
        <f t="shared" si="14"/>
        <v>0</v>
      </c>
      <c r="S78" s="23">
        <f t="shared" si="15"/>
        <v>0</v>
      </c>
    </row>
    <row r="79" spans="1:19" s="63" customFormat="1">
      <c r="A79" s="72" t="s">
        <v>91</v>
      </c>
      <c r="B79" s="63" t="s">
        <v>19</v>
      </c>
      <c r="C79" s="64">
        <v>3</v>
      </c>
      <c r="D79" s="65" t="s">
        <v>88</v>
      </c>
      <c r="E79" s="66">
        <v>1</v>
      </c>
      <c r="F79" s="67">
        <v>1</v>
      </c>
      <c r="G79" s="68" t="s">
        <v>21</v>
      </c>
      <c r="H79" s="67">
        <v>20</v>
      </c>
      <c r="I79" s="68" t="s">
        <v>88</v>
      </c>
      <c r="J79" s="69">
        <v>67800</v>
      </c>
      <c r="K79" s="65" t="s">
        <v>88</v>
      </c>
      <c r="L79" s="70">
        <v>0.125</v>
      </c>
      <c r="M79" s="70">
        <v>0.05</v>
      </c>
      <c r="N79" s="64">
        <f>3+20</f>
        <v>23</v>
      </c>
      <c r="O79" s="68" t="s">
        <v>88</v>
      </c>
      <c r="P79" s="64">
        <f t="shared" si="13"/>
        <v>0</v>
      </c>
      <c r="Q79" s="68" t="s">
        <v>88</v>
      </c>
      <c r="R79" s="69">
        <f t="shared" si="14"/>
        <v>0</v>
      </c>
      <c r="S79" s="23">
        <f t="shared" si="15"/>
        <v>0</v>
      </c>
    </row>
    <row r="80" spans="1:19" s="45" customFormat="1">
      <c r="A80" s="170" t="s">
        <v>92</v>
      </c>
      <c r="B80" s="171" t="s">
        <v>19</v>
      </c>
      <c r="C80" s="172">
        <v>27</v>
      </c>
      <c r="D80" s="173" t="s">
        <v>88</v>
      </c>
      <c r="E80" s="174"/>
      <c r="F80" s="175">
        <v>1</v>
      </c>
      <c r="G80" s="176" t="s">
        <v>21</v>
      </c>
      <c r="H80" s="175">
        <v>10</v>
      </c>
      <c r="I80" s="176" t="s">
        <v>88</v>
      </c>
      <c r="J80" s="177">
        <v>113700</v>
      </c>
      <c r="K80" s="173" t="s">
        <v>88</v>
      </c>
      <c r="L80" s="178">
        <v>0.125</v>
      </c>
      <c r="M80" s="178">
        <v>0.05</v>
      </c>
      <c r="N80" s="172">
        <f>2+10</f>
        <v>12</v>
      </c>
      <c r="O80" s="176" t="s">
        <v>88</v>
      </c>
      <c r="P80" s="172">
        <f t="shared" ref="P80" si="16">(C80+(E80*F80*H80))-N80</f>
        <v>15</v>
      </c>
      <c r="Q80" s="176" t="s">
        <v>88</v>
      </c>
      <c r="R80" s="177">
        <f t="shared" ref="R80" si="17">P80*(J80-(J80*L80)-((J80-(J80*L80))*M80))</f>
        <v>1417696.875</v>
      </c>
      <c r="S80" s="177">
        <f t="shared" ref="S80" si="18">R80/1.11</f>
        <v>1277204.3918918918</v>
      </c>
    </row>
    <row r="81" spans="1:19" s="45" customFormat="1">
      <c r="A81" s="170" t="s">
        <v>92</v>
      </c>
      <c r="B81" s="171" t="s">
        <v>19</v>
      </c>
      <c r="C81" s="172">
        <v>12</v>
      </c>
      <c r="D81" s="173" t="s">
        <v>43</v>
      </c>
      <c r="E81" s="174"/>
      <c r="F81" s="175">
        <v>10</v>
      </c>
      <c r="G81" s="176" t="s">
        <v>88</v>
      </c>
      <c r="H81" s="175">
        <v>12</v>
      </c>
      <c r="I81" s="176" t="s">
        <v>43</v>
      </c>
      <c r="J81" s="177">
        <f>113700/12</f>
        <v>9475</v>
      </c>
      <c r="K81" s="173" t="s">
        <v>43</v>
      </c>
      <c r="L81" s="178">
        <v>0.125</v>
      </c>
      <c r="M81" s="178">
        <v>0.05</v>
      </c>
      <c r="N81" s="172">
        <v>3</v>
      </c>
      <c r="O81" s="176" t="s">
        <v>43</v>
      </c>
      <c r="P81" s="172">
        <f t="shared" si="13"/>
        <v>9</v>
      </c>
      <c r="Q81" s="176" t="s">
        <v>43</v>
      </c>
      <c r="R81" s="177">
        <f t="shared" si="14"/>
        <v>70884.84375</v>
      </c>
      <c r="S81" s="177">
        <f t="shared" si="15"/>
        <v>63860.219594594586</v>
      </c>
    </row>
    <row r="82" spans="1:19" s="63" customFormat="1">
      <c r="A82" s="73" t="s">
        <v>93</v>
      </c>
      <c r="B82" s="74" t="s">
        <v>19</v>
      </c>
      <c r="C82" s="75">
        <v>10</v>
      </c>
      <c r="D82" s="76" t="s">
        <v>88</v>
      </c>
      <c r="E82" s="77">
        <f>2+1</f>
        <v>3</v>
      </c>
      <c r="F82" s="78">
        <v>1</v>
      </c>
      <c r="G82" s="79" t="s">
        <v>21</v>
      </c>
      <c r="H82" s="78">
        <v>5</v>
      </c>
      <c r="I82" s="79" t="s">
        <v>88</v>
      </c>
      <c r="J82" s="80">
        <v>174000</v>
      </c>
      <c r="K82" s="76" t="s">
        <v>88</v>
      </c>
      <c r="L82" s="81">
        <v>0.125</v>
      </c>
      <c r="M82" s="81">
        <v>0.05</v>
      </c>
      <c r="N82" s="75">
        <f>10+5+10</f>
        <v>25</v>
      </c>
      <c r="O82" s="79" t="s">
        <v>88</v>
      </c>
      <c r="P82" s="75">
        <f t="shared" si="13"/>
        <v>0</v>
      </c>
      <c r="Q82" s="79" t="s">
        <v>88</v>
      </c>
      <c r="R82" s="80">
        <f t="shared" si="14"/>
        <v>0</v>
      </c>
      <c r="S82" s="80">
        <f t="shared" si="15"/>
        <v>0</v>
      </c>
    </row>
    <row r="83" spans="1:19" s="45" customFormat="1">
      <c r="A83" s="53" t="s">
        <v>93</v>
      </c>
      <c r="B83" s="54" t="s">
        <v>19</v>
      </c>
      <c r="C83" s="55">
        <v>13</v>
      </c>
      <c r="D83" s="56" t="s">
        <v>43</v>
      </c>
      <c r="E83" s="57"/>
      <c r="F83" s="58">
        <v>5</v>
      </c>
      <c r="G83" s="59" t="s">
        <v>88</v>
      </c>
      <c r="H83" s="58">
        <v>12</v>
      </c>
      <c r="I83" s="59" t="s">
        <v>43</v>
      </c>
      <c r="J83" s="60">
        <f>174000/12</f>
        <v>14500</v>
      </c>
      <c r="K83" s="56" t="s">
        <v>43</v>
      </c>
      <c r="L83" s="61">
        <v>0.125</v>
      </c>
      <c r="M83" s="61">
        <v>0.05</v>
      </c>
      <c r="N83" s="55"/>
      <c r="O83" s="59" t="s">
        <v>43</v>
      </c>
      <c r="P83" s="55">
        <f t="shared" si="13"/>
        <v>13</v>
      </c>
      <c r="Q83" s="59" t="s">
        <v>43</v>
      </c>
      <c r="R83" s="60">
        <f t="shared" si="14"/>
        <v>156690.625</v>
      </c>
      <c r="S83" s="60">
        <f t="shared" si="15"/>
        <v>141162.72522522521</v>
      </c>
    </row>
    <row r="84" spans="1:19" s="45" customFormat="1">
      <c r="A84" s="44" t="s">
        <v>94</v>
      </c>
      <c r="B84" s="45" t="s">
        <v>19</v>
      </c>
      <c r="C84" s="46"/>
      <c r="D84" s="47" t="s">
        <v>43</v>
      </c>
      <c r="E84" s="48">
        <f>2+1+1</f>
        <v>4</v>
      </c>
      <c r="F84" s="49">
        <v>3</v>
      </c>
      <c r="G84" s="50" t="s">
        <v>88</v>
      </c>
      <c r="H84" s="49">
        <v>12</v>
      </c>
      <c r="I84" s="50" t="s">
        <v>43</v>
      </c>
      <c r="J84" s="51">
        <f>507600/12</f>
        <v>42300</v>
      </c>
      <c r="K84" s="47" t="s">
        <v>43</v>
      </c>
      <c r="L84" s="52">
        <v>0.125</v>
      </c>
      <c r="M84" s="52">
        <v>0.05</v>
      </c>
      <c r="N84" s="46">
        <f>(3*12)+(2*12)+(3*12)+(3*12)</f>
        <v>132</v>
      </c>
      <c r="O84" s="50" t="s">
        <v>43</v>
      </c>
      <c r="P84" s="46">
        <f t="shared" si="13"/>
        <v>12</v>
      </c>
      <c r="Q84" s="50" t="s">
        <v>43</v>
      </c>
      <c r="R84" s="51">
        <f t="shared" si="14"/>
        <v>421942.5</v>
      </c>
      <c r="S84" s="32">
        <f t="shared" si="15"/>
        <v>380128.37837837834</v>
      </c>
    </row>
    <row r="85" spans="1:19" s="26" customFormat="1">
      <c r="A85" s="25" t="s">
        <v>95</v>
      </c>
      <c r="B85" s="26" t="s">
        <v>26</v>
      </c>
      <c r="C85" s="27"/>
      <c r="D85" s="28" t="s">
        <v>88</v>
      </c>
      <c r="E85" s="29">
        <v>2</v>
      </c>
      <c r="F85" s="30">
        <v>1</v>
      </c>
      <c r="G85" s="31" t="s">
        <v>21</v>
      </c>
      <c r="H85" s="30">
        <v>50</v>
      </c>
      <c r="I85" s="31" t="s">
        <v>88</v>
      </c>
      <c r="J85" s="32">
        <f>1440000/50</f>
        <v>28800</v>
      </c>
      <c r="K85" s="28" t="s">
        <v>88</v>
      </c>
      <c r="L85" s="33"/>
      <c r="M85" s="33">
        <v>0.17</v>
      </c>
      <c r="N85" s="27">
        <f>6+50</f>
        <v>56</v>
      </c>
      <c r="O85" s="31" t="s">
        <v>88</v>
      </c>
      <c r="P85" s="27">
        <f t="shared" si="13"/>
        <v>44</v>
      </c>
      <c r="Q85" s="31" t="s">
        <v>88</v>
      </c>
      <c r="R85" s="32">
        <f t="shared" si="14"/>
        <v>1051776</v>
      </c>
      <c r="S85" s="32">
        <f t="shared" si="15"/>
        <v>947545.94594594592</v>
      </c>
    </row>
    <row r="86" spans="1:19" s="26" customFormat="1">
      <c r="A86" s="25" t="s">
        <v>96</v>
      </c>
      <c r="B86" s="26" t="s">
        <v>26</v>
      </c>
      <c r="C86" s="27">
        <v>81</v>
      </c>
      <c r="D86" s="28" t="s">
        <v>88</v>
      </c>
      <c r="E86" s="29"/>
      <c r="F86" s="30">
        <v>1</v>
      </c>
      <c r="G86" s="31" t="s">
        <v>21</v>
      </c>
      <c r="H86" s="30">
        <v>50</v>
      </c>
      <c r="I86" s="31" t="s">
        <v>88</v>
      </c>
      <c r="J86" s="32">
        <f>1590000/50</f>
        <v>31800</v>
      </c>
      <c r="K86" s="28" t="s">
        <v>88</v>
      </c>
      <c r="L86" s="33"/>
      <c r="M86" s="33">
        <v>0.17</v>
      </c>
      <c r="N86" s="27">
        <v>10</v>
      </c>
      <c r="O86" s="31" t="s">
        <v>88</v>
      </c>
      <c r="P86" s="27">
        <f t="shared" si="13"/>
        <v>71</v>
      </c>
      <c r="Q86" s="31" t="s">
        <v>88</v>
      </c>
      <c r="R86" s="32">
        <f t="shared" si="14"/>
        <v>1873974</v>
      </c>
      <c r="S86" s="32">
        <f t="shared" si="15"/>
        <v>1688264.8648648646</v>
      </c>
    </row>
    <row r="87" spans="1:19">
      <c r="A87" s="34" t="s">
        <v>97</v>
      </c>
      <c r="B87" s="2" t="s">
        <v>26</v>
      </c>
      <c r="C87" s="3">
        <v>22</v>
      </c>
      <c r="D87" s="4" t="s">
        <v>88</v>
      </c>
      <c r="F87" s="6">
        <v>1</v>
      </c>
      <c r="G87" s="7" t="s">
        <v>21</v>
      </c>
      <c r="H87" s="6">
        <v>30</v>
      </c>
      <c r="I87" s="7" t="s">
        <v>88</v>
      </c>
      <c r="J87" s="8">
        <f>1476000/30</f>
        <v>49200</v>
      </c>
      <c r="K87" s="4" t="s">
        <v>88</v>
      </c>
      <c r="M87" s="9">
        <v>0.17</v>
      </c>
      <c r="O87" s="7" t="s">
        <v>88</v>
      </c>
      <c r="P87" s="3">
        <f t="shared" si="13"/>
        <v>22</v>
      </c>
      <c r="Q87" s="7" t="s">
        <v>88</v>
      </c>
      <c r="R87" s="8">
        <f t="shared" si="14"/>
        <v>898392</v>
      </c>
      <c r="S87" s="32">
        <f t="shared" si="15"/>
        <v>809362.16216216213</v>
      </c>
    </row>
    <row r="88" spans="1:19" s="45" customFormat="1">
      <c r="A88" s="53" t="s">
        <v>98</v>
      </c>
      <c r="B88" s="54" t="s">
        <v>26</v>
      </c>
      <c r="C88" s="55">
        <v>91</v>
      </c>
      <c r="D88" s="56" t="s">
        <v>88</v>
      </c>
      <c r="E88" s="57">
        <f>2+1+1+3</f>
        <v>7</v>
      </c>
      <c r="F88" s="58">
        <v>1</v>
      </c>
      <c r="G88" s="59" t="s">
        <v>21</v>
      </c>
      <c r="H88" s="58">
        <v>20</v>
      </c>
      <c r="I88" s="59" t="s">
        <v>88</v>
      </c>
      <c r="J88" s="60">
        <f>1380000/20</f>
        <v>69000</v>
      </c>
      <c r="K88" s="56" t="s">
        <v>88</v>
      </c>
      <c r="L88" s="61"/>
      <c r="M88" s="61">
        <v>0.17</v>
      </c>
      <c r="N88" s="55">
        <f>5+3+6+20+20+4</f>
        <v>58</v>
      </c>
      <c r="O88" s="59" t="s">
        <v>88</v>
      </c>
      <c r="P88" s="55">
        <f t="shared" si="13"/>
        <v>173</v>
      </c>
      <c r="Q88" s="59" t="s">
        <v>88</v>
      </c>
      <c r="R88" s="60">
        <f t="shared" si="14"/>
        <v>9907710</v>
      </c>
      <c r="S88" s="60">
        <f t="shared" si="15"/>
        <v>8925864.8648648635</v>
      </c>
    </row>
    <row r="89" spans="1:19" s="45" customFormat="1">
      <c r="A89" s="53" t="s">
        <v>98</v>
      </c>
      <c r="B89" s="54" t="s">
        <v>26</v>
      </c>
      <c r="C89" s="55">
        <v>12</v>
      </c>
      <c r="D89" s="56" t="s">
        <v>43</v>
      </c>
      <c r="E89" s="57"/>
      <c r="F89" s="58">
        <v>20</v>
      </c>
      <c r="G89" s="59" t="s">
        <v>88</v>
      </c>
      <c r="H89" s="58">
        <v>12</v>
      </c>
      <c r="I89" s="59" t="s">
        <v>43</v>
      </c>
      <c r="J89" s="60">
        <f>1380000/20/12</f>
        <v>5750</v>
      </c>
      <c r="K89" s="56" t="s">
        <v>43</v>
      </c>
      <c r="L89" s="61"/>
      <c r="M89" s="61">
        <v>0.17</v>
      </c>
      <c r="N89" s="55">
        <v>3</v>
      </c>
      <c r="O89" s="59" t="s">
        <v>43</v>
      </c>
      <c r="P89" s="55">
        <f t="shared" ref="P89" si="19">(C89+(E89*F89*H89))-N89</f>
        <v>9</v>
      </c>
      <c r="Q89" s="59" t="s">
        <v>43</v>
      </c>
      <c r="R89" s="60">
        <f t="shared" ref="R89" si="20">P89*(J89-(J89*L89)-((J89-(J89*L89))*M89))</f>
        <v>42952.5</v>
      </c>
      <c r="S89" s="60">
        <f t="shared" ref="S89" si="21">R89/1.11</f>
        <v>38695.945945945939</v>
      </c>
    </row>
    <row r="90" spans="1:19" s="45" customFormat="1">
      <c r="A90" s="44" t="s">
        <v>99</v>
      </c>
      <c r="B90" s="45" t="s">
        <v>26</v>
      </c>
      <c r="C90" s="46">
        <v>20</v>
      </c>
      <c r="D90" s="47" t="s">
        <v>88</v>
      </c>
      <c r="E90" s="48">
        <v>2</v>
      </c>
      <c r="F90" s="49">
        <v>1</v>
      </c>
      <c r="G90" s="50" t="s">
        <v>21</v>
      </c>
      <c r="H90" s="49">
        <v>10</v>
      </c>
      <c r="I90" s="50" t="s">
        <v>88</v>
      </c>
      <c r="J90" s="51">
        <f>1200000/10</f>
        <v>120000</v>
      </c>
      <c r="K90" s="47" t="s">
        <v>88</v>
      </c>
      <c r="L90" s="52"/>
      <c r="M90" s="52">
        <v>0.17</v>
      </c>
      <c r="N90" s="46">
        <f>10+3+5+1</f>
        <v>19</v>
      </c>
      <c r="O90" s="50" t="s">
        <v>88</v>
      </c>
      <c r="P90" s="46">
        <f t="shared" si="13"/>
        <v>21</v>
      </c>
      <c r="Q90" s="50" t="s">
        <v>88</v>
      </c>
      <c r="R90" s="51">
        <f t="shared" si="14"/>
        <v>2091600</v>
      </c>
      <c r="S90" s="51">
        <f t="shared" si="15"/>
        <v>1884324.3243243243</v>
      </c>
    </row>
    <row r="91" spans="1:19" s="45" customFormat="1">
      <c r="A91" s="44" t="s">
        <v>100</v>
      </c>
      <c r="B91" s="45" t="s">
        <v>26</v>
      </c>
      <c r="C91" s="46">
        <v>14</v>
      </c>
      <c r="D91" s="47" t="s">
        <v>88</v>
      </c>
      <c r="E91" s="48">
        <f>5+3</f>
        <v>8</v>
      </c>
      <c r="F91" s="49">
        <v>1</v>
      </c>
      <c r="G91" s="50" t="s">
        <v>21</v>
      </c>
      <c r="H91" s="49">
        <v>5</v>
      </c>
      <c r="I91" s="50" t="s">
        <v>88</v>
      </c>
      <c r="J91" s="51">
        <f>900000/5</f>
        <v>180000</v>
      </c>
      <c r="K91" s="47" t="s">
        <v>88</v>
      </c>
      <c r="L91" s="52"/>
      <c r="M91" s="52">
        <v>0.17</v>
      </c>
      <c r="N91" s="82">
        <f>10+5+10+5</f>
        <v>30</v>
      </c>
      <c r="O91" s="50" t="s">
        <v>88</v>
      </c>
      <c r="P91" s="46">
        <f t="shared" si="13"/>
        <v>24</v>
      </c>
      <c r="Q91" s="50" t="s">
        <v>88</v>
      </c>
      <c r="R91" s="51">
        <f t="shared" si="14"/>
        <v>3585600</v>
      </c>
      <c r="S91" s="51">
        <f t="shared" si="15"/>
        <v>3230270.2702702698</v>
      </c>
    </row>
    <row r="92" spans="1:19" s="26" customFormat="1">
      <c r="A92" s="25" t="s">
        <v>101</v>
      </c>
      <c r="B92" s="26" t="s">
        <v>26</v>
      </c>
      <c r="C92" s="27"/>
      <c r="D92" s="28" t="s">
        <v>20</v>
      </c>
      <c r="E92" s="29">
        <v>1</v>
      </c>
      <c r="F92" s="30">
        <v>72</v>
      </c>
      <c r="G92" s="31" t="s">
        <v>34</v>
      </c>
      <c r="H92" s="30">
        <v>6</v>
      </c>
      <c r="I92" s="31" t="s">
        <v>20</v>
      </c>
      <c r="J92" s="32">
        <f>1548000/72/6</f>
        <v>3583.3333333333335</v>
      </c>
      <c r="K92" s="28" t="s">
        <v>20</v>
      </c>
      <c r="L92" s="33"/>
      <c r="M92" s="33">
        <v>0.17</v>
      </c>
      <c r="N92" s="27"/>
      <c r="O92" s="31" t="s">
        <v>20</v>
      </c>
      <c r="P92" s="27">
        <f t="shared" si="13"/>
        <v>432</v>
      </c>
      <c r="Q92" s="31" t="s">
        <v>20</v>
      </c>
      <c r="R92" s="32">
        <f t="shared" si="14"/>
        <v>1284840.0000000002</v>
      </c>
      <c r="S92" s="32">
        <f t="shared" si="15"/>
        <v>1157513.5135135136</v>
      </c>
    </row>
    <row r="93" spans="1:19">
      <c r="A93" s="15" t="s">
        <v>102</v>
      </c>
      <c r="S93" s="23"/>
    </row>
    <row r="94" spans="1:19" s="17" customFormat="1">
      <c r="A94" s="16" t="s">
        <v>103</v>
      </c>
      <c r="B94" s="17" t="s">
        <v>19</v>
      </c>
      <c r="C94" s="18"/>
      <c r="D94" s="19" t="s">
        <v>34</v>
      </c>
      <c r="E94" s="20"/>
      <c r="F94" s="21">
        <v>50</v>
      </c>
      <c r="G94" s="22" t="s">
        <v>104</v>
      </c>
      <c r="H94" s="21">
        <v>10</v>
      </c>
      <c r="I94" s="22" t="s">
        <v>34</v>
      </c>
      <c r="J94" s="23">
        <v>1800</v>
      </c>
      <c r="K94" s="19" t="s">
        <v>34</v>
      </c>
      <c r="L94" s="24">
        <v>0.125</v>
      </c>
      <c r="M94" s="24">
        <v>0.05</v>
      </c>
      <c r="N94" s="18"/>
      <c r="O94" s="22" t="s">
        <v>34</v>
      </c>
      <c r="P94" s="18">
        <f t="shared" ref="P94:P103" si="22">(C94+(E94*F94*H94))-N94</f>
        <v>0</v>
      </c>
      <c r="Q94" s="22" t="s">
        <v>34</v>
      </c>
      <c r="R94" s="23">
        <f t="shared" ref="R94:R103" si="23">P94*(J94-(J94*L94)-((J94-(J94*L94))*M94))</f>
        <v>0</v>
      </c>
      <c r="S94" s="23">
        <f t="shared" si="15"/>
        <v>0</v>
      </c>
    </row>
    <row r="95" spans="1:19" s="45" customFormat="1">
      <c r="A95" s="44" t="s">
        <v>105</v>
      </c>
      <c r="B95" s="45" t="s">
        <v>19</v>
      </c>
      <c r="C95" s="46"/>
      <c r="D95" s="47" t="s">
        <v>34</v>
      </c>
      <c r="E95" s="48">
        <v>2</v>
      </c>
      <c r="F95" s="49">
        <v>50</v>
      </c>
      <c r="G95" s="50" t="s">
        <v>104</v>
      </c>
      <c r="H95" s="49">
        <v>10</v>
      </c>
      <c r="I95" s="50" t="s">
        <v>34</v>
      </c>
      <c r="J95" s="51">
        <v>1625</v>
      </c>
      <c r="K95" s="47" t="s">
        <v>34</v>
      </c>
      <c r="L95" s="52">
        <v>0.125</v>
      </c>
      <c r="M95" s="52">
        <v>0.05</v>
      </c>
      <c r="N95" s="46">
        <f>500+500</f>
        <v>1000</v>
      </c>
      <c r="O95" s="50" t="s">
        <v>34</v>
      </c>
      <c r="P95" s="46">
        <f t="shared" si="22"/>
        <v>0</v>
      </c>
      <c r="Q95" s="50" t="s">
        <v>34</v>
      </c>
      <c r="R95" s="51">
        <f t="shared" si="23"/>
        <v>0</v>
      </c>
      <c r="S95" s="32">
        <f t="shared" si="15"/>
        <v>0</v>
      </c>
    </row>
    <row r="96" spans="1:19" s="17" customFormat="1">
      <c r="A96" s="16" t="s">
        <v>106</v>
      </c>
      <c r="B96" s="17" t="s">
        <v>19</v>
      </c>
      <c r="C96" s="18"/>
      <c r="D96" s="19" t="s">
        <v>34</v>
      </c>
      <c r="E96" s="20">
        <v>1</v>
      </c>
      <c r="F96" s="21">
        <v>20</v>
      </c>
      <c r="G96" s="22" t="s">
        <v>104</v>
      </c>
      <c r="H96" s="21">
        <v>10</v>
      </c>
      <c r="I96" s="22" t="s">
        <v>34</v>
      </c>
      <c r="J96" s="23">
        <v>4400</v>
      </c>
      <c r="K96" s="19" t="s">
        <v>34</v>
      </c>
      <c r="L96" s="24">
        <v>0.125</v>
      </c>
      <c r="M96" s="24">
        <v>0.05</v>
      </c>
      <c r="N96" s="18">
        <v>200</v>
      </c>
      <c r="O96" s="22" t="s">
        <v>34</v>
      </c>
      <c r="P96" s="18">
        <f t="shared" si="22"/>
        <v>0</v>
      </c>
      <c r="Q96" s="22" t="s">
        <v>34</v>
      </c>
      <c r="R96" s="23">
        <f t="shared" si="23"/>
        <v>0</v>
      </c>
      <c r="S96" s="23">
        <f t="shared" si="15"/>
        <v>0</v>
      </c>
    </row>
    <row r="97" spans="1:19" s="45" customFormat="1">
      <c r="A97" s="44" t="s">
        <v>107</v>
      </c>
      <c r="B97" s="45" t="s">
        <v>19</v>
      </c>
      <c r="C97" s="46">
        <v>576</v>
      </c>
      <c r="D97" s="47" t="s">
        <v>108</v>
      </c>
      <c r="E97" s="48">
        <v>1</v>
      </c>
      <c r="F97" s="49">
        <v>24</v>
      </c>
      <c r="G97" s="50" t="s">
        <v>34</v>
      </c>
      <c r="H97" s="49">
        <v>12</v>
      </c>
      <c r="I97" s="50" t="s">
        <v>108</v>
      </c>
      <c r="J97" s="51">
        <v>2900</v>
      </c>
      <c r="K97" s="47" t="s">
        <v>108</v>
      </c>
      <c r="L97" s="52">
        <v>0.125</v>
      </c>
      <c r="M97" s="52">
        <v>0.05</v>
      </c>
      <c r="N97" s="46">
        <f>288+288</f>
        <v>576</v>
      </c>
      <c r="O97" s="50" t="s">
        <v>108</v>
      </c>
      <c r="P97" s="46">
        <f t="shared" si="22"/>
        <v>288</v>
      </c>
      <c r="Q97" s="50" t="s">
        <v>108</v>
      </c>
      <c r="R97" s="51">
        <f t="shared" si="23"/>
        <v>694260</v>
      </c>
      <c r="S97" s="51">
        <f t="shared" si="15"/>
        <v>625459.45945945941</v>
      </c>
    </row>
    <row r="98" spans="1:19" s="26" customFormat="1">
      <c r="A98" s="25" t="s">
        <v>109</v>
      </c>
      <c r="B98" s="26" t="s">
        <v>26</v>
      </c>
      <c r="C98" s="27">
        <v>450</v>
      </c>
      <c r="D98" s="28" t="s">
        <v>34</v>
      </c>
      <c r="E98" s="29"/>
      <c r="F98" s="30">
        <v>50</v>
      </c>
      <c r="G98" s="31" t="s">
        <v>104</v>
      </c>
      <c r="H98" s="30">
        <v>10</v>
      </c>
      <c r="I98" s="31" t="s">
        <v>34</v>
      </c>
      <c r="J98" s="32">
        <f>800000/50/10</f>
        <v>1600</v>
      </c>
      <c r="K98" s="28" t="s">
        <v>34</v>
      </c>
      <c r="L98" s="33"/>
      <c r="M98" s="33">
        <v>0.17</v>
      </c>
      <c r="N98" s="27"/>
      <c r="O98" s="31" t="s">
        <v>34</v>
      </c>
      <c r="P98" s="27">
        <f t="shared" si="22"/>
        <v>450</v>
      </c>
      <c r="Q98" s="31" t="s">
        <v>34</v>
      </c>
      <c r="R98" s="32">
        <f t="shared" si="23"/>
        <v>597600</v>
      </c>
      <c r="S98" s="32">
        <f t="shared" si="15"/>
        <v>538378.37837837834</v>
      </c>
    </row>
    <row r="99" spans="1:19" s="26" customFormat="1">
      <c r="A99" s="35" t="s">
        <v>110</v>
      </c>
      <c r="B99" s="36" t="s">
        <v>26</v>
      </c>
      <c r="C99" s="37">
        <v>70</v>
      </c>
      <c r="D99" s="38" t="s">
        <v>34</v>
      </c>
      <c r="E99" s="39"/>
      <c r="F99" s="40">
        <v>50</v>
      </c>
      <c r="G99" s="41" t="s">
        <v>104</v>
      </c>
      <c r="H99" s="40">
        <v>10</v>
      </c>
      <c r="I99" s="41" t="s">
        <v>34</v>
      </c>
      <c r="J99" s="42">
        <f>750000/50/10</f>
        <v>1500</v>
      </c>
      <c r="K99" s="38" t="s">
        <v>34</v>
      </c>
      <c r="L99" s="43"/>
      <c r="M99" s="43">
        <v>0.17</v>
      </c>
      <c r="N99" s="37"/>
      <c r="O99" s="41" t="s">
        <v>34</v>
      </c>
      <c r="P99" s="37">
        <f t="shared" si="22"/>
        <v>70</v>
      </c>
      <c r="Q99" s="41" t="s">
        <v>34</v>
      </c>
      <c r="R99" s="42">
        <f t="shared" si="23"/>
        <v>87150</v>
      </c>
      <c r="S99" s="42">
        <f t="shared" si="15"/>
        <v>78513.513513513506</v>
      </c>
    </row>
    <row r="100" spans="1:19" s="26" customFormat="1">
      <c r="A100" s="35" t="s">
        <v>110</v>
      </c>
      <c r="B100" s="36" t="s">
        <v>26</v>
      </c>
      <c r="C100" s="37"/>
      <c r="D100" s="38" t="s">
        <v>34</v>
      </c>
      <c r="E100" s="39">
        <v>2</v>
      </c>
      <c r="F100" s="40">
        <v>50</v>
      </c>
      <c r="G100" s="41" t="s">
        <v>104</v>
      </c>
      <c r="H100" s="40">
        <v>10</v>
      </c>
      <c r="I100" s="41" t="s">
        <v>34</v>
      </c>
      <c r="J100" s="42">
        <f>800000/50/10</f>
        <v>1600</v>
      </c>
      <c r="K100" s="38" t="s">
        <v>34</v>
      </c>
      <c r="L100" s="43"/>
      <c r="M100" s="43">
        <v>0.17</v>
      </c>
      <c r="N100" s="37"/>
      <c r="O100" s="41" t="s">
        <v>34</v>
      </c>
      <c r="P100" s="37">
        <f t="shared" ref="P100" si="24">(C100+(E100*F100*H100))-N100</f>
        <v>1000</v>
      </c>
      <c r="Q100" s="41" t="s">
        <v>34</v>
      </c>
      <c r="R100" s="42">
        <f t="shared" ref="R100" si="25">P100*(J100-(J100*L100)-((J100-(J100*L100))*M100))</f>
        <v>1328000</v>
      </c>
      <c r="S100" s="42">
        <f t="shared" ref="S100" si="26">R100/1.11</f>
        <v>1196396.3963963962</v>
      </c>
    </row>
    <row r="101" spans="1:19" s="45" customFormat="1">
      <c r="A101" s="179" t="s">
        <v>111</v>
      </c>
      <c r="B101" s="180" t="s">
        <v>26</v>
      </c>
      <c r="C101" s="181">
        <v>670</v>
      </c>
      <c r="D101" s="182" t="s">
        <v>34</v>
      </c>
      <c r="E101" s="183"/>
      <c r="F101" s="184">
        <v>20</v>
      </c>
      <c r="G101" s="185" t="s">
        <v>104</v>
      </c>
      <c r="H101" s="184">
        <v>10</v>
      </c>
      <c r="I101" s="185" t="s">
        <v>34</v>
      </c>
      <c r="J101" s="186">
        <f>800000/20/10</f>
        <v>4000</v>
      </c>
      <c r="K101" s="182" t="s">
        <v>34</v>
      </c>
      <c r="L101" s="187"/>
      <c r="M101" s="187">
        <v>0.17</v>
      </c>
      <c r="N101" s="181">
        <v>200</v>
      </c>
      <c r="O101" s="185" t="s">
        <v>34</v>
      </c>
      <c r="P101" s="181">
        <f t="shared" si="22"/>
        <v>470</v>
      </c>
      <c r="Q101" s="185" t="s">
        <v>34</v>
      </c>
      <c r="R101" s="186">
        <f t="shared" si="23"/>
        <v>1560400</v>
      </c>
      <c r="S101" s="186">
        <f t="shared" si="15"/>
        <v>1405765.7657657657</v>
      </c>
    </row>
    <row r="102" spans="1:19" s="45" customFormat="1">
      <c r="A102" s="179" t="s">
        <v>111</v>
      </c>
      <c r="B102" s="180" t="s">
        <v>26</v>
      </c>
      <c r="C102" s="181"/>
      <c r="D102" s="182" t="s">
        <v>34</v>
      </c>
      <c r="E102" s="183">
        <f>1+1</f>
        <v>2</v>
      </c>
      <c r="F102" s="184">
        <v>20</v>
      </c>
      <c r="G102" s="185" t="s">
        <v>104</v>
      </c>
      <c r="H102" s="184">
        <v>10</v>
      </c>
      <c r="I102" s="185" t="s">
        <v>34</v>
      </c>
      <c r="J102" s="186">
        <f>860000/20/10</f>
        <v>4300</v>
      </c>
      <c r="K102" s="182" t="s">
        <v>34</v>
      </c>
      <c r="L102" s="187"/>
      <c r="M102" s="187">
        <v>0.17</v>
      </c>
      <c r="N102" s="181"/>
      <c r="O102" s="185" t="s">
        <v>34</v>
      </c>
      <c r="P102" s="181">
        <f t="shared" ref="P102" si="27">(C102+(E102*F102*H102))-N102</f>
        <v>400</v>
      </c>
      <c r="Q102" s="185" t="s">
        <v>34</v>
      </c>
      <c r="R102" s="186">
        <f t="shared" ref="R102" si="28">P102*(J102-(J102*L102)-((J102-(J102*L102))*M102))</f>
        <v>1427600</v>
      </c>
      <c r="S102" s="186">
        <f t="shared" ref="S102" si="29">R102/1.11</f>
        <v>1286126.1261261259</v>
      </c>
    </row>
    <row r="103" spans="1:19" s="26" customFormat="1">
      <c r="A103" s="35" t="s">
        <v>112</v>
      </c>
      <c r="B103" s="36" t="s">
        <v>26</v>
      </c>
      <c r="C103" s="37"/>
      <c r="D103" s="38" t="s">
        <v>43</v>
      </c>
      <c r="E103" s="39">
        <f>1+5</f>
        <v>6</v>
      </c>
      <c r="F103" s="40">
        <v>1</v>
      </c>
      <c r="G103" s="41" t="s">
        <v>21</v>
      </c>
      <c r="H103" s="40">
        <v>48</v>
      </c>
      <c r="I103" s="41" t="s">
        <v>43</v>
      </c>
      <c r="J103" s="42">
        <f>1843200/48</f>
        <v>38400</v>
      </c>
      <c r="K103" s="38" t="s">
        <v>43</v>
      </c>
      <c r="L103" s="43"/>
      <c r="M103" s="43">
        <v>0.17</v>
      </c>
      <c r="N103" s="37">
        <f>24+5+1+96+48</f>
        <v>174</v>
      </c>
      <c r="O103" s="41" t="s">
        <v>43</v>
      </c>
      <c r="P103" s="37">
        <f t="shared" si="22"/>
        <v>114</v>
      </c>
      <c r="Q103" s="41" t="s">
        <v>43</v>
      </c>
      <c r="R103" s="42">
        <f t="shared" si="23"/>
        <v>3633408</v>
      </c>
      <c r="S103" s="42">
        <f t="shared" si="15"/>
        <v>3273340.5405405401</v>
      </c>
    </row>
    <row r="104" spans="1:19" s="26" customFormat="1">
      <c r="A104" s="35" t="s">
        <v>112</v>
      </c>
      <c r="B104" s="36" t="s">
        <v>26</v>
      </c>
      <c r="C104" s="37"/>
      <c r="D104" s="38" t="s">
        <v>43</v>
      </c>
      <c r="E104" s="39">
        <v>1</v>
      </c>
      <c r="F104" s="40">
        <v>1</v>
      </c>
      <c r="G104" s="41" t="s">
        <v>21</v>
      </c>
      <c r="H104" s="40">
        <v>48</v>
      </c>
      <c r="I104" s="41" t="s">
        <v>43</v>
      </c>
      <c r="J104" s="42">
        <f>1987200/48</f>
        <v>41400</v>
      </c>
      <c r="K104" s="38" t="s">
        <v>43</v>
      </c>
      <c r="L104" s="43"/>
      <c r="M104" s="43">
        <v>0.17</v>
      </c>
      <c r="N104" s="37"/>
      <c r="O104" s="41" t="s">
        <v>43</v>
      </c>
      <c r="P104" s="37">
        <f t="shared" ref="P104" si="30">(C104+(E104*F104*H104))-N104</f>
        <v>48</v>
      </c>
      <c r="Q104" s="41" t="s">
        <v>43</v>
      </c>
      <c r="R104" s="42">
        <f t="shared" ref="R104" si="31">P104*(J104-(J104*L104)-((J104-(J104*L104))*M104))</f>
        <v>1649376</v>
      </c>
      <c r="S104" s="42">
        <f t="shared" ref="S104" si="32">R104/1.11</f>
        <v>1485924.3243243243</v>
      </c>
    </row>
    <row r="105" spans="1:19">
      <c r="S105" s="23"/>
    </row>
    <row r="106" spans="1:19" ht="15.75">
      <c r="A106" s="14" t="s">
        <v>113</v>
      </c>
      <c r="S106" s="23"/>
    </row>
    <row r="107" spans="1:19">
      <c r="A107" s="15" t="s">
        <v>114</v>
      </c>
      <c r="S107" s="23"/>
    </row>
    <row r="108" spans="1:19" s="63" customFormat="1">
      <c r="A108" s="72" t="s">
        <v>115</v>
      </c>
      <c r="B108" s="63" t="s">
        <v>19</v>
      </c>
      <c r="C108" s="64"/>
      <c r="D108" s="65" t="s">
        <v>43</v>
      </c>
      <c r="E108" s="66"/>
      <c r="F108" s="67">
        <v>1</v>
      </c>
      <c r="G108" s="68" t="s">
        <v>21</v>
      </c>
      <c r="H108" s="67">
        <v>48</v>
      </c>
      <c r="I108" s="68" t="s">
        <v>43</v>
      </c>
      <c r="J108" s="69">
        <v>36000</v>
      </c>
      <c r="K108" s="65" t="s">
        <v>43</v>
      </c>
      <c r="L108" s="70">
        <v>0.125</v>
      </c>
      <c r="M108" s="70">
        <v>0.05</v>
      </c>
      <c r="N108" s="64"/>
      <c r="O108" s="68" t="s">
        <v>43</v>
      </c>
      <c r="P108" s="64">
        <f t="shared" ref="P108:P128" si="33">(C108+(E108*F108*H108))-N108</f>
        <v>0</v>
      </c>
      <c r="Q108" s="68" t="s">
        <v>43</v>
      </c>
      <c r="R108" s="69">
        <f t="shared" ref="R108:R128" si="34">P108*(J108-(J108*L108)-((J108-(J108*L108))*M108))</f>
        <v>0</v>
      </c>
      <c r="S108" s="23">
        <f t="shared" si="15"/>
        <v>0</v>
      </c>
    </row>
    <row r="109" spans="1:19" s="45" customFormat="1">
      <c r="A109" s="44" t="s">
        <v>116</v>
      </c>
      <c r="B109" s="45" t="s">
        <v>19</v>
      </c>
      <c r="C109" s="46"/>
      <c r="D109" s="47" t="s">
        <v>43</v>
      </c>
      <c r="E109" s="48">
        <f>2+4</f>
        <v>6</v>
      </c>
      <c r="F109" s="49">
        <v>1</v>
      </c>
      <c r="G109" s="50" t="s">
        <v>21</v>
      </c>
      <c r="H109" s="49">
        <v>48</v>
      </c>
      <c r="I109" s="50" t="s">
        <v>43</v>
      </c>
      <c r="J109" s="51">
        <v>36000</v>
      </c>
      <c r="K109" s="47" t="s">
        <v>43</v>
      </c>
      <c r="L109" s="52">
        <v>0.125</v>
      </c>
      <c r="M109" s="52">
        <v>0.05</v>
      </c>
      <c r="N109" s="46">
        <f>48+48</f>
        <v>96</v>
      </c>
      <c r="O109" s="50" t="s">
        <v>43</v>
      </c>
      <c r="P109" s="46">
        <f t="shared" si="33"/>
        <v>192</v>
      </c>
      <c r="Q109" s="50" t="s">
        <v>43</v>
      </c>
      <c r="R109" s="51">
        <f t="shared" si="34"/>
        <v>5745600</v>
      </c>
      <c r="S109" s="32">
        <f t="shared" si="15"/>
        <v>5176216.2162162159</v>
      </c>
    </row>
    <row r="110" spans="1:19" s="63" customFormat="1">
      <c r="A110" s="72" t="s">
        <v>117</v>
      </c>
      <c r="B110" s="63" t="s">
        <v>19</v>
      </c>
      <c r="C110" s="64"/>
      <c r="D110" s="65" t="s">
        <v>43</v>
      </c>
      <c r="E110" s="66">
        <f>4+2</f>
        <v>6</v>
      </c>
      <c r="F110" s="67">
        <v>1</v>
      </c>
      <c r="G110" s="68" t="s">
        <v>21</v>
      </c>
      <c r="H110" s="67">
        <v>48</v>
      </c>
      <c r="I110" s="68" t="s">
        <v>43</v>
      </c>
      <c r="J110" s="69">
        <v>36000</v>
      </c>
      <c r="K110" s="65" t="s">
        <v>43</v>
      </c>
      <c r="L110" s="70">
        <v>0.125</v>
      </c>
      <c r="M110" s="70">
        <v>0.05</v>
      </c>
      <c r="N110" s="64">
        <f>96+48+144</f>
        <v>288</v>
      </c>
      <c r="O110" s="68" t="s">
        <v>43</v>
      </c>
      <c r="P110" s="64">
        <f t="shared" si="33"/>
        <v>0</v>
      </c>
      <c r="Q110" s="68" t="s">
        <v>43</v>
      </c>
      <c r="R110" s="69">
        <f t="shared" si="34"/>
        <v>0</v>
      </c>
      <c r="S110" s="23">
        <f t="shared" si="15"/>
        <v>0</v>
      </c>
    </row>
    <row r="111" spans="1:19" s="45" customFormat="1">
      <c r="A111" s="44" t="s">
        <v>118</v>
      </c>
      <c r="B111" s="45" t="s">
        <v>19</v>
      </c>
      <c r="C111" s="46">
        <v>1</v>
      </c>
      <c r="D111" s="47" t="s">
        <v>43</v>
      </c>
      <c r="E111" s="48"/>
      <c r="F111" s="49">
        <v>1</v>
      </c>
      <c r="G111" s="50" t="s">
        <v>21</v>
      </c>
      <c r="H111" s="49">
        <v>48</v>
      </c>
      <c r="I111" s="50" t="s">
        <v>43</v>
      </c>
      <c r="J111" s="51">
        <v>39000</v>
      </c>
      <c r="K111" s="47" t="s">
        <v>43</v>
      </c>
      <c r="L111" s="52">
        <v>0.125</v>
      </c>
      <c r="M111" s="52">
        <v>0.05</v>
      </c>
      <c r="N111" s="46"/>
      <c r="O111" s="50" t="s">
        <v>43</v>
      </c>
      <c r="P111" s="46">
        <f t="shared" si="33"/>
        <v>1</v>
      </c>
      <c r="Q111" s="50" t="s">
        <v>43</v>
      </c>
      <c r="R111" s="51">
        <f t="shared" si="34"/>
        <v>32418.75</v>
      </c>
      <c r="S111" s="32">
        <f t="shared" si="15"/>
        <v>29206.08108108108</v>
      </c>
    </row>
    <row r="112" spans="1:19" s="63" customFormat="1">
      <c r="A112" s="72" t="s">
        <v>119</v>
      </c>
      <c r="B112" s="63" t="s">
        <v>19</v>
      </c>
      <c r="C112" s="64"/>
      <c r="D112" s="65" t="s">
        <v>43</v>
      </c>
      <c r="E112" s="66"/>
      <c r="F112" s="67">
        <v>1</v>
      </c>
      <c r="G112" s="68" t="s">
        <v>21</v>
      </c>
      <c r="H112" s="67">
        <v>48</v>
      </c>
      <c r="I112" s="68" t="s">
        <v>43</v>
      </c>
      <c r="J112" s="69">
        <v>54600</v>
      </c>
      <c r="K112" s="65" t="s">
        <v>43</v>
      </c>
      <c r="L112" s="70">
        <v>0.125</v>
      </c>
      <c r="M112" s="70">
        <v>0.05</v>
      </c>
      <c r="N112" s="64"/>
      <c r="O112" s="68" t="s">
        <v>43</v>
      </c>
      <c r="P112" s="64">
        <f t="shared" si="33"/>
        <v>0</v>
      </c>
      <c r="Q112" s="68" t="s">
        <v>43</v>
      </c>
      <c r="R112" s="69">
        <f t="shared" si="34"/>
        <v>0</v>
      </c>
      <c r="S112" s="23">
        <f t="shared" si="15"/>
        <v>0</v>
      </c>
    </row>
    <row r="113" spans="1:19" s="63" customFormat="1">
      <c r="A113" s="72" t="s">
        <v>120</v>
      </c>
      <c r="B113" s="63" t="s">
        <v>19</v>
      </c>
      <c r="C113" s="64"/>
      <c r="D113" s="65" t="s">
        <v>43</v>
      </c>
      <c r="E113" s="66"/>
      <c r="F113" s="67">
        <v>1</v>
      </c>
      <c r="G113" s="68" t="s">
        <v>21</v>
      </c>
      <c r="H113" s="67">
        <v>48</v>
      </c>
      <c r="I113" s="68" t="s">
        <v>43</v>
      </c>
      <c r="J113" s="69">
        <v>30000</v>
      </c>
      <c r="K113" s="65" t="s">
        <v>43</v>
      </c>
      <c r="L113" s="70">
        <v>0.125</v>
      </c>
      <c r="M113" s="70">
        <v>0.05</v>
      </c>
      <c r="N113" s="64"/>
      <c r="O113" s="68" t="s">
        <v>43</v>
      </c>
      <c r="P113" s="64">
        <f t="shared" si="33"/>
        <v>0</v>
      </c>
      <c r="Q113" s="68" t="s">
        <v>43</v>
      </c>
      <c r="R113" s="69">
        <f t="shared" si="34"/>
        <v>0</v>
      </c>
      <c r="S113" s="23">
        <f t="shared" si="15"/>
        <v>0</v>
      </c>
    </row>
    <row r="114" spans="1:19" s="63" customFormat="1">
      <c r="A114" s="72" t="s">
        <v>121</v>
      </c>
      <c r="B114" s="63" t="s">
        <v>19</v>
      </c>
      <c r="C114" s="64"/>
      <c r="D114" s="65" t="s">
        <v>43</v>
      </c>
      <c r="E114" s="66">
        <v>1</v>
      </c>
      <c r="F114" s="67">
        <v>1</v>
      </c>
      <c r="G114" s="68" t="s">
        <v>21</v>
      </c>
      <c r="H114" s="67">
        <v>36</v>
      </c>
      <c r="I114" s="68" t="s">
        <v>43</v>
      </c>
      <c r="J114" s="69">
        <v>41400</v>
      </c>
      <c r="K114" s="65" t="s">
        <v>43</v>
      </c>
      <c r="L114" s="70">
        <v>0.125</v>
      </c>
      <c r="M114" s="70">
        <v>0.05</v>
      </c>
      <c r="N114" s="64">
        <v>36</v>
      </c>
      <c r="O114" s="68" t="s">
        <v>43</v>
      </c>
      <c r="P114" s="64">
        <f t="shared" si="33"/>
        <v>0</v>
      </c>
      <c r="Q114" s="68" t="s">
        <v>43</v>
      </c>
      <c r="R114" s="69">
        <f t="shared" si="34"/>
        <v>0</v>
      </c>
      <c r="S114" s="23">
        <f t="shared" si="15"/>
        <v>0</v>
      </c>
    </row>
    <row r="115" spans="1:19" s="63" customFormat="1">
      <c r="A115" s="72" t="s">
        <v>122</v>
      </c>
      <c r="B115" s="63" t="s">
        <v>19</v>
      </c>
      <c r="C115" s="64"/>
      <c r="D115" s="65" t="s">
        <v>43</v>
      </c>
      <c r="E115" s="66"/>
      <c r="F115" s="67">
        <v>1</v>
      </c>
      <c r="G115" s="68" t="s">
        <v>21</v>
      </c>
      <c r="H115" s="67">
        <v>36</v>
      </c>
      <c r="I115" s="68" t="s">
        <v>43</v>
      </c>
      <c r="J115" s="69">
        <v>41400</v>
      </c>
      <c r="K115" s="65" t="s">
        <v>43</v>
      </c>
      <c r="L115" s="70">
        <v>0.125</v>
      </c>
      <c r="M115" s="70">
        <v>0.05</v>
      </c>
      <c r="N115" s="64"/>
      <c r="O115" s="68" t="s">
        <v>43</v>
      </c>
      <c r="P115" s="64">
        <f t="shared" si="33"/>
        <v>0</v>
      </c>
      <c r="Q115" s="68" t="s">
        <v>43</v>
      </c>
      <c r="R115" s="69">
        <f t="shared" si="34"/>
        <v>0</v>
      </c>
      <c r="S115" s="23">
        <f t="shared" si="15"/>
        <v>0</v>
      </c>
    </row>
    <row r="116" spans="1:19" s="45" customFormat="1">
      <c r="A116" s="44" t="s">
        <v>123</v>
      </c>
      <c r="B116" s="45" t="s">
        <v>19</v>
      </c>
      <c r="C116" s="46">
        <v>360</v>
      </c>
      <c r="D116" s="47" t="s">
        <v>43</v>
      </c>
      <c r="E116" s="48"/>
      <c r="F116" s="49">
        <v>24</v>
      </c>
      <c r="G116" s="50" t="s">
        <v>34</v>
      </c>
      <c r="H116" s="49">
        <v>2</v>
      </c>
      <c r="I116" s="50" t="s">
        <v>43</v>
      </c>
      <c r="J116" s="51">
        <f>70800/2</f>
        <v>35400</v>
      </c>
      <c r="K116" s="47" t="s">
        <v>43</v>
      </c>
      <c r="L116" s="52">
        <v>0.125</v>
      </c>
      <c r="M116" s="52">
        <v>0.05</v>
      </c>
      <c r="N116" s="46"/>
      <c r="O116" s="50" t="s">
        <v>43</v>
      </c>
      <c r="P116" s="46">
        <f t="shared" si="33"/>
        <v>360</v>
      </c>
      <c r="Q116" s="50" t="s">
        <v>43</v>
      </c>
      <c r="R116" s="51">
        <f t="shared" si="34"/>
        <v>10593450</v>
      </c>
      <c r="S116" s="51">
        <f t="shared" si="15"/>
        <v>9543648.6486486476</v>
      </c>
    </row>
    <row r="117" spans="1:19" s="45" customFormat="1">
      <c r="A117" s="44" t="s">
        <v>124</v>
      </c>
      <c r="B117" s="45" t="s">
        <v>19</v>
      </c>
      <c r="C117" s="46">
        <v>120</v>
      </c>
      <c r="D117" s="47" t="s">
        <v>43</v>
      </c>
      <c r="E117" s="48"/>
      <c r="F117" s="49">
        <v>24</v>
      </c>
      <c r="G117" s="50" t="s">
        <v>34</v>
      </c>
      <c r="H117" s="49">
        <v>2</v>
      </c>
      <c r="I117" s="50" t="s">
        <v>43</v>
      </c>
      <c r="J117" s="51">
        <f>70800/2</f>
        <v>35400</v>
      </c>
      <c r="K117" s="47" t="s">
        <v>43</v>
      </c>
      <c r="L117" s="52">
        <v>0.125</v>
      </c>
      <c r="M117" s="52">
        <v>0.05</v>
      </c>
      <c r="N117" s="46"/>
      <c r="O117" s="50" t="s">
        <v>43</v>
      </c>
      <c r="P117" s="46">
        <f t="shared" si="33"/>
        <v>120</v>
      </c>
      <c r="Q117" s="50" t="s">
        <v>43</v>
      </c>
      <c r="R117" s="51">
        <f t="shared" si="34"/>
        <v>3531150</v>
      </c>
      <c r="S117" s="32">
        <f t="shared" si="15"/>
        <v>3181216.2162162159</v>
      </c>
    </row>
    <row r="118" spans="1:19" s="63" customFormat="1">
      <c r="A118" s="72" t="s">
        <v>125</v>
      </c>
      <c r="B118" s="63" t="s">
        <v>19</v>
      </c>
      <c r="C118" s="64"/>
      <c r="D118" s="65" t="s">
        <v>43</v>
      </c>
      <c r="E118" s="66"/>
      <c r="F118" s="67">
        <v>1</v>
      </c>
      <c r="G118" s="68" t="s">
        <v>21</v>
      </c>
      <c r="H118" s="67">
        <v>36</v>
      </c>
      <c r="I118" s="68" t="s">
        <v>43</v>
      </c>
      <c r="J118" s="69">
        <v>34200</v>
      </c>
      <c r="K118" s="65" t="s">
        <v>43</v>
      </c>
      <c r="L118" s="70">
        <v>0.125</v>
      </c>
      <c r="M118" s="70">
        <v>0.05</v>
      </c>
      <c r="N118" s="64"/>
      <c r="O118" s="68" t="s">
        <v>43</v>
      </c>
      <c r="P118" s="64">
        <f t="shared" si="33"/>
        <v>0</v>
      </c>
      <c r="Q118" s="68" t="s">
        <v>43</v>
      </c>
      <c r="R118" s="69">
        <f t="shared" si="34"/>
        <v>0</v>
      </c>
      <c r="S118" s="23">
        <f t="shared" si="15"/>
        <v>0</v>
      </c>
    </row>
    <row r="119" spans="1:19" s="45" customFormat="1">
      <c r="A119" s="44" t="s">
        <v>126</v>
      </c>
      <c r="B119" s="45" t="s">
        <v>19</v>
      </c>
      <c r="C119" s="46">
        <v>48</v>
      </c>
      <c r="D119" s="47" t="s">
        <v>43</v>
      </c>
      <c r="E119" s="48"/>
      <c r="F119" s="49">
        <v>24</v>
      </c>
      <c r="G119" s="50" t="s">
        <v>34</v>
      </c>
      <c r="H119" s="49">
        <v>2</v>
      </c>
      <c r="I119" s="50" t="s">
        <v>43</v>
      </c>
      <c r="J119" s="51">
        <f>46800/2</f>
        <v>23400</v>
      </c>
      <c r="K119" s="47" t="s">
        <v>43</v>
      </c>
      <c r="L119" s="52">
        <v>0.125</v>
      </c>
      <c r="M119" s="52">
        <v>0.05</v>
      </c>
      <c r="N119" s="46"/>
      <c r="O119" s="50" t="s">
        <v>43</v>
      </c>
      <c r="P119" s="46">
        <f t="shared" si="33"/>
        <v>48</v>
      </c>
      <c r="Q119" s="50" t="s">
        <v>43</v>
      </c>
      <c r="R119" s="51">
        <f t="shared" si="34"/>
        <v>933660</v>
      </c>
      <c r="S119" s="32">
        <f t="shared" si="15"/>
        <v>841135.13513513503</v>
      </c>
    </row>
    <row r="120" spans="1:19" s="63" customFormat="1">
      <c r="A120" s="72" t="s">
        <v>127</v>
      </c>
      <c r="B120" s="63" t="s">
        <v>19</v>
      </c>
      <c r="C120" s="64">
        <v>3</v>
      </c>
      <c r="D120" s="65" t="s">
        <v>43</v>
      </c>
      <c r="E120" s="66"/>
      <c r="F120" s="67">
        <v>60</v>
      </c>
      <c r="G120" s="68" t="s">
        <v>34</v>
      </c>
      <c r="H120" s="67">
        <v>1</v>
      </c>
      <c r="I120" s="68" t="s">
        <v>43</v>
      </c>
      <c r="J120" s="69">
        <v>43200</v>
      </c>
      <c r="K120" s="65" t="s">
        <v>43</v>
      </c>
      <c r="L120" s="70">
        <v>0.125</v>
      </c>
      <c r="M120" s="70">
        <v>0.05</v>
      </c>
      <c r="N120" s="64">
        <v>3</v>
      </c>
      <c r="O120" s="68" t="s">
        <v>43</v>
      </c>
      <c r="P120" s="64">
        <f t="shared" si="33"/>
        <v>0</v>
      </c>
      <c r="Q120" s="68" t="s">
        <v>43</v>
      </c>
      <c r="R120" s="69">
        <f t="shared" si="34"/>
        <v>0</v>
      </c>
      <c r="S120" s="23">
        <f t="shared" si="15"/>
        <v>0</v>
      </c>
    </row>
    <row r="121" spans="1:19" s="63" customFormat="1">
      <c r="A121" s="72" t="s">
        <v>128</v>
      </c>
      <c r="B121" s="63" t="s">
        <v>26</v>
      </c>
      <c r="C121" s="64"/>
      <c r="D121" s="65" t="s">
        <v>43</v>
      </c>
      <c r="E121" s="66"/>
      <c r="F121" s="67">
        <v>1</v>
      </c>
      <c r="G121" s="68" t="s">
        <v>21</v>
      </c>
      <c r="H121" s="67">
        <v>36</v>
      </c>
      <c r="I121" s="68" t="s">
        <v>43</v>
      </c>
      <c r="J121" s="69">
        <f>1792800/36</f>
        <v>49800</v>
      </c>
      <c r="K121" s="65" t="s">
        <v>43</v>
      </c>
      <c r="L121" s="70"/>
      <c r="M121" s="70">
        <v>0.17</v>
      </c>
      <c r="N121" s="64"/>
      <c r="O121" s="68" t="s">
        <v>43</v>
      </c>
      <c r="P121" s="64">
        <f t="shared" si="33"/>
        <v>0</v>
      </c>
      <c r="Q121" s="68" t="s">
        <v>43</v>
      </c>
      <c r="R121" s="69">
        <f t="shared" si="34"/>
        <v>0</v>
      </c>
      <c r="S121" s="23">
        <f t="shared" si="15"/>
        <v>0</v>
      </c>
    </row>
    <row r="122" spans="1:19" s="45" customFormat="1">
      <c r="A122" s="44" t="s">
        <v>129</v>
      </c>
      <c r="B122" s="45" t="s">
        <v>26</v>
      </c>
      <c r="C122" s="46">
        <v>180</v>
      </c>
      <c r="D122" s="47" t="s">
        <v>43</v>
      </c>
      <c r="E122" s="48"/>
      <c r="F122" s="49">
        <v>1</v>
      </c>
      <c r="G122" s="50" t="s">
        <v>21</v>
      </c>
      <c r="H122" s="49">
        <v>36</v>
      </c>
      <c r="I122" s="50" t="s">
        <v>43</v>
      </c>
      <c r="J122" s="51">
        <f>1792800/36</f>
        <v>49800</v>
      </c>
      <c r="K122" s="47" t="s">
        <v>43</v>
      </c>
      <c r="L122" s="52"/>
      <c r="M122" s="52">
        <v>0.17</v>
      </c>
      <c r="N122" s="46"/>
      <c r="O122" s="50" t="s">
        <v>43</v>
      </c>
      <c r="P122" s="46">
        <f t="shared" si="33"/>
        <v>180</v>
      </c>
      <c r="Q122" s="50" t="s">
        <v>43</v>
      </c>
      <c r="R122" s="51">
        <f t="shared" si="34"/>
        <v>7440120</v>
      </c>
      <c r="S122" s="32">
        <f t="shared" si="15"/>
        <v>6702810.81081081</v>
      </c>
    </row>
    <row r="123" spans="1:19" s="63" customFormat="1">
      <c r="A123" s="72" t="s">
        <v>130</v>
      </c>
      <c r="B123" s="63" t="s">
        <v>26</v>
      </c>
      <c r="C123" s="64">
        <f>425+604-180</f>
        <v>849</v>
      </c>
      <c r="D123" s="65" t="s">
        <v>43</v>
      </c>
      <c r="E123" s="66">
        <f>5+5+5</f>
        <v>15</v>
      </c>
      <c r="F123" s="67">
        <v>1</v>
      </c>
      <c r="G123" s="68" t="s">
        <v>21</v>
      </c>
      <c r="H123" s="67">
        <v>36</v>
      </c>
      <c r="I123" s="68" t="s">
        <v>43</v>
      </c>
      <c r="J123" s="69">
        <f>1900800/36</f>
        <v>52800</v>
      </c>
      <c r="K123" s="65" t="s">
        <v>43</v>
      </c>
      <c r="L123" s="70"/>
      <c r="M123" s="70">
        <v>0.17</v>
      </c>
      <c r="N123" s="64">
        <f>72+36+72+72+36+72+36+36+36+36+36+36+36+36+2+72+36+36+10+72+36+144+36+72+36+14+72+36+31+36</f>
        <v>1389</v>
      </c>
      <c r="O123" s="68" t="s">
        <v>43</v>
      </c>
      <c r="P123" s="64">
        <f t="shared" si="33"/>
        <v>0</v>
      </c>
      <c r="Q123" s="68" t="s">
        <v>43</v>
      </c>
      <c r="R123" s="69">
        <f t="shared" si="34"/>
        <v>0</v>
      </c>
      <c r="S123" s="69">
        <f t="shared" si="15"/>
        <v>0</v>
      </c>
    </row>
    <row r="124" spans="1:19" s="26" customFormat="1">
      <c r="A124" s="25" t="s">
        <v>131</v>
      </c>
      <c r="B124" s="26" t="s">
        <v>26</v>
      </c>
      <c r="C124" s="27">
        <v>231</v>
      </c>
      <c r="D124" s="28" t="s">
        <v>43</v>
      </c>
      <c r="E124" s="29"/>
      <c r="F124" s="30">
        <v>1</v>
      </c>
      <c r="G124" s="31" t="s">
        <v>21</v>
      </c>
      <c r="H124" s="30">
        <v>36</v>
      </c>
      <c r="I124" s="31" t="s">
        <v>43</v>
      </c>
      <c r="J124" s="32">
        <f>1846800/36</f>
        <v>51300</v>
      </c>
      <c r="K124" s="28" t="s">
        <v>43</v>
      </c>
      <c r="L124" s="33"/>
      <c r="M124" s="33">
        <v>0.17</v>
      </c>
      <c r="N124" s="27">
        <f>6+3+2</f>
        <v>11</v>
      </c>
      <c r="O124" s="31" t="s">
        <v>43</v>
      </c>
      <c r="P124" s="27">
        <f t="shared" si="33"/>
        <v>220</v>
      </c>
      <c r="Q124" s="31" t="s">
        <v>43</v>
      </c>
      <c r="R124" s="32">
        <f t="shared" si="34"/>
        <v>9367380</v>
      </c>
      <c r="S124" s="32">
        <f t="shared" si="15"/>
        <v>8439081.0810810812</v>
      </c>
    </row>
    <row r="125" spans="1:19" s="85" customFormat="1">
      <c r="A125" s="84" t="s">
        <v>132</v>
      </c>
      <c r="B125" s="85" t="s">
        <v>26</v>
      </c>
      <c r="C125" s="86">
        <v>558</v>
      </c>
      <c r="D125" s="87" t="s">
        <v>43</v>
      </c>
      <c r="E125" s="48"/>
      <c r="F125" s="88">
        <v>1</v>
      </c>
      <c r="G125" s="89" t="s">
        <v>21</v>
      </c>
      <c r="H125" s="88">
        <v>36</v>
      </c>
      <c r="I125" s="89" t="s">
        <v>43</v>
      </c>
      <c r="J125" s="90">
        <f>1533600/36</f>
        <v>42600</v>
      </c>
      <c r="K125" s="87" t="s">
        <v>43</v>
      </c>
      <c r="L125" s="91"/>
      <c r="M125" s="91">
        <v>0.17</v>
      </c>
      <c r="N125" s="86">
        <f>36+108+36+72+15</f>
        <v>267</v>
      </c>
      <c r="O125" s="89" t="s">
        <v>43</v>
      </c>
      <c r="P125" s="86">
        <f t="shared" si="33"/>
        <v>291</v>
      </c>
      <c r="Q125" s="89" t="s">
        <v>43</v>
      </c>
      <c r="R125" s="90">
        <f t="shared" si="34"/>
        <v>10289178</v>
      </c>
      <c r="S125" s="51">
        <f t="shared" si="15"/>
        <v>9269529.7297297288</v>
      </c>
    </row>
    <row r="126" spans="1:19" s="17" customFormat="1">
      <c r="A126" s="16" t="s">
        <v>133</v>
      </c>
      <c r="B126" s="17" t="s">
        <v>26</v>
      </c>
      <c r="C126" s="18"/>
      <c r="D126" s="19" t="s">
        <v>43</v>
      </c>
      <c r="E126" s="20"/>
      <c r="F126" s="21">
        <v>1</v>
      </c>
      <c r="G126" s="22" t="s">
        <v>21</v>
      </c>
      <c r="H126" s="21">
        <v>36</v>
      </c>
      <c r="I126" s="22" t="s">
        <v>43</v>
      </c>
      <c r="J126" s="23">
        <f>1760400/36</f>
        <v>48900</v>
      </c>
      <c r="K126" s="19" t="s">
        <v>43</v>
      </c>
      <c r="L126" s="24"/>
      <c r="M126" s="24">
        <v>0.17</v>
      </c>
      <c r="N126" s="18"/>
      <c r="O126" s="22" t="s">
        <v>43</v>
      </c>
      <c r="P126" s="18">
        <f t="shared" si="33"/>
        <v>0</v>
      </c>
      <c r="Q126" s="22" t="s">
        <v>43</v>
      </c>
      <c r="R126" s="23">
        <f t="shared" si="34"/>
        <v>0</v>
      </c>
      <c r="S126" s="23">
        <f t="shared" si="15"/>
        <v>0</v>
      </c>
    </row>
    <row r="127" spans="1:19" s="45" customFormat="1">
      <c r="A127" s="44" t="s">
        <v>134</v>
      </c>
      <c r="B127" s="45" t="s">
        <v>26</v>
      </c>
      <c r="C127" s="46">
        <v>372</v>
      </c>
      <c r="D127" s="47" t="s">
        <v>43</v>
      </c>
      <c r="E127" s="48"/>
      <c r="F127" s="49">
        <v>1</v>
      </c>
      <c r="G127" s="50" t="s">
        <v>21</v>
      </c>
      <c r="H127" s="49">
        <v>36</v>
      </c>
      <c r="I127" s="50" t="s">
        <v>43</v>
      </c>
      <c r="J127" s="51">
        <f>1890000/36</f>
        <v>52500</v>
      </c>
      <c r="K127" s="47" t="s">
        <v>43</v>
      </c>
      <c r="L127" s="52"/>
      <c r="M127" s="52">
        <v>0.17</v>
      </c>
      <c r="N127" s="46">
        <v>36</v>
      </c>
      <c r="O127" s="50" t="s">
        <v>43</v>
      </c>
      <c r="P127" s="46">
        <f t="shared" si="33"/>
        <v>336</v>
      </c>
      <c r="Q127" s="50" t="s">
        <v>43</v>
      </c>
      <c r="R127" s="51">
        <f t="shared" si="34"/>
        <v>14641200</v>
      </c>
      <c r="S127" s="51">
        <f t="shared" si="15"/>
        <v>13190270.270270269</v>
      </c>
    </row>
    <row r="128" spans="1:19" s="26" customFormat="1">
      <c r="A128" s="25" t="s">
        <v>135</v>
      </c>
      <c r="B128" s="26" t="s">
        <v>26</v>
      </c>
      <c r="C128" s="27"/>
      <c r="D128" s="28" t="s">
        <v>43</v>
      </c>
      <c r="E128" s="29">
        <f>1+1+1</f>
        <v>3</v>
      </c>
      <c r="F128" s="30">
        <v>1</v>
      </c>
      <c r="G128" s="31" t="s">
        <v>21</v>
      </c>
      <c r="H128" s="30">
        <v>36</v>
      </c>
      <c r="I128" s="31" t="s">
        <v>43</v>
      </c>
      <c r="J128" s="32">
        <f>2116800/36</f>
        <v>58800</v>
      </c>
      <c r="K128" s="28" t="s">
        <v>43</v>
      </c>
      <c r="L128" s="33"/>
      <c r="M128" s="33">
        <v>0.17</v>
      </c>
      <c r="N128" s="27">
        <f>36+36</f>
        <v>72</v>
      </c>
      <c r="O128" s="31" t="s">
        <v>43</v>
      </c>
      <c r="P128" s="27">
        <f t="shared" si="33"/>
        <v>36</v>
      </c>
      <c r="Q128" s="31" t="s">
        <v>43</v>
      </c>
      <c r="R128" s="32">
        <f t="shared" si="34"/>
        <v>1756944</v>
      </c>
      <c r="S128" s="32">
        <f t="shared" si="15"/>
        <v>1582832.4324324322</v>
      </c>
    </row>
    <row r="129" spans="1:20">
      <c r="A129" s="15" t="s">
        <v>136</v>
      </c>
      <c r="S129" s="23"/>
    </row>
    <row r="130" spans="1:20" s="17" customFormat="1">
      <c r="A130" s="16" t="s">
        <v>137</v>
      </c>
      <c r="B130" s="17" t="s">
        <v>19</v>
      </c>
      <c r="C130" s="18">
        <v>4</v>
      </c>
      <c r="D130" s="19" t="s">
        <v>43</v>
      </c>
      <c r="E130" s="20">
        <v>1</v>
      </c>
      <c r="F130" s="21">
        <v>60</v>
      </c>
      <c r="G130" s="22" t="s">
        <v>34</v>
      </c>
      <c r="H130" s="21">
        <v>1</v>
      </c>
      <c r="I130" s="22" t="s">
        <v>43</v>
      </c>
      <c r="J130" s="23">
        <f>4600*12</f>
        <v>55200</v>
      </c>
      <c r="K130" s="19" t="s">
        <v>43</v>
      </c>
      <c r="L130" s="24">
        <v>0.125</v>
      </c>
      <c r="M130" s="24">
        <v>0.05</v>
      </c>
      <c r="N130" s="18">
        <f>4+60</f>
        <v>64</v>
      </c>
      <c r="O130" s="22" t="s">
        <v>43</v>
      </c>
      <c r="P130" s="18">
        <f t="shared" ref="P130:P154" si="35">(C130+(E130*F130*H130))-N130</f>
        <v>0</v>
      </c>
      <c r="Q130" s="22" t="s">
        <v>43</v>
      </c>
      <c r="R130" s="23">
        <f t="shared" ref="R130:R154" si="36">P130*(J130-(J130*L130)-((J130-(J130*L130))*M130))</f>
        <v>0</v>
      </c>
      <c r="S130" s="23">
        <f t="shared" si="15"/>
        <v>0</v>
      </c>
    </row>
    <row r="131" spans="1:20" s="17" customFormat="1">
      <c r="A131" s="16" t="s">
        <v>138</v>
      </c>
      <c r="B131" s="17" t="s">
        <v>19</v>
      </c>
      <c r="C131" s="18"/>
      <c r="D131" s="19" t="s">
        <v>43</v>
      </c>
      <c r="E131" s="20"/>
      <c r="F131" s="21">
        <v>60</v>
      </c>
      <c r="G131" s="22" t="s">
        <v>34</v>
      </c>
      <c r="H131" s="21">
        <v>1</v>
      </c>
      <c r="I131" s="22" t="s">
        <v>43</v>
      </c>
      <c r="J131" s="23">
        <f>4500*12</f>
        <v>54000</v>
      </c>
      <c r="K131" s="19" t="s">
        <v>43</v>
      </c>
      <c r="L131" s="24">
        <v>0.125</v>
      </c>
      <c r="M131" s="24">
        <v>0.05</v>
      </c>
      <c r="N131" s="18"/>
      <c r="O131" s="22" t="s">
        <v>43</v>
      </c>
      <c r="P131" s="18">
        <f t="shared" si="35"/>
        <v>0</v>
      </c>
      <c r="Q131" s="22" t="s">
        <v>43</v>
      </c>
      <c r="R131" s="23">
        <f t="shared" si="36"/>
        <v>0</v>
      </c>
      <c r="S131" s="23">
        <f t="shared" si="15"/>
        <v>0</v>
      </c>
    </row>
    <row r="132" spans="1:20" s="17" customFormat="1">
      <c r="A132" s="16" t="s">
        <v>139</v>
      </c>
      <c r="B132" s="17" t="s">
        <v>19</v>
      </c>
      <c r="C132" s="18"/>
      <c r="D132" s="19" t="s">
        <v>43</v>
      </c>
      <c r="E132" s="20"/>
      <c r="F132" s="21">
        <v>30</v>
      </c>
      <c r="G132" s="22" t="s">
        <v>34</v>
      </c>
      <c r="H132" s="21">
        <v>1</v>
      </c>
      <c r="I132" s="22" t="s">
        <v>43</v>
      </c>
      <c r="J132" s="23">
        <f>5500*12</f>
        <v>66000</v>
      </c>
      <c r="K132" s="19" t="s">
        <v>43</v>
      </c>
      <c r="L132" s="24">
        <v>0.125</v>
      </c>
      <c r="M132" s="24">
        <v>0.05</v>
      </c>
      <c r="N132" s="18"/>
      <c r="O132" s="22" t="s">
        <v>43</v>
      </c>
      <c r="P132" s="18">
        <f t="shared" si="35"/>
        <v>0</v>
      </c>
      <c r="Q132" s="22" t="s">
        <v>43</v>
      </c>
      <c r="R132" s="23">
        <f t="shared" si="36"/>
        <v>0</v>
      </c>
      <c r="S132" s="23">
        <f t="shared" si="15"/>
        <v>0</v>
      </c>
    </row>
    <row r="133" spans="1:20" s="63" customFormat="1">
      <c r="A133" s="95" t="s">
        <v>140</v>
      </c>
      <c r="B133" s="96" t="s">
        <v>19</v>
      </c>
      <c r="C133" s="97">
        <v>141</v>
      </c>
      <c r="D133" s="98" t="s">
        <v>43</v>
      </c>
      <c r="E133" s="105">
        <v>5</v>
      </c>
      <c r="F133" s="100">
        <v>60</v>
      </c>
      <c r="G133" s="101" t="s">
        <v>34</v>
      </c>
      <c r="H133" s="100">
        <v>1</v>
      </c>
      <c r="I133" s="101" t="s">
        <v>43</v>
      </c>
      <c r="J133" s="102">
        <f>4700*12</f>
        <v>56400</v>
      </c>
      <c r="K133" s="98" t="s">
        <v>43</v>
      </c>
      <c r="L133" s="103">
        <v>0.125</v>
      </c>
      <c r="M133" s="103">
        <v>0.05</v>
      </c>
      <c r="N133" s="97">
        <f>(3600/12)+4+60+300-223</f>
        <v>441</v>
      </c>
      <c r="O133" s="101" t="s">
        <v>43</v>
      </c>
      <c r="P133" s="97">
        <f t="shared" si="35"/>
        <v>0</v>
      </c>
      <c r="Q133" s="101" t="s">
        <v>43</v>
      </c>
      <c r="R133" s="102">
        <f t="shared" si="36"/>
        <v>0</v>
      </c>
      <c r="S133" s="102">
        <f t="shared" si="15"/>
        <v>0</v>
      </c>
    </row>
    <row r="134" spans="1:20" s="45" customFormat="1">
      <c r="A134" s="35" t="s">
        <v>140</v>
      </c>
      <c r="B134" s="36" t="s">
        <v>19</v>
      </c>
      <c r="C134" s="37"/>
      <c r="D134" s="38" t="s">
        <v>43</v>
      </c>
      <c r="E134" s="39">
        <f>2+1+5+5</f>
        <v>13</v>
      </c>
      <c r="F134" s="40">
        <v>60</v>
      </c>
      <c r="G134" s="41" t="s">
        <v>34</v>
      </c>
      <c r="H134" s="40">
        <v>1</v>
      </c>
      <c r="I134" s="41" t="s">
        <v>43</v>
      </c>
      <c r="J134" s="42">
        <f>4800*12</f>
        <v>57600</v>
      </c>
      <c r="K134" s="38" t="s">
        <v>43</v>
      </c>
      <c r="L134" s="43">
        <v>0.125</v>
      </c>
      <c r="M134" s="43">
        <v>0.05</v>
      </c>
      <c r="N134" s="37">
        <f>(300-77)+120+120</f>
        <v>463</v>
      </c>
      <c r="O134" s="41" t="s">
        <v>43</v>
      </c>
      <c r="P134" s="37">
        <f t="shared" ref="P134" si="37">(C134+(E134*F134*H134))-N134</f>
        <v>317</v>
      </c>
      <c r="Q134" s="41" t="s">
        <v>43</v>
      </c>
      <c r="R134" s="42">
        <f t="shared" ref="R134" si="38">P134*(J134-(J134*L134)-((J134-(J134*L134))*M134))</f>
        <v>15177960</v>
      </c>
      <c r="S134" s="42">
        <f t="shared" ref="S134" si="39">R134/1.11</f>
        <v>13673837.837837836</v>
      </c>
    </row>
    <row r="135" spans="1:20" s="63" customFormat="1">
      <c r="A135" s="72" t="s">
        <v>141</v>
      </c>
      <c r="B135" s="63" t="s">
        <v>19</v>
      </c>
      <c r="C135" s="64"/>
      <c r="D135" s="65" t="s">
        <v>43</v>
      </c>
      <c r="E135" s="66"/>
      <c r="F135" s="67">
        <v>60</v>
      </c>
      <c r="G135" s="68" t="s">
        <v>34</v>
      </c>
      <c r="H135" s="67">
        <v>1</v>
      </c>
      <c r="I135" s="68" t="s">
        <v>43</v>
      </c>
      <c r="J135" s="69">
        <f>5800*12</f>
        <v>69600</v>
      </c>
      <c r="K135" s="65" t="s">
        <v>43</v>
      </c>
      <c r="L135" s="70">
        <v>0.125</v>
      </c>
      <c r="M135" s="70">
        <v>0.05</v>
      </c>
      <c r="N135" s="64"/>
      <c r="O135" s="68" t="s">
        <v>43</v>
      </c>
      <c r="P135" s="64">
        <f t="shared" si="35"/>
        <v>0</v>
      </c>
      <c r="Q135" s="68" t="s">
        <v>43</v>
      </c>
      <c r="R135" s="69">
        <f t="shared" si="36"/>
        <v>0</v>
      </c>
      <c r="S135" s="23">
        <f t="shared" si="15"/>
        <v>0</v>
      </c>
    </row>
    <row r="136" spans="1:20" s="63" customFormat="1">
      <c r="A136" s="72" t="s">
        <v>142</v>
      </c>
      <c r="B136" s="63" t="s">
        <v>19</v>
      </c>
      <c r="C136" s="64"/>
      <c r="D136" s="65" t="s">
        <v>43</v>
      </c>
      <c r="E136" s="66"/>
      <c r="F136" s="67">
        <v>40</v>
      </c>
      <c r="G136" s="68" t="s">
        <v>34</v>
      </c>
      <c r="H136" s="67">
        <v>1</v>
      </c>
      <c r="I136" s="68" t="s">
        <v>43</v>
      </c>
      <c r="J136" s="69">
        <f>8500*12</f>
        <v>102000</v>
      </c>
      <c r="K136" s="65" t="s">
        <v>43</v>
      </c>
      <c r="L136" s="70">
        <v>0.125</v>
      </c>
      <c r="M136" s="70">
        <v>0.05</v>
      </c>
      <c r="N136" s="64"/>
      <c r="O136" s="68" t="s">
        <v>43</v>
      </c>
      <c r="P136" s="64">
        <f t="shared" si="35"/>
        <v>0</v>
      </c>
      <c r="Q136" s="68" t="s">
        <v>43</v>
      </c>
      <c r="R136" s="69">
        <f t="shared" si="36"/>
        <v>0</v>
      </c>
      <c r="S136" s="23">
        <f t="shared" si="15"/>
        <v>0</v>
      </c>
    </row>
    <row r="137" spans="1:20" s="63" customFormat="1">
      <c r="A137" s="72" t="s">
        <v>143</v>
      </c>
      <c r="B137" s="63" t="s">
        <v>19</v>
      </c>
      <c r="C137" s="64"/>
      <c r="D137" s="65" t="s">
        <v>43</v>
      </c>
      <c r="E137" s="66"/>
      <c r="F137" s="67">
        <v>40</v>
      </c>
      <c r="G137" s="68" t="s">
        <v>34</v>
      </c>
      <c r="H137" s="67">
        <v>1</v>
      </c>
      <c r="I137" s="68" t="s">
        <v>43</v>
      </c>
      <c r="J137" s="69">
        <f>8800*12</f>
        <v>105600</v>
      </c>
      <c r="K137" s="65" t="s">
        <v>43</v>
      </c>
      <c r="L137" s="70">
        <v>0.125</v>
      </c>
      <c r="M137" s="70">
        <v>0.05</v>
      </c>
      <c r="N137" s="64"/>
      <c r="O137" s="68" t="s">
        <v>43</v>
      </c>
      <c r="P137" s="64">
        <f t="shared" si="35"/>
        <v>0</v>
      </c>
      <c r="Q137" s="68" t="s">
        <v>43</v>
      </c>
      <c r="R137" s="69">
        <f t="shared" si="36"/>
        <v>0</v>
      </c>
      <c r="S137" s="23">
        <f t="shared" si="15"/>
        <v>0</v>
      </c>
    </row>
    <row r="138" spans="1:20" s="17" customFormat="1">
      <c r="A138" s="16" t="s">
        <v>144</v>
      </c>
      <c r="B138" s="17" t="s">
        <v>26</v>
      </c>
      <c r="C138" s="18"/>
      <c r="D138" s="19" t="s">
        <v>43</v>
      </c>
      <c r="E138" s="20"/>
      <c r="F138" s="21">
        <v>1</v>
      </c>
      <c r="G138" s="22" t="s">
        <v>21</v>
      </c>
      <c r="H138" s="21">
        <v>36</v>
      </c>
      <c r="I138" s="22" t="s">
        <v>43</v>
      </c>
      <c r="J138" s="23">
        <f>2095200/36</f>
        <v>58200</v>
      </c>
      <c r="K138" s="19" t="s">
        <v>43</v>
      </c>
      <c r="L138" s="24"/>
      <c r="M138" s="24">
        <v>0.17</v>
      </c>
      <c r="N138" s="18"/>
      <c r="O138" s="22" t="s">
        <v>43</v>
      </c>
      <c r="P138" s="18">
        <f t="shared" si="35"/>
        <v>0</v>
      </c>
      <c r="Q138" s="22" t="s">
        <v>43</v>
      </c>
      <c r="R138" s="23">
        <f t="shared" si="36"/>
        <v>0</v>
      </c>
      <c r="S138" s="23">
        <f t="shared" si="15"/>
        <v>0</v>
      </c>
    </row>
    <row r="139" spans="1:20" s="17" customFormat="1">
      <c r="A139" s="44" t="s">
        <v>145</v>
      </c>
      <c r="B139" s="45" t="s">
        <v>26</v>
      </c>
      <c r="C139" s="46">
        <v>291</v>
      </c>
      <c r="D139" s="47" t="s">
        <v>43</v>
      </c>
      <c r="E139" s="48"/>
      <c r="F139" s="49">
        <v>1</v>
      </c>
      <c r="G139" s="50" t="s">
        <v>21</v>
      </c>
      <c r="H139" s="49">
        <v>48</v>
      </c>
      <c r="I139" s="50" t="s">
        <v>43</v>
      </c>
      <c r="J139" s="51">
        <f>2793600/48</f>
        <v>58200</v>
      </c>
      <c r="K139" s="47" t="s">
        <v>43</v>
      </c>
      <c r="L139" s="52"/>
      <c r="M139" s="52">
        <v>0.17</v>
      </c>
      <c r="N139" s="46">
        <f>48+4+2+6+2</f>
        <v>62</v>
      </c>
      <c r="O139" s="50" t="s">
        <v>43</v>
      </c>
      <c r="P139" s="46">
        <f t="shared" si="35"/>
        <v>229</v>
      </c>
      <c r="Q139" s="50" t="s">
        <v>43</v>
      </c>
      <c r="R139" s="51">
        <f t="shared" si="36"/>
        <v>11062074</v>
      </c>
      <c r="S139" s="32">
        <f t="shared" si="15"/>
        <v>9965832.4324324317</v>
      </c>
      <c r="T139" s="45"/>
    </row>
    <row r="140" spans="1:20" s="26" customFormat="1">
      <c r="A140" s="44" t="s">
        <v>146</v>
      </c>
      <c r="B140" s="45" t="s">
        <v>26</v>
      </c>
      <c r="C140" s="46">
        <v>16</v>
      </c>
      <c r="D140" s="47" t="s">
        <v>43</v>
      </c>
      <c r="E140" s="48">
        <v>1</v>
      </c>
      <c r="F140" s="49">
        <v>1</v>
      </c>
      <c r="G140" s="50" t="s">
        <v>21</v>
      </c>
      <c r="H140" s="49">
        <v>48</v>
      </c>
      <c r="I140" s="50" t="s">
        <v>43</v>
      </c>
      <c r="J140" s="51">
        <f>3916800/48</f>
        <v>81600</v>
      </c>
      <c r="K140" s="47" t="s">
        <v>43</v>
      </c>
      <c r="L140" s="52"/>
      <c r="M140" s="52">
        <v>0.17</v>
      </c>
      <c r="N140" s="46">
        <v>48</v>
      </c>
      <c r="O140" s="50" t="s">
        <v>43</v>
      </c>
      <c r="P140" s="46">
        <f t="shared" si="35"/>
        <v>16</v>
      </c>
      <c r="Q140" s="50" t="s">
        <v>43</v>
      </c>
      <c r="R140" s="51">
        <f t="shared" si="36"/>
        <v>1083648</v>
      </c>
      <c r="S140" s="32">
        <f t="shared" si="15"/>
        <v>976259.45945945941</v>
      </c>
      <c r="T140" s="45"/>
    </row>
    <row r="141" spans="1:20" s="26" customFormat="1">
      <c r="A141" s="16" t="s">
        <v>147</v>
      </c>
      <c r="B141" s="17" t="s">
        <v>26</v>
      </c>
      <c r="C141" s="18"/>
      <c r="D141" s="19" t="s">
        <v>43</v>
      </c>
      <c r="E141" s="20"/>
      <c r="F141" s="21">
        <v>1</v>
      </c>
      <c r="G141" s="22" t="s">
        <v>21</v>
      </c>
      <c r="H141" s="21">
        <v>48</v>
      </c>
      <c r="I141" s="22" t="s">
        <v>43</v>
      </c>
      <c r="J141" s="23">
        <f>5100*12</f>
        <v>61200</v>
      </c>
      <c r="K141" s="19" t="s">
        <v>43</v>
      </c>
      <c r="L141" s="24"/>
      <c r="M141" s="24">
        <v>0.17</v>
      </c>
      <c r="N141" s="18"/>
      <c r="O141" s="22" t="s">
        <v>43</v>
      </c>
      <c r="P141" s="18">
        <f t="shared" si="35"/>
        <v>0</v>
      </c>
      <c r="Q141" s="22" t="s">
        <v>43</v>
      </c>
      <c r="R141" s="23">
        <f t="shared" si="36"/>
        <v>0</v>
      </c>
      <c r="S141" s="23">
        <f t="shared" si="15"/>
        <v>0</v>
      </c>
      <c r="T141" s="17"/>
    </row>
    <row r="142" spans="1:20">
      <c r="A142" s="16" t="s">
        <v>148</v>
      </c>
      <c r="B142" s="17" t="s">
        <v>26</v>
      </c>
      <c r="C142" s="18">
        <v>48</v>
      </c>
      <c r="D142" s="19" t="s">
        <v>43</v>
      </c>
      <c r="E142" s="20"/>
      <c r="F142" s="21">
        <v>1</v>
      </c>
      <c r="G142" s="22" t="s">
        <v>21</v>
      </c>
      <c r="H142" s="21">
        <v>48</v>
      </c>
      <c r="I142" s="22" t="s">
        <v>43</v>
      </c>
      <c r="J142" s="23">
        <f>4250*12</f>
        <v>51000</v>
      </c>
      <c r="K142" s="19" t="s">
        <v>43</v>
      </c>
      <c r="L142" s="24"/>
      <c r="M142" s="24">
        <v>0.17</v>
      </c>
      <c r="N142" s="18">
        <v>48</v>
      </c>
      <c r="O142" s="22" t="s">
        <v>43</v>
      </c>
      <c r="P142" s="18">
        <f t="shared" si="35"/>
        <v>0</v>
      </c>
      <c r="Q142" s="22" t="s">
        <v>43</v>
      </c>
      <c r="R142" s="23">
        <f t="shared" si="36"/>
        <v>0</v>
      </c>
      <c r="S142" s="23">
        <f t="shared" si="15"/>
        <v>0</v>
      </c>
      <c r="T142" s="17"/>
    </row>
    <row r="143" spans="1:20" s="63" customFormat="1">
      <c r="A143" s="95" t="s">
        <v>149</v>
      </c>
      <c r="B143" s="96" t="s">
        <v>26</v>
      </c>
      <c r="C143" s="97">
        <f>35+13</f>
        <v>48</v>
      </c>
      <c r="D143" s="98" t="s">
        <v>43</v>
      </c>
      <c r="E143" s="105"/>
      <c r="F143" s="100">
        <v>1</v>
      </c>
      <c r="G143" s="101" t="s">
        <v>21</v>
      </c>
      <c r="H143" s="100">
        <v>48</v>
      </c>
      <c r="I143" s="101" t="s">
        <v>43</v>
      </c>
      <c r="J143" s="102">
        <f>2448000/48</f>
        <v>51000</v>
      </c>
      <c r="K143" s="98" t="s">
        <v>43</v>
      </c>
      <c r="L143" s="103"/>
      <c r="M143" s="103">
        <v>0.17</v>
      </c>
      <c r="N143" s="97">
        <v>48</v>
      </c>
      <c r="O143" s="101" t="s">
        <v>43</v>
      </c>
      <c r="P143" s="97">
        <f t="shared" si="35"/>
        <v>0</v>
      </c>
      <c r="Q143" s="101" t="s">
        <v>43</v>
      </c>
      <c r="R143" s="102">
        <f t="shared" si="36"/>
        <v>0</v>
      </c>
      <c r="S143" s="102">
        <f t="shared" si="15"/>
        <v>0</v>
      </c>
      <c r="T143" s="17"/>
    </row>
    <row r="144" spans="1:20" s="45" customFormat="1">
      <c r="A144" s="35" t="s">
        <v>149</v>
      </c>
      <c r="B144" s="36" t="s">
        <v>26</v>
      </c>
      <c r="C144" s="37">
        <v>48</v>
      </c>
      <c r="D144" s="38" t="s">
        <v>43</v>
      </c>
      <c r="E144" s="39"/>
      <c r="F144" s="40">
        <v>1</v>
      </c>
      <c r="G144" s="41" t="s">
        <v>21</v>
      </c>
      <c r="H144" s="40">
        <v>48</v>
      </c>
      <c r="I144" s="41" t="s">
        <v>43</v>
      </c>
      <c r="J144" s="42">
        <f>2592000/48</f>
        <v>54000</v>
      </c>
      <c r="K144" s="38" t="s">
        <v>43</v>
      </c>
      <c r="L144" s="43"/>
      <c r="M144" s="43">
        <v>0.17</v>
      </c>
      <c r="N144" s="37"/>
      <c r="O144" s="41" t="s">
        <v>43</v>
      </c>
      <c r="P144" s="37">
        <f t="shared" si="35"/>
        <v>48</v>
      </c>
      <c r="Q144" s="41" t="s">
        <v>43</v>
      </c>
      <c r="R144" s="42">
        <f t="shared" si="36"/>
        <v>2151360</v>
      </c>
      <c r="S144" s="42">
        <f t="shared" si="15"/>
        <v>1938162.1621621619</v>
      </c>
      <c r="T144" s="26"/>
    </row>
    <row r="145" spans="1:20" s="63" customFormat="1">
      <c r="A145" s="16" t="s">
        <v>150</v>
      </c>
      <c r="B145" s="17" t="s">
        <v>26</v>
      </c>
      <c r="C145" s="18"/>
      <c r="D145" s="19" t="s">
        <v>43</v>
      </c>
      <c r="E145" s="20"/>
      <c r="F145" s="21">
        <v>1</v>
      </c>
      <c r="G145" s="22" t="s">
        <v>21</v>
      </c>
      <c r="H145" s="21">
        <v>48</v>
      </c>
      <c r="I145" s="22" t="s">
        <v>43</v>
      </c>
      <c r="J145" s="23">
        <f>2448000/48</f>
        <v>51000</v>
      </c>
      <c r="K145" s="19" t="s">
        <v>43</v>
      </c>
      <c r="L145" s="24"/>
      <c r="M145" s="24">
        <v>0.17</v>
      </c>
      <c r="N145" s="18"/>
      <c r="O145" s="22" t="s">
        <v>43</v>
      </c>
      <c r="P145" s="18">
        <f t="shared" si="35"/>
        <v>0</v>
      </c>
      <c r="Q145" s="22" t="s">
        <v>43</v>
      </c>
      <c r="R145" s="23">
        <f t="shared" si="36"/>
        <v>0</v>
      </c>
      <c r="S145" s="23">
        <f t="shared" si="15"/>
        <v>0</v>
      </c>
      <c r="T145" s="17"/>
    </row>
    <row r="146" spans="1:20" s="17" customFormat="1">
      <c r="A146" s="16" t="s">
        <v>151</v>
      </c>
      <c r="B146" s="17" t="s">
        <v>26</v>
      </c>
      <c r="C146" s="18"/>
      <c r="D146" s="19" t="s">
        <v>43</v>
      </c>
      <c r="E146" s="20"/>
      <c r="F146" s="21">
        <v>1</v>
      </c>
      <c r="G146" s="22" t="s">
        <v>21</v>
      </c>
      <c r="H146" s="21">
        <v>24</v>
      </c>
      <c r="I146" s="22" t="s">
        <v>43</v>
      </c>
      <c r="J146" s="23">
        <f>2491200/24</f>
        <v>103800</v>
      </c>
      <c r="K146" s="19" t="s">
        <v>43</v>
      </c>
      <c r="L146" s="24"/>
      <c r="M146" s="24">
        <v>0.17</v>
      </c>
      <c r="N146" s="18"/>
      <c r="O146" s="22" t="s">
        <v>43</v>
      </c>
      <c r="P146" s="18">
        <f t="shared" si="35"/>
        <v>0</v>
      </c>
      <c r="Q146" s="22" t="s">
        <v>43</v>
      </c>
      <c r="R146" s="23">
        <f t="shared" si="36"/>
        <v>0</v>
      </c>
      <c r="S146" s="23">
        <f t="shared" ref="S146:S217" si="40">R146/1.11</f>
        <v>0</v>
      </c>
    </row>
    <row r="147" spans="1:20" s="17" customFormat="1">
      <c r="A147" s="25" t="s">
        <v>152</v>
      </c>
      <c r="B147" s="26" t="s">
        <v>26</v>
      </c>
      <c r="C147" s="27">
        <v>7</v>
      </c>
      <c r="D147" s="28" t="s">
        <v>43</v>
      </c>
      <c r="E147" s="29"/>
      <c r="F147" s="30">
        <v>1</v>
      </c>
      <c r="G147" s="31" t="s">
        <v>21</v>
      </c>
      <c r="H147" s="30">
        <v>36</v>
      </c>
      <c r="I147" s="31" t="s">
        <v>43</v>
      </c>
      <c r="J147" s="32">
        <f>3736800/36</f>
        <v>103800</v>
      </c>
      <c r="K147" s="28" t="s">
        <v>43</v>
      </c>
      <c r="L147" s="33"/>
      <c r="M147" s="33">
        <v>0.17</v>
      </c>
      <c r="N147" s="27">
        <v>4</v>
      </c>
      <c r="O147" s="31" t="s">
        <v>43</v>
      </c>
      <c r="P147" s="27">
        <f t="shared" si="35"/>
        <v>3</v>
      </c>
      <c r="Q147" s="31" t="s">
        <v>43</v>
      </c>
      <c r="R147" s="32">
        <f t="shared" si="36"/>
        <v>258462</v>
      </c>
      <c r="S147" s="32">
        <f t="shared" si="40"/>
        <v>232848.64864864864</v>
      </c>
      <c r="T147" s="26"/>
    </row>
    <row r="148" spans="1:20" s="26" customFormat="1">
      <c r="A148" s="34" t="s">
        <v>153</v>
      </c>
      <c r="B148" s="2" t="s">
        <v>26</v>
      </c>
      <c r="C148" s="3">
        <v>2</v>
      </c>
      <c r="D148" s="4" t="s">
        <v>43</v>
      </c>
      <c r="E148" s="5"/>
      <c r="F148" s="6">
        <v>1</v>
      </c>
      <c r="G148" s="7" t="s">
        <v>21</v>
      </c>
      <c r="H148" s="6">
        <v>48</v>
      </c>
      <c r="I148" s="7" t="s">
        <v>43</v>
      </c>
      <c r="J148" s="8">
        <f>2592000/48</f>
        <v>54000</v>
      </c>
      <c r="K148" s="4" t="s">
        <v>43</v>
      </c>
      <c r="L148" s="9"/>
      <c r="M148" s="9">
        <v>0.17</v>
      </c>
      <c r="N148" s="3"/>
      <c r="O148" s="7" t="s">
        <v>43</v>
      </c>
      <c r="P148" s="3">
        <f t="shared" si="35"/>
        <v>2</v>
      </c>
      <c r="Q148" s="7" t="s">
        <v>43</v>
      </c>
      <c r="R148" s="8">
        <f t="shared" si="36"/>
        <v>89640</v>
      </c>
      <c r="S148" s="32">
        <f t="shared" si="40"/>
        <v>80756.756756756746</v>
      </c>
      <c r="T148" s="2"/>
    </row>
    <row r="149" spans="1:20" s="26" customFormat="1">
      <c r="A149" s="25" t="s">
        <v>154</v>
      </c>
      <c r="B149" s="26" t="s">
        <v>26</v>
      </c>
      <c r="C149" s="27"/>
      <c r="D149" s="28" t="s">
        <v>43</v>
      </c>
      <c r="E149" s="29">
        <v>1</v>
      </c>
      <c r="F149" s="30">
        <v>1</v>
      </c>
      <c r="G149" s="31" t="s">
        <v>21</v>
      </c>
      <c r="H149" s="30">
        <v>48</v>
      </c>
      <c r="I149" s="31" t="s">
        <v>43</v>
      </c>
      <c r="J149" s="32">
        <f>2880000/48</f>
        <v>60000</v>
      </c>
      <c r="K149" s="28" t="s">
        <v>43</v>
      </c>
      <c r="L149" s="33"/>
      <c r="M149" s="33">
        <v>0.17</v>
      </c>
      <c r="N149" s="27">
        <f>20+4+5+5+7+2</f>
        <v>43</v>
      </c>
      <c r="O149" s="31" t="s">
        <v>43</v>
      </c>
      <c r="P149" s="27">
        <f t="shared" si="35"/>
        <v>5</v>
      </c>
      <c r="Q149" s="31" t="s">
        <v>43</v>
      </c>
      <c r="R149" s="32">
        <f t="shared" si="36"/>
        <v>249000</v>
      </c>
      <c r="S149" s="32">
        <f t="shared" si="40"/>
        <v>224324.32432432429</v>
      </c>
    </row>
    <row r="150" spans="1:20" s="45" customFormat="1">
      <c r="A150" s="44" t="s">
        <v>155</v>
      </c>
      <c r="B150" s="45" t="s">
        <v>26</v>
      </c>
      <c r="C150" s="46">
        <v>187</v>
      </c>
      <c r="D150" s="47" t="s">
        <v>43</v>
      </c>
      <c r="E150" s="48"/>
      <c r="F150" s="49">
        <v>1</v>
      </c>
      <c r="G150" s="50" t="s">
        <v>21</v>
      </c>
      <c r="H150" s="49">
        <v>48</v>
      </c>
      <c r="I150" s="50" t="s">
        <v>43</v>
      </c>
      <c r="J150" s="51">
        <f>2736000/48</f>
        <v>57000</v>
      </c>
      <c r="K150" s="47" t="s">
        <v>43</v>
      </c>
      <c r="L150" s="52"/>
      <c r="M150" s="52">
        <v>0.17</v>
      </c>
      <c r="N150" s="46">
        <f>3+3+10+4+1+3+3</f>
        <v>27</v>
      </c>
      <c r="O150" s="50" t="s">
        <v>43</v>
      </c>
      <c r="P150" s="46">
        <f t="shared" si="35"/>
        <v>160</v>
      </c>
      <c r="Q150" s="50" t="s">
        <v>43</v>
      </c>
      <c r="R150" s="51">
        <f t="shared" si="36"/>
        <v>7569600</v>
      </c>
      <c r="S150" s="51">
        <f t="shared" si="40"/>
        <v>6819459.4594594585</v>
      </c>
    </row>
    <row r="151" spans="1:20" s="26" customFormat="1">
      <c r="A151" s="25" t="s">
        <v>156</v>
      </c>
      <c r="B151" s="26" t="s">
        <v>26</v>
      </c>
      <c r="C151" s="27">
        <v>15</v>
      </c>
      <c r="D151" s="28" t="s">
        <v>43</v>
      </c>
      <c r="E151" s="29"/>
      <c r="F151" s="30">
        <v>1</v>
      </c>
      <c r="G151" s="31" t="s">
        <v>21</v>
      </c>
      <c r="H151" s="30">
        <v>48</v>
      </c>
      <c r="I151" s="31" t="s">
        <v>43</v>
      </c>
      <c r="J151" s="32">
        <f>2736000/48</f>
        <v>57000</v>
      </c>
      <c r="K151" s="28" t="s">
        <v>43</v>
      </c>
      <c r="L151" s="33"/>
      <c r="M151" s="33">
        <v>0.17</v>
      </c>
      <c r="N151" s="27"/>
      <c r="O151" s="31" t="s">
        <v>43</v>
      </c>
      <c r="P151" s="27">
        <f t="shared" si="35"/>
        <v>15</v>
      </c>
      <c r="Q151" s="31" t="s">
        <v>43</v>
      </c>
      <c r="R151" s="32">
        <f t="shared" si="36"/>
        <v>709650</v>
      </c>
      <c r="S151" s="32">
        <f t="shared" si="40"/>
        <v>639324.32432432426</v>
      </c>
    </row>
    <row r="152" spans="1:20" s="17" customFormat="1">
      <c r="A152" s="16" t="s">
        <v>157</v>
      </c>
      <c r="B152" s="17" t="s">
        <v>26</v>
      </c>
      <c r="C152" s="18">
        <v>68</v>
      </c>
      <c r="D152" s="19" t="s">
        <v>43</v>
      </c>
      <c r="E152" s="20"/>
      <c r="F152" s="21">
        <v>1</v>
      </c>
      <c r="G152" s="22" t="s">
        <v>21</v>
      </c>
      <c r="H152" s="21">
        <v>48</v>
      </c>
      <c r="I152" s="22" t="s">
        <v>43</v>
      </c>
      <c r="J152" s="23">
        <f>3024000/48</f>
        <v>63000</v>
      </c>
      <c r="K152" s="19" t="s">
        <v>43</v>
      </c>
      <c r="L152" s="24"/>
      <c r="M152" s="24">
        <v>0.17</v>
      </c>
      <c r="N152" s="18">
        <f>10+4+4+1+49</f>
        <v>68</v>
      </c>
      <c r="O152" s="22" t="s">
        <v>43</v>
      </c>
      <c r="P152" s="18">
        <f t="shared" si="35"/>
        <v>0</v>
      </c>
      <c r="Q152" s="22" t="s">
        <v>43</v>
      </c>
      <c r="R152" s="23">
        <f t="shared" si="36"/>
        <v>0</v>
      </c>
      <c r="S152" s="23">
        <f t="shared" si="40"/>
        <v>0</v>
      </c>
    </row>
    <row r="153" spans="1:20" s="17" customFormat="1">
      <c r="A153" s="16" t="s">
        <v>158</v>
      </c>
      <c r="B153" s="17" t="s">
        <v>26</v>
      </c>
      <c r="C153" s="18"/>
      <c r="D153" s="19" t="s">
        <v>43</v>
      </c>
      <c r="E153" s="20"/>
      <c r="F153" s="21">
        <v>1</v>
      </c>
      <c r="G153" s="22" t="s">
        <v>21</v>
      </c>
      <c r="H153" s="21">
        <v>48</v>
      </c>
      <c r="I153" s="22" t="s">
        <v>43</v>
      </c>
      <c r="J153" s="23">
        <f>2995200/48</f>
        <v>62400</v>
      </c>
      <c r="K153" s="19" t="s">
        <v>43</v>
      </c>
      <c r="L153" s="24"/>
      <c r="M153" s="24">
        <v>0.17</v>
      </c>
      <c r="N153" s="18"/>
      <c r="O153" s="22" t="s">
        <v>43</v>
      </c>
      <c r="P153" s="18">
        <f t="shared" si="35"/>
        <v>0</v>
      </c>
      <c r="Q153" s="22" t="s">
        <v>43</v>
      </c>
      <c r="R153" s="23">
        <f t="shared" si="36"/>
        <v>0</v>
      </c>
      <c r="S153" s="23">
        <f t="shared" si="40"/>
        <v>0</v>
      </c>
    </row>
    <row r="154" spans="1:20" s="17" customFormat="1">
      <c r="A154" s="16" t="s">
        <v>159</v>
      </c>
      <c r="B154" s="17" t="s">
        <v>26</v>
      </c>
      <c r="C154" s="18"/>
      <c r="D154" s="19" t="s">
        <v>43</v>
      </c>
      <c r="E154" s="20"/>
      <c r="F154" s="21">
        <v>1</v>
      </c>
      <c r="G154" s="22" t="s">
        <v>21</v>
      </c>
      <c r="H154" s="21">
        <v>48</v>
      </c>
      <c r="I154" s="22" t="s">
        <v>43</v>
      </c>
      <c r="J154" s="23">
        <f>2995200/48</f>
        <v>62400</v>
      </c>
      <c r="K154" s="19" t="s">
        <v>43</v>
      </c>
      <c r="L154" s="24"/>
      <c r="M154" s="24">
        <v>0.17</v>
      </c>
      <c r="N154" s="18"/>
      <c r="O154" s="22" t="s">
        <v>43</v>
      </c>
      <c r="P154" s="18">
        <f t="shared" si="35"/>
        <v>0</v>
      </c>
      <c r="Q154" s="22" t="s">
        <v>43</v>
      </c>
      <c r="R154" s="23">
        <f t="shared" si="36"/>
        <v>0</v>
      </c>
      <c r="S154" s="23">
        <f t="shared" si="40"/>
        <v>0</v>
      </c>
    </row>
    <row r="155" spans="1:20">
      <c r="S155" s="23"/>
    </row>
    <row r="156" spans="1:20" ht="15.75">
      <c r="A156" s="14" t="s">
        <v>160</v>
      </c>
      <c r="S156" s="23"/>
    </row>
    <row r="157" spans="1:20" s="45" customFormat="1">
      <c r="A157" s="94" t="s">
        <v>727</v>
      </c>
      <c r="B157" s="45" t="s">
        <v>19</v>
      </c>
      <c r="C157" s="46"/>
      <c r="D157" s="47" t="s">
        <v>162</v>
      </c>
      <c r="E157" s="48">
        <f>6+10</f>
        <v>16</v>
      </c>
      <c r="F157" s="49">
        <v>12</v>
      </c>
      <c r="G157" s="50" t="s">
        <v>34</v>
      </c>
      <c r="H157" s="49">
        <v>12</v>
      </c>
      <c r="I157" s="50" t="s">
        <v>162</v>
      </c>
      <c r="J157" s="51">
        <v>11000</v>
      </c>
      <c r="K157" s="47" t="s">
        <v>162</v>
      </c>
      <c r="L157" s="52">
        <v>0.125</v>
      </c>
      <c r="M157" s="52">
        <v>0.05</v>
      </c>
      <c r="N157" s="46"/>
      <c r="O157" s="50" t="s">
        <v>162</v>
      </c>
      <c r="P157" s="46">
        <f t="shared" ref="P157:P180" si="41">(C157+(E157*F157*H157))-N157</f>
        <v>2304</v>
      </c>
      <c r="Q157" s="50" t="s">
        <v>162</v>
      </c>
      <c r="R157" s="51">
        <f t="shared" ref="R157:R180" si="42">P157*(J157-(J157*L157)-((J157-(J157*L157))*M157))</f>
        <v>21067200</v>
      </c>
      <c r="S157" s="32">
        <f t="shared" si="40"/>
        <v>18979459.459459458</v>
      </c>
    </row>
    <row r="158" spans="1:20" s="63" customFormat="1">
      <c r="A158" s="93" t="s">
        <v>163</v>
      </c>
      <c r="B158" s="63" t="s">
        <v>19</v>
      </c>
      <c r="C158" s="64">
        <v>144</v>
      </c>
      <c r="D158" s="65" t="s">
        <v>162</v>
      </c>
      <c r="E158" s="66"/>
      <c r="F158" s="67">
        <v>6</v>
      </c>
      <c r="G158" s="68" t="s">
        <v>34</v>
      </c>
      <c r="H158" s="67">
        <v>24</v>
      </c>
      <c r="I158" s="68" t="s">
        <v>162</v>
      </c>
      <c r="J158" s="69">
        <v>9000</v>
      </c>
      <c r="K158" s="65" t="s">
        <v>162</v>
      </c>
      <c r="L158" s="70">
        <v>0.125</v>
      </c>
      <c r="M158" s="70">
        <v>0.05</v>
      </c>
      <c r="N158" s="64">
        <f>(12*12)</f>
        <v>144</v>
      </c>
      <c r="O158" s="68" t="s">
        <v>162</v>
      </c>
      <c r="P158" s="64">
        <f t="shared" si="41"/>
        <v>0</v>
      </c>
      <c r="Q158" s="68" t="s">
        <v>162</v>
      </c>
      <c r="R158" s="69">
        <f t="shared" si="42"/>
        <v>0</v>
      </c>
      <c r="S158" s="23">
        <f t="shared" si="40"/>
        <v>0</v>
      </c>
    </row>
    <row r="159" spans="1:20" s="45" customFormat="1">
      <c r="A159" s="44" t="s">
        <v>164</v>
      </c>
      <c r="B159" s="45" t="s">
        <v>19</v>
      </c>
      <c r="C159" s="46">
        <v>432</v>
      </c>
      <c r="D159" s="47" t="s">
        <v>162</v>
      </c>
      <c r="E159" s="197">
        <f>2+3+5+5+26+3+29</f>
        <v>73</v>
      </c>
      <c r="F159" s="49">
        <v>1</v>
      </c>
      <c r="G159" s="50" t="s">
        <v>21</v>
      </c>
      <c r="H159" s="49">
        <v>144</v>
      </c>
      <c r="I159" s="50" t="s">
        <v>162</v>
      </c>
      <c r="J159" s="51">
        <v>11900</v>
      </c>
      <c r="K159" s="47" t="s">
        <v>162</v>
      </c>
      <c r="L159" s="52">
        <v>0.125</v>
      </c>
      <c r="M159" s="52">
        <v>0.05</v>
      </c>
      <c r="N159" s="46">
        <f>432+144+144+144+288+144+144+432+36+144+720+432+1008+720+48+288+144+720+288</f>
        <v>6420</v>
      </c>
      <c r="O159" s="50" t="s">
        <v>162</v>
      </c>
      <c r="P159" s="46">
        <f t="shared" si="41"/>
        <v>4524</v>
      </c>
      <c r="Q159" s="50" t="s">
        <v>162</v>
      </c>
      <c r="R159" s="51">
        <f t="shared" si="42"/>
        <v>44750842.5</v>
      </c>
      <c r="S159" s="51">
        <f t="shared" si="40"/>
        <v>40316074.324324317</v>
      </c>
    </row>
    <row r="160" spans="1:20" s="63" customFormat="1">
      <c r="A160" s="95" t="s">
        <v>165</v>
      </c>
      <c r="B160" s="96" t="s">
        <v>19</v>
      </c>
      <c r="C160" s="97">
        <v>144</v>
      </c>
      <c r="D160" s="98" t="s">
        <v>162</v>
      </c>
      <c r="E160" s="105"/>
      <c r="F160" s="100">
        <v>6</v>
      </c>
      <c r="G160" s="101" t="s">
        <v>34</v>
      </c>
      <c r="H160" s="100">
        <v>12</v>
      </c>
      <c r="I160" s="101" t="s">
        <v>162</v>
      </c>
      <c r="J160" s="102">
        <v>23000</v>
      </c>
      <c r="K160" s="98" t="s">
        <v>162</v>
      </c>
      <c r="L160" s="103">
        <v>0.125</v>
      </c>
      <c r="M160" s="103">
        <v>0.1</v>
      </c>
      <c r="N160" s="97">
        <f>72+36+216-180</f>
        <v>144</v>
      </c>
      <c r="O160" s="101" t="s">
        <v>162</v>
      </c>
      <c r="P160" s="97">
        <f t="shared" si="41"/>
        <v>0</v>
      </c>
      <c r="Q160" s="101" t="s">
        <v>162</v>
      </c>
      <c r="R160" s="102">
        <f t="shared" si="42"/>
        <v>0</v>
      </c>
      <c r="S160" s="102">
        <f t="shared" si="40"/>
        <v>0</v>
      </c>
    </row>
    <row r="161" spans="1:19" s="63" customFormat="1">
      <c r="A161" s="95" t="s">
        <v>165</v>
      </c>
      <c r="B161" s="96" t="s">
        <v>19</v>
      </c>
      <c r="C161" s="97">
        <v>38</v>
      </c>
      <c r="D161" s="98" t="s">
        <v>162</v>
      </c>
      <c r="E161" s="105">
        <f>3+11+1+2</f>
        <v>17</v>
      </c>
      <c r="F161" s="100">
        <v>6</v>
      </c>
      <c r="G161" s="101" t="s">
        <v>34</v>
      </c>
      <c r="H161" s="100">
        <v>12</v>
      </c>
      <c r="I161" s="101" t="s">
        <v>162</v>
      </c>
      <c r="J161" s="102">
        <v>23000</v>
      </c>
      <c r="K161" s="98" t="s">
        <v>162</v>
      </c>
      <c r="L161" s="103">
        <v>0.125</v>
      </c>
      <c r="M161" s="103">
        <v>0.05</v>
      </c>
      <c r="N161" s="97">
        <f>(216-36)+360+288+218+72+72+72</f>
        <v>1262</v>
      </c>
      <c r="O161" s="101" t="s">
        <v>162</v>
      </c>
      <c r="P161" s="97">
        <f t="shared" ref="P161" si="43">(C161+(E161*F161*H161))-N161</f>
        <v>0</v>
      </c>
      <c r="Q161" s="101" t="s">
        <v>162</v>
      </c>
      <c r="R161" s="102">
        <f t="shared" ref="R161" si="44">P161*(J161-(J161*L161)-((J161-(J161*L161))*M161))</f>
        <v>0</v>
      </c>
      <c r="S161" s="102">
        <f t="shared" ref="S161" si="45">R161/1.11</f>
        <v>0</v>
      </c>
    </row>
    <row r="162" spans="1:19" s="63" customFormat="1">
      <c r="A162" s="188" t="s">
        <v>166</v>
      </c>
      <c r="B162" s="189" t="s">
        <v>19</v>
      </c>
      <c r="C162" s="190">
        <v>96</v>
      </c>
      <c r="D162" s="191" t="s">
        <v>162</v>
      </c>
      <c r="E162" s="192"/>
      <c r="F162" s="193">
        <v>8</v>
      </c>
      <c r="G162" s="194" t="s">
        <v>34</v>
      </c>
      <c r="H162" s="193">
        <v>6</v>
      </c>
      <c r="I162" s="194" t="s">
        <v>162</v>
      </c>
      <c r="J162" s="195">
        <v>28700</v>
      </c>
      <c r="K162" s="191" t="s">
        <v>162</v>
      </c>
      <c r="L162" s="196">
        <v>0.125</v>
      </c>
      <c r="M162" s="196">
        <v>0.1</v>
      </c>
      <c r="N162" s="190">
        <v>96</v>
      </c>
      <c r="O162" s="194" t="s">
        <v>162</v>
      </c>
      <c r="P162" s="190">
        <f>(C162+(E162*F162*H162))-N162</f>
        <v>0</v>
      </c>
      <c r="Q162" s="194" t="s">
        <v>162</v>
      </c>
      <c r="R162" s="195">
        <f>P162*(J162-(J162*L162)-((J162-(J162*L162))*M162))</f>
        <v>0</v>
      </c>
      <c r="S162" s="195">
        <f t="shared" si="40"/>
        <v>0</v>
      </c>
    </row>
    <row r="163" spans="1:19" s="45" customFormat="1">
      <c r="A163" s="179" t="s">
        <v>166</v>
      </c>
      <c r="B163" s="180" t="s">
        <v>19</v>
      </c>
      <c r="C163" s="181"/>
      <c r="D163" s="182" t="s">
        <v>162</v>
      </c>
      <c r="E163" s="183">
        <f>3+3+25+25+3+2</f>
        <v>61</v>
      </c>
      <c r="F163" s="184">
        <v>8</v>
      </c>
      <c r="G163" s="185" t="s">
        <v>34</v>
      </c>
      <c r="H163" s="184">
        <v>6</v>
      </c>
      <c r="I163" s="185" t="s">
        <v>162</v>
      </c>
      <c r="J163" s="186">
        <v>28700</v>
      </c>
      <c r="K163" s="182" t="s">
        <v>162</v>
      </c>
      <c r="L163" s="187">
        <v>0.125</v>
      </c>
      <c r="M163" s="187">
        <v>0.05</v>
      </c>
      <c r="N163" s="181">
        <f>144+72+96+480+144+48+48+48+240+144+24</f>
        <v>1488</v>
      </c>
      <c r="O163" s="185" t="s">
        <v>162</v>
      </c>
      <c r="P163" s="181">
        <f>(C163+(E163*F163*H163))-N163</f>
        <v>1440</v>
      </c>
      <c r="Q163" s="185" t="s">
        <v>162</v>
      </c>
      <c r="R163" s="186">
        <f>P163*(J163-(J163*L163)-((J163-(J163*L163))*M163))</f>
        <v>34353900</v>
      </c>
      <c r="S163" s="186">
        <f t="shared" ref="S163" si="46">R163/1.11</f>
        <v>30949459.459459458</v>
      </c>
    </row>
    <row r="164" spans="1:19" s="63" customFormat="1">
      <c r="A164" s="95" t="s">
        <v>167</v>
      </c>
      <c r="B164" s="96" t="s">
        <v>19</v>
      </c>
      <c r="C164" s="97">
        <v>102</v>
      </c>
      <c r="D164" s="98" t="s">
        <v>162</v>
      </c>
      <c r="E164" s="105"/>
      <c r="F164" s="100">
        <v>6</v>
      </c>
      <c r="G164" s="101" t="s">
        <v>34</v>
      </c>
      <c r="H164" s="100">
        <v>6</v>
      </c>
      <c r="I164" s="101" t="s">
        <v>162</v>
      </c>
      <c r="J164" s="102">
        <v>41500</v>
      </c>
      <c r="K164" s="98" t="s">
        <v>162</v>
      </c>
      <c r="L164" s="103">
        <v>0.125</v>
      </c>
      <c r="M164" s="103">
        <v>0.1</v>
      </c>
      <c r="N164" s="97">
        <f>12+36+108-54</f>
        <v>102</v>
      </c>
      <c r="O164" s="101" t="s">
        <v>162</v>
      </c>
      <c r="P164" s="97">
        <f t="shared" si="41"/>
        <v>0</v>
      </c>
      <c r="Q164" s="101" t="s">
        <v>162</v>
      </c>
      <c r="R164" s="102">
        <f t="shared" si="42"/>
        <v>0</v>
      </c>
      <c r="S164" s="102">
        <f t="shared" si="40"/>
        <v>0</v>
      </c>
    </row>
    <row r="165" spans="1:19" s="45" customFormat="1">
      <c r="A165" s="35" t="s">
        <v>167</v>
      </c>
      <c r="B165" s="36" t="s">
        <v>19</v>
      </c>
      <c r="C165" s="37"/>
      <c r="D165" s="38" t="s">
        <v>162</v>
      </c>
      <c r="E165" s="39">
        <f>4+4+6+2</f>
        <v>16</v>
      </c>
      <c r="F165" s="40">
        <v>6</v>
      </c>
      <c r="G165" s="41" t="s">
        <v>34</v>
      </c>
      <c r="H165" s="40">
        <v>6</v>
      </c>
      <c r="I165" s="41" t="s">
        <v>162</v>
      </c>
      <c r="J165" s="42">
        <v>41500</v>
      </c>
      <c r="K165" s="38" t="s">
        <v>162</v>
      </c>
      <c r="L165" s="43">
        <v>0.125</v>
      </c>
      <c r="M165" s="43">
        <v>0.05</v>
      </c>
      <c r="N165" s="37">
        <f>(108-54)+72+36+36+180</f>
        <v>378</v>
      </c>
      <c r="O165" s="41" t="s">
        <v>162</v>
      </c>
      <c r="P165" s="37">
        <f t="shared" ref="P165" si="47">(C165+(E165*F165*H165))-N165</f>
        <v>198</v>
      </c>
      <c r="Q165" s="41" t="s">
        <v>162</v>
      </c>
      <c r="R165" s="42">
        <f t="shared" ref="R165" si="48">P165*(J165-(J165*L165)-((J165-(J165*L165))*M165))</f>
        <v>6830381.25</v>
      </c>
      <c r="S165" s="42">
        <f>R165/1.11</f>
        <v>6153496.6216216208</v>
      </c>
    </row>
    <row r="166" spans="1:19" s="63" customFormat="1">
      <c r="A166" s="188" t="s">
        <v>168</v>
      </c>
      <c r="B166" s="189" t="s">
        <v>19</v>
      </c>
      <c r="C166" s="190">
        <v>24</v>
      </c>
      <c r="D166" s="191" t="s">
        <v>162</v>
      </c>
      <c r="E166" s="192"/>
      <c r="F166" s="193">
        <v>4</v>
      </c>
      <c r="G166" s="194" t="s">
        <v>34</v>
      </c>
      <c r="H166" s="193">
        <v>6</v>
      </c>
      <c r="I166" s="194" t="s">
        <v>162</v>
      </c>
      <c r="J166" s="195">
        <v>58900</v>
      </c>
      <c r="K166" s="191" t="s">
        <v>162</v>
      </c>
      <c r="L166" s="196">
        <v>0.125</v>
      </c>
      <c r="M166" s="196">
        <v>0.1</v>
      </c>
      <c r="N166" s="190">
        <v>24</v>
      </c>
      <c r="O166" s="194" t="s">
        <v>162</v>
      </c>
      <c r="P166" s="190">
        <f t="shared" si="41"/>
        <v>0</v>
      </c>
      <c r="Q166" s="194" t="s">
        <v>162</v>
      </c>
      <c r="R166" s="195">
        <f t="shared" si="42"/>
        <v>0</v>
      </c>
      <c r="S166" s="195">
        <f t="shared" si="40"/>
        <v>0</v>
      </c>
    </row>
    <row r="167" spans="1:19" s="63" customFormat="1">
      <c r="A167" s="188" t="s">
        <v>168</v>
      </c>
      <c r="B167" s="189" t="s">
        <v>19</v>
      </c>
      <c r="C167" s="190">
        <v>6</v>
      </c>
      <c r="D167" s="191" t="s">
        <v>162</v>
      </c>
      <c r="E167" s="192">
        <v>2</v>
      </c>
      <c r="F167" s="193">
        <v>4</v>
      </c>
      <c r="G167" s="194" t="s">
        <v>34</v>
      </c>
      <c r="H167" s="193">
        <v>6</v>
      </c>
      <c r="I167" s="194" t="s">
        <v>162</v>
      </c>
      <c r="J167" s="195">
        <v>58900</v>
      </c>
      <c r="K167" s="191" t="s">
        <v>162</v>
      </c>
      <c r="L167" s="196">
        <v>0.125</v>
      </c>
      <c r="M167" s="196">
        <v>0.05</v>
      </c>
      <c r="N167" s="190">
        <f>6+24+24</f>
        <v>54</v>
      </c>
      <c r="O167" s="194" t="s">
        <v>162</v>
      </c>
      <c r="P167" s="190">
        <f t="shared" ref="P167" si="49">(C167+(E167*F167*H167))-N167</f>
        <v>0</v>
      </c>
      <c r="Q167" s="194" t="s">
        <v>162</v>
      </c>
      <c r="R167" s="195">
        <f t="shared" ref="R167" si="50">P167*(J167-(J167*L167)-((J167-(J167*L167))*M167))</f>
        <v>0</v>
      </c>
      <c r="S167" s="195">
        <f t="shared" ref="S167" si="51">R167/1.11</f>
        <v>0</v>
      </c>
    </row>
    <row r="168" spans="1:19" s="63" customFormat="1">
      <c r="A168" s="95" t="s">
        <v>169</v>
      </c>
      <c r="B168" s="96" t="s">
        <v>19</v>
      </c>
      <c r="C168" s="97">
        <v>6</v>
      </c>
      <c r="D168" s="98" t="s">
        <v>162</v>
      </c>
      <c r="E168" s="105"/>
      <c r="F168" s="100">
        <v>4</v>
      </c>
      <c r="G168" s="101" t="s">
        <v>34</v>
      </c>
      <c r="H168" s="100">
        <v>6</v>
      </c>
      <c r="I168" s="101" t="s">
        <v>162</v>
      </c>
      <c r="J168" s="102">
        <v>71000</v>
      </c>
      <c r="K168" s="98" t="s">
        <v>162</v>
      </c>
      <c r="L168" s="103">
        <v>0.125</v>
      </c>
      <c r="M168" s="103">
        <v>0.05</v>
      </c>
      <c r="N168" s="97">
        <v>6</v>
      </c>
      <c r="O168" s="101" t="s">
        <v>162</v>
      </c>
      <c r="P168" s="97">
        <f t="shared" si="41"/>
        <v>0</v>
      </c>
      <c r="Q168" s="101" t="s">
        <v>162</v>
      </c>
      <c r="R168" s="102">
        <f t="shared" si="42"/>
        <v>0</v>
      </c>
      <c r="S168" s="102">
        <f t="shared" si="40"/>
        <v>0</v>
      </c>
    </row>
    <row r="169" spans="1:19" s="63" customFormat="1">
      <c r="A169" s="95" t="s">
        <v>169</v>
      </c>
      <c r="B169" s="96" t="s">
        <v>19</v>
      </c>
      <c r="C169" s="97">
        <v>24</v>
      </c>
      <c r="D169" s="98" t="s">
        <v>162</v>
      </c>
      <c r="E169" s="105"/>
      <c r="F169" s="100">
        <v>4</v>
      </c>
      <c r="G169" s="101" t="s">
        <v>34</v>
      </c>
      <c r="H169" s="100">
        <v>6</v>
      </c>
      <c r="I169" s="101" t="s">
        <v>162</v>
      </c>
      <c r="J169" s="102">
        <v>71000</v>
      </c>
      <c r="K169" s="98" t="s">
        <v>162</v>
      </c>
      <c r="L169" s="103">
        <v>0.125</v>
      </c>
      <c r="M169" s="103">
        <v>0.1</v>
      </c>
      <c r="N169" s="97">
        <v>24</v>
      </c>
      <c r="O169" s="101" t="s">
        <v>162</v>
      </c>
      <c r="P169" s="97">
        <f t="shared" si="41"/>
        <v>0</v>
      </c>
      <c r="Q169" s="101" t="s">
        <v>162</v>
      </c>
      <c r="R169" s="102">
        <f t="shared" si="42"/>
        <v>0</v>
      </c>
      <c r="S169" s="102">
        <f t="shared" si="40"/>
        <v>0</v>
      </c>
    </row>
    <row r="170" spans="1:19" s="45" customFormat="1">
      <c r="A170" s="35" t="s">
        <v>169</v>
      </c>
      <c r="B170" s="36" t="s">
        <v>19</v>
      </c>
      <c r="C170" s="37"/>
      <c r="D170" s="38" t="s">
        <v>162</v>
      </c>
      <c r="E170" s="39">
        <f>10+10+2</f>
        <v>22</v>
      </c>
      <c r="F170" s="40">
        <v>4</v>
      </c>
      <c r="G170" s="41" t="s">
        <v>34</v>
      </c>
      <c r="H170" s="40">
        <v>6</v>
      </c>
      <c r="I170" s="41" t="s">
        <v>162</v>
      </c>
      <c r="J170" s="42">
        <v>66900</v>
      </c>
      <c r="K170" s="38" t="s">
        <v>162</v>
      </c>
      <c r="L170" s="43">
        <v>0.125</v>
      </c>
      <c r="M170" s="43">
        <v>0.05</v>
      </c>
      <c r="N170" s="37">
        <f>24+48+120</f>
        <v>192</v>
      </c>
      <c r="O170" s="41" t="s">
        <v>162</v>
      </c>
      <c r="P170" s="37">
        <f t="shared" ref="P170" si="52">(C170+(E170*F170*H170))-N170</f>
        <v>336</v>
      </c>
      <c r="Q170" s="41" t="s">
        <v>162</v>
      </c>
      <c r="R170" s="42">
        <f t="shared" ref="R170" si="53">P170*(J170-(J170*L170)-((J170-(J170*L170))*M170))</f>
        <v>18685170</v>
      </c>
      <c r="S170" s="42">
        <f t="shared" ref="S170" si="54">R170/1.11</f>
        <v>16833486.486486483</v>
      </c>
    </row>
    <row r="171" spans="1:19" s="26" customFormat="1">
      <c r="A171" s="94" t="s">
        <v>170</v>
      </c>
      <c r="B171" s="26" t="s">
        <v>26</v>
      </c>
      <c r="C171" s="27">
        <v>420</v>
      </c>
      <c r="D171" s="28" t="s">
        <v>162</v>
      </c>
      <c r="E171" s="29"/>
      <c r="F171" s="30">
        <v>12</v>
      </c>
      <c r="G171" s="31" t="s">
        <v>43</v>
      </c>
      <c r="H171" s="30">
        <v>12</v>
      </c>
      <c r="I171" s="31" t="s">
        <v>162</v>
      </c>
      <c r="J171" s="32">
        <f>1512000/12/12</f>
        <v>10500</v>
      </c>
      <c r="K171" s="28" t="s">
        <v>162</v>
      </c>
      <c r="L171" s="33"/>
      <c r="M171" s="33">
        <v>0.17</v>
      </c>
      <c r="N171" s="27">
        <v>12</v>
      </c>
      <c r="O171" s="31" t="s">
        <v>162</v>
      </c>
      <c r="P171" s="27">
        <f t="shared" si="41"/>
        <v>408</v>
      </c>
      <c r="Q171" s="31" t="s">
        <v>162</v>
      </c>
      <c r="R171" s="32">
        <f t="shared" si="42"/>
        <v>3555720</v>
      </c>
      <c r="S171" s="32">
        <f t="shared" si="40"/>
        <v>3203351.351351351</v>
      </c>
    </row>
    <row r="172" spans="1:19" s="26" customFormat="1">
      <c r="A172" s="94" t="s">
        <v>171</v>
      </c>
      <c r="B172" s="26" t="s">
        <v>26</v>
      </c>
      <c r="C172" s="27">
        <v>60</v>
      </c>
      <c r="D172" s="28" t="s">
        <v>162</v>
      </c>
      <c r="E172" s="29"/>
      <c r="F172" s="30">
        <v>6</v>
      </c>
      <c r="G172" s="31" t="s">
        <v>43</v>
      </c>
      <c r="H172" s="30">
        <v>12</v>
      </c>
      <c r="I172" s="31" t="s">
        <v>162</v>
      </c>
      <c r="J172" s="32">
        <f>1368000/6/12</f>
        <v>19000</v>
      </c>
      <c r="K172" s="28" t="s">
        <v>162</v>
      </c>
      <c r="L172" s="33"/>
      <c r="M172" s="33">
        <v>0.17</v>
      </c>
      <c r="N172" s="27"/>
      <c r="O172" s="31" t="s">
        <v>162</v>
      </c>
      <c r="P172" s="27">
        <f t="shared" si="41"/>
        <v>60</v>
      </c>
      <c r="Q172" s="31" t="s">
        <v>162</v>
      </c>
      <c r="R172" s="32">
        <f t="shared" si="42"/>
        <v>946200</v>
      </c>
      <c r="S172" s="32">
        <f t="shared" si="40"/>
        <v>852432.43243243231</v>
      </c>
    </row>
    <row r="173" spans="1:19" s="17" customFormat="1">
      <c r="A173" s="93" t="s">
        <v>172</v>
      </c>
      <c r="B173" s="17" t="s">
        <v>19</v>
      </c>
      <c r="C173" s="18"/>
      <c r="D173" s="19" t="s">
        <v>162</v>
      </c>
      <c r="E173" s="20"/>
      <c r="F173" s="21">
        <v>8</v>
      </c>
      <c r="G173" s="22" t="s">
        <v>34</v>
      </c>
      <c r="H173" s="21">
        <v>12</v>
      </c>
      <c r="I173" s="22" t="s">
        <v>162</v>
      </c>
      <c r="J173" s="23">
        <v>12500</v>
      </c>
      <c r="K173" s="19" t="s">
        <v>162</v>
      </c>
      <c r="L173" s="24">
        <v>0.125</v>
      </c>
      <c r="M173" s="24">
        <v>0.05</v>
      </c>
      <c r="N173" s="18"/>
      <c r="O173" s="22" t="s">
        <v>162</v>
      </c>
      <c r="P173" s="18">
        <f t="shared" si="41"/>
        <v>0</v>
      </c>
      <c r="Q173" s="22" t="s">
        <v>162</v>
      </c>
      <c r="R173" s="23">
        <f t="shared" si="42"/>
        <v>0</v>
      </c>
      <c r="S173" s="23">
        <f t="shared" si="40"/>
        <v>0</v>
      </c>
    </row>
    <row r="174" spans="1:19" s="17" customFormat="1">
      <c r="A174" s="93" t="s">
        <v>173</v>
      </c>
      <c r="B174" s="17" t="s">
        <v>19</v>
      </c>
      <c r="C174" s="18">
        <f>1+11</f>
        <v>12</v>
      </c>
      <c r="D174" s="19" t="s">
        <v>162</v>
      </c>
      <c r="E174" s="20"/>
      <c r="F174" s="21">
        <v>1</v>
      </c>
      <c r="G174" s="22" t="s">
        <v>21</v>
      </c>
      <c r="H174" s="21">
        <v>144</v>
      </c>
      <c r="I174" s="22" t="s">
        <v>162</v>
      </c>
      <c r="J174" s="23">
        <v>11600</v>
      </c>
      <c r="K174" s="19" t="s">
        <v>162</v>
      </c>
      <c r="L174" s="24">
        <v>0.125</v>
      </c>
      <c r="M174" s="24">
        <v>0.05</v>
      </c>
      <c r="N174" s="18">
        <f>(1*12)</f>
        <v>12</v>
      </c>
      <c r="O174" s="22" t="s">
        <v>162</v>
      </c>
      <c r="P174" s="18">
        <f t="shared" si="41"/>
        <v>0</v>
      </c>
      <c r="Q174" s="22" t="s">
        <v>162</v>
      </c>
      <c r="R174" s="23">
        <f t="shared" si="42"/>
        <v>0</v>
      </c>
      <c r="S174" s="23">
        <f t="shared" si="40"/>
        <v>0</v>
      </c>
    </row>
    <row r="175" spans="1:19" s="85" customFormat="1">
      <c r="A175" s="84" t="s">
        <v>174</v>
      </c>
      <c r="B175" s="85" t="s">
        <v>26</v>
      </c>
      <c r="C175" s="86">
        <v>420</v>
      </c>
      <c r="D175" s="87" t="s">
        <v>162</v>
      </c>
      <c r="E175" s="92"/>
      <c r="F175" s="88">
        <v>12</v>
      </c>
      <c r="G175" s="89" t="s">
        <v>43</v>
      </c>
      <c r="H175" s="88">
        <v>12</v>
      </c>
      <c r="I175" s="89" t="s">
        <v>162</v>
      </c>
      <c r="J175" s="90">
        <f>1944000/144</f>
        <v>13500</v>
      </c>
      <c r="K175" s="87" t="s">
        <v>162</v>
      </c>
      <c r="L175" s="91">
        <v>0.05</v>
      </c>
      <c r="M175" s="91">
        <v>0.17</v>
      </c>
      <c r="N175" s="86"/>
      <c r="O175" s="89" t="s">
        <v>162</v>
      </c>
      <c r="P175" s="86">
        <f t="shared" si="41"/>
        <v>420</v>
      </c>
      <c r="Q175" s="89" t="s">
        <v>162</v>
      </c>
      <c r="R175" s="90">
        <f t="shared" si="42"/>
        <v>4470795</v>
      </c>
      <c r="S175" s="32">
        <f t="shared" si="40"/>
        <v>4027743.2432432431</v>
      </c>
    </row>
    <row r="176" spans="1:19" s="17" customFormat="1">
      <c r="A176" s="16" t="s">
        <v>175</v>
      </c>
      <c r="B176" s="17" t="s">
        <v>26</v>
      </c>
      <c r="C176" s="18"/>
      <c r="D176" s="19" t="s">
        <v>162</v>
      </c>
      <c r="E176" s="20"/>
      <c r="F176" s="21">
        <v>6</v>
      </c>
      <c r="G176" s="22" t="s">
        <v>43</v>
      </c>
      <c r="H176" s="21">
        <v>12</v>
      </c>
      <c r="I176" s="22" t="s">
        <v>162</v>
      </c>
      <c r="J176" s="23">
        <f>1800000/72</f>
        <v>25000</v>
      </c>
      <c r="K176" s="19" t="s">
        <v>162</v>
      </c>
      <c r="L176" s="24">
        <v>0.05</v>
      </c>
      <c r="M176" s="24">
        <v>0.17</v>
      </c>
      <c r="N176" s="18"/>
      <c r="O176" s="22" t="s">
        <v>162</v>
      </c>
      <c r="P176" s="18">
        <f t="shared" si="41"/>
        <v>0</v>
      </c>
      <c r="Q176" s="22" t="s">
        <v>162</v>
      </c>
      <c r="R176" s="23">
        <f t="shared" si="42"/>
        <v>0</v>
      </c>
      <c r="S176" s="23">
        <f t="shared" si="40"/>
        <v>0</v>
      </c>
    </row>
    <row r="177" spans="1:19" s="17" customFormat="1">
      <c r="A177" s="16" t="s">
        <v>176</v>
      </c>
      <c r="B177" s="17" t="s">
        <v>26</v>
      </c>
      <c r="C177" s="18"/>
      <c r="D177" s="19" t="s">
        <v>162</v>
      </c>
      <c r="E177" s="20"/>
      <c r="F177" s="21">
        <v>8</v>
      </c>
      <c r="G177" s="22" t="s">
        <v>34</v>
      </c>
      <c r="H177" s="21">
        <v>6</v>
      </c>
      <c r="I177" s="22" t="s">
        <v>162</v>
      </c>
      <c r="J177" s="23">
        <f>1512000/8/6</f>
        <v>31500</v>
      </c>
      <c r="K177" s="19" t="s">
        <v>162</v>
      </c>
      <c r="L177" s="24">
        <v>0.05</v>
      </c>
      <c r="M177" s="24">
        <v>0.17</v>
      </c>
      <c r="N177" s="18"/>
      <c r="O177" s="22" t="s">
        <v>162</v>
      </c>
      <c r="P177" s="18">
        <f t="shared" si="41"/>
        <v>0</v>
      </c>
      <c r="Q177" s="22" t="s">
        <v>162</v>
      </c>
      <c r="R177" s="23">
        <f t="shared" si="42"/>
        <v>0</v>
      </c>
      <c r="S177" s="23">
        <f t="shared" si="40"/>
        <v>0</v>
      </c>
    </row>
    <row r="178" spans="1:19" s="26" customFormat="1">
      <c r="A178" s="25" t="s">
        <v>177</v>
      </c>
      <c r="B178" s="26" t="s">
        <v>26</v>
      </c>
      <c r="C178" s="27">
        <v>36</v>
      </c>
      <c r="D178" s="28" t="s">
        <v>162</v>
      </c>
      <c r="E178" s="29"/>
      <c r="F178" s="30">
        <v>6</v>
      </c>
      <c r="G178" s="31" t="s">
        <v>34</v>
      </c>
      <c r="H178" s="30">
        <v>6</v>
      </c>
      <c r="I178" s="31" t="s">
        <v>162</v>
      </c>
      <c r="J178" s="32">
        <f>1584000/6/6</f>
        <v>44000</v>
      </c>
      <c r="K178" s="28" t="s">
        <v>162</v>
      </c>
      <c r="L178" s="33">
        <v>0.05</v>
      </c>
      <c r="M178" s="33">
        <v>0.17</v>
      </c>
      <c r="N178" s="27"/>
      <c r="O178" s="31" t="s">
        <v>162</v>
      </c>
      <c r="P178" s="27">
        <f t="shared" si="41"/>
        <v>36</v>
      </c>
      <c r="Q178" s="31" t="s">
        <v>162</v>
      </c>
      <c r="R178" s="32">
        <f t="shared" si="42"/>
        <v>1248984</v>
      </c>
      <c r="S178" s="32">
        <f t="shared" si="40"/>
        <v>1125210.8108108107</v>
      </c>
    </row>
    <row r="179" spans="1:19" s="17" customFormat="1">
      <c r="A179" s="16" t="s">
        <v>178</v>
      </c>
      <c r="B179" s="17" t="s">
        <v>26</v>
      </c>
      <c r="C179" s="18">
        <f>42+6</f>
        <v>48</v>
      </c>
      <c r="D179" s="19" t="s">
        <v>162</v>
      </c>
      <c r="E179" s="20"/>
      <c r="F179" s="21">
        <v>4</v>
      </c>
      <c r="G179" s="22" t="s">
        <v>34</v>
      </c>
      <c r="H179" s="21">
        <v>6</v>
      </c>
      <c r="I179" s="22" t="s">
        <v>162</v>
      </c>
      <c r="J179" s="23">
        <f>1560000/4/6</f>
        <v>65000</v>
      </c>
      <c r="K179" s="19" t="s">
        <v>162</v>
      </c>
      <c r="L179" s="24">
        <v>0.05</v>
      </c>
      <c r="M179" s="24">
        <v>0.17</v>
      </c>
      <c r="N179" s="18">
        <v>48</v>
      </c>
      <c r="O179" s="22" t="s">
        <v>162</v>
      </c>
      <c r="P179" s="18">
        <f t="shared" si="41"/>
        <v>0</v>
      </c>
      <c r="Q179" s="22" t="s">
        <v>162</v>
      </c>
      <c r="R179" s="23">
        <f t="shared" si="42"/>
        <v>0</v>
      </c>
      <c r="S179" s="23">
        <f t="shared" si="40"/>
        <v>0</v>
      </c>
    </row>
    <row r="180" spans="1:19">
      <c r="A180" s="34" t="s">
        <v>179</v>
      </c>
      <c r="B180" s="2" t="s">
        <v>26</v>
      </c>
      <c r="C180" s="3">
        <v>48</v>
      </c>
      <c r="D180" s="4" t="s">
        <v>162</v>
      </c>
      <c r="F180" s="6">
        <v>4</v>
      </c>
      <c r="G180" s="7" t="s">
        <v>34</v>
      </c>
      <c r="H180" s="6">
        <v>6</v>
      </c>
      <c r="I180" s="7" t="s">
        <v>162</v>
      </c>
      <c r="J180" s="8">
        <f>1728000/4/6</f>
        <v>72000</v>
      </c>
      <c r="K180" s="4" t="s">
        <v>162</v>
      </c>
      <c r="L180" s="9">
        <v>0.05</v>
      </c>
      <c r="M180" s="9">
        <v>0.17</v>
      </c>
      <c r="N180" s="3">
        <v>24</v>
      </c>
      <c r="O180" s="7" t="s">
        <v>162</v>
      </c>
      <c r="P180" s="3">
        <f t="shared" si="41"/>
        <v>24</v>
      </c>
      <c r="Q180" s="7" t="s">
        <v>162</v>
      </c>
      <c r="R180" s="8">
        <f t="shared" si="42"/>
        <v>1362528</v>
      </c>
      <c r="S180" s="32">
        <f t="shared" si="40"/>
        <v>1227502.7027027025</v>
      </c>
    </row>
    <row r="181" spans="1:19">
      <c r="A181" s="15" t="s">
        <v>180</v>
      </c>
      <c r="S181" s="23"/>
    </row>
    <row r="182" spans="1:19" s="45" customFormat="1">
      <c r="A182" s="44" t="s">
        <v>181</v>
      </c>
      <c r="B182" s="45" t="s">
        <v>182</v>
      </c>
      <c r="C182" s="46">
        <v>1440</v>
      </c>
      <c r="D182" s="47" t="s">
        <v>162</v>
      </c>
      <c r="E182" s="48"/>
      <c r="F182" s="49">
        <v>1</v>
      </c>
      <c r="G182" s="50" t="s">
        <v>21</v>
      </c>
      <c r="H182" s="49">
        <v>144</v>
      </c>
      <c r="I182" s="50" t="s">
        <v>162</v>
      </c>
      <c r="J182" s="51">
        <v>14000</v>
      </c>
      <c r="K182" s="47" t="s">
        <v>162</v>
      </c>
      <c r="L182" s="52">
        <v>0.05</v>
      </c>
      <c r="M182" s="52">
        <v>0.03</v>
      </c>
      <c r="N182" s="46"/>
      <c r="O182" s="50" t="s">
        <v>162</v>
      </c>
      <c r="P182" s="46">
        <f t="shared" ref="P182:P190" si="55">(C182+(E182*F182*H182))-N182</f>
        <v>1440</v>
      </c>
      <c r="Q182" s="50" t="s">
        <v>162</v>
      </c>
      <c r="R182" s="51">
        <f t="shared" ref="R182:R190" si="56">P182*(J182-(J182*L182)-((J182-(J182*L182))*M182))</f>
        <v>18577440</v>
      </c>
      <c r="S182" s="32">
        <f t="shared" si="40"/>
        <v>16736432.432432432</v>
      </c>
    </row>
    <row r="183" spans="1:19" s="45" customFormat="1">
      <c r="A183" s="44" t="s">
        <v>183</v>
      </c>
      <c r="B183" s="45" t="s">
        <v>19</v>
      </c>
      <c r="C183" s="46">
        <v>288</v>
      </c>
      <c r="D183" s="47" t="s">
        <v>162</v>
      </c>
      <c r="E183" s="48"/>
      <c r="F183" s="49">
        <v>12</v>
      </c>
      <c r="G183" s="50" t="s">
        <v>34</v>
      </c>
      <c r="H183" s="49">
        <v>12</v>
      </c>
      <c r="I183" s="50" t="s">
        <v>162</v>
      </c>
      <c r="J183" s="51">
        <v>18000</v>
      </c>
      <c r="K183" s="47" t="s">
        <v>162</v>
      </c>
      <c r="L183" s="52">
        <v>0.125</v>
      </c>
      <c r="M183" s="52">
        <v>0.05</v>
      </c>
      <c r="N183" s="46"/>
      <c r="O183" s="50" t="s">
        <v>162</v>
      </c>
      <c r="P183" s="46">
        <f t="shared" si="55"/>
        <v>288</v>
      </c>
      <c r="Q183" s="50" t="s">
        <v>162</v>
      </c>
      <c r="R183" s="51">
        <f t="shared" si="56"/>
        <v>4309200</v>
      </c>
      <c r="S183" s="32">
        <f t="shared" si="40"/>
        <v>3882162.1621621619</v>
      </c>
    </row>
    <row r="184" spans="1:19" s="63" customFormat="1">
      <c r="A184" s="95" t="s">
        <v>184</v>
      </c>
      <c r="B184" s="96" t="s">
        <v>19</v>
      </c>
      <c r="C184" s="97">
        <v>576</v>
      </c>
      <c r="D184" s="98" t="s">
        <v>162</v>
      </c>
      <c r="E184" s="105"/>
      <c r="F184" s="100">
        <v>12</v>
      </c>
      <c r="G184" s="101" t="s">
        <v>34</v>
      </c>
      <c r="H184" s="100">
        <v>12</v>
      </c>
      <c r="I184" s="101" t="s">
        <v>162</v>
      </c>
      <c r="J184" s="102">
        <v>24000</v>
      </c>
      <c r="K184" s="98" t="s">
        <v>162</v>
      </c>
      <c r="L184" s="103">
        <v>0.125</v>
      </c>
      <c r="M184" s="103">
        <v>0.05</v>
      </c>
      <c r="N184" s="97">
        <f>144+144+288</f>
        <v>576</v>
      </c>
      <c r="O184" s="101" t="s">
        <v>162</v>
      </c>
      <c r="P184" s="97">
        <f t="shared" si="55"/>
        <v>0</v>
      </c>
      <c r="Q184" s="101" t="s">
        <v>162</v>
      </c>
      <c r="R184" s="102">
        <f t="shared" si="56"/>
        <v>0</v>
      </c>
      <c r="S184" s="102">
        <f t="shared" si="40"/>
        <v>0</v>
      </c>
    </row>
    <row r="185" spans="1:19" s="85" customFormat="1">
      <c r="A185" s="159" t="s">
        <v>184</v>
      </c>
      <c r="B185" s="160" t="s">
        <v>19</v>
      </c>
      <c r="C185" s="161"/>
      <c r="D185" s="162" t="s">
        <v>162</v>
      </c>
      <c r="E185" s="163">
        <f>2+1+2+2</f>
        <v>7</v>
      </c>
      <c r="F185" s="164">
        <v>12</v>
      </c>
      <c r="G185" s="165" t="s">
        <v>34</v>
      </c>
      <c r="H185" s="164">
        <v>12</v>
      </c>
      <c r="I185" s="165" t="s">
        <v>162</v>
      </c>
      <c r="J185" s="166">
        <v>22750</v>
      </c>
      <c r="K185" s="162" t="s">
        <v>162</v>
      </c>
      <c r="L185" s="167">
        <v>0.125</v>
      </c>
      <c r="M185" s="167">
        <v>0.05</v>
      </c>
      <c r="N185" s="161">
        <v>144</v>
      </c>
      <c r="O185" s="165" t="s">
        <v>162</v>
      </c>
      <c r="P185" s="161">
        <f t="shared" ref="P185" si="57">(C185+(E185*F185*H185))-N185</f>
        <v>864</v>
      </c>
      <c r="Q185" s="165" t="s">
        <v>162</v>
      </c>
      <c r="R185" s="166">
        <f t="shared" ref="R185" si="58">P185*(J185-(J185*L185)-((J185-(J185*L185))*M185))</f>
        <v>16339050</v>
      </c>
      <c r="S185" s="42">
        <f t="shared" ref="S185" si="59">R185/1.11</f>
        <v>14719864.864864863</v>
      </c>
    </row>
    <row r="186" spans="1:19" s="17" customFormat="1">
      <c r="A186" s="16" t="s">
        <v>185</v>
      </c>
      <c r="B186" s="17" t="s">
        <v>19</v>
      </c>
      <c r="C186" s="18"/>
      <c r="D186" s="19" t="s">
        <v>162</v>
      </c>
      <c r="E186" s="20"/>
      <c r="F186" s="21">
        <v>12</v>
      </c>
      <c r="G186" s="22" t="s">
        <v>34</v>
      </c>
      <c r="H186" s="21">
        <v>6</v>
      </c>
      <c r="I186" s="22" t="s">
        <v>162</v>
      </c>
      <c r="J186" s="23">
        <v>48000</v>
      </c>
      <c r="K186" s="19" t="s">
        <v>162</v>
      </c>
      <c r="L186" s="24">
        <v>0.125</v>
      </c>
      <c r="M186" s="24">
        <v>0.05</v>
      </c>
      <c r="N186" s="18"/>
      <c r="O186" s="22" t="s">
        <v>162</v>
      </c>
      <c r="P186" s="18">
        <f t="shared" si="55"/>
        <v>0</v>
      </c>
      <c r="Q186" s="22" t="s">
        <v>162</v>
      </c>
      <c r="R186" s="23">
        <f t="shared" si="56"/>
        <v>0</v>
      </c>
      <c r="S186" s="23">
        <f t="shared" si="40"/>
        <v>0</v>
      </c>
    </row>
    <row r="187" spans="1:19" s="17" customFormat="1">
      <c r="A187" s="16" t="s">
        <v>186</v>
      </c>
      <c r="B187" s="17" t="s">
        <v>26</v>
      </c>
      <c r="C187" s="18"/>
      <c r="D187" s="19" t="s">
        <v>162</v>
      </c>
      <c r="E187" s="20"/>
      <c r="F187" s="21">
        <v>12</v>
      </c>
      <c r="G187" s="22" t="s">
        <v>43</v>
      </c>
      <c r="H187" s="21">
        <v>12</v>
      </c>
      <c r="I187" s="22" t="s">
        <v>162</v>
      </c>
      <c r="J187" s="23">
        <f>2592000/12/12</f>
        <v>18000</v>
      </c>
      <c r="K187" s="19" t="s">
        <v>162</v>
      </c>
      <c r="L187" s="24"/>
      <c r="M187" s="24">
        <v>0.17</v>
      </c>
      <c r="N187" s="18"/>
      <c r="O187" s="22" t="s">
        <v>162</v>
      </c>
      <c r="P187" s="18">
        <f t="shared" si="55"/>
        <v>0</v>
      </c>
      <c r="Q187" s="22" t="s">
        <v>162</v>
      </c>
      <c r="R187" s="23">
        <f t="shared" si="56"/>
        <v>0</v>
      </c>
      <c r="S187" s="23">
        <f t="shared" si="40"/>
        <v>0</v>
      </c>
    </row>
    <row r="188" spans="1:19" s="17" customFormat="1">
      <c r="A188" s="16" t="s">
        <v>187</v>
      </c>
      <c r="B188" s="17" t="s">
        <v>26</v>
      </c>
      <c r="C188" s="18">
        <v>492</v>
      </c>
      <c r="D188" s="19" t="s">
        <v>162</v>
      </c>
      <c r="E188" s="20"/>
      <c r="F188" s="21">
        <v>8</v>
      </c>
      <c r="G188" s="22" t="s">
        <v>43</v>
      </c>
      <c r="H188" s="21">
        <v>12</v>
      </c>
      <c r="I188" s="22" t="s">
        <v>162</v>
      </c>
      <c r="J188" s="23">
        <v>24500</v>
      </c>
      <c r="K188" s="19" t="s">
        <v>162</v>
      </c>
      <c r="L188" s="24"/>
      <c r="M188" s="24">
        <v>0.17</v>
      </c>
      <c r="N188" s="18">
        <f>480+(1*12)</f>
        <v>492</v>
      </c>
      <c r="O188" s="22" t="s">
        <v>162</v>
      </c>
      <c r="P188" s="18">
        <f t="shared" si="55"/>
        <v>0</v>
      </c>
      <c r="Q188" s="22" t="s">
        <v>162</v>
      </c>
      <c r="R188" s="23">
        <f t="shared" si="56"/>
        <v>0</v>
      </c>
      <c r="S188" s="23">
        <f t="shared" si="40"/>
        <v>0</v>
      </c>
    </row>
    <row r="189" spans="1:19" s="26" customFormat="1">
      <c r="A189" s="25" t="s">
        <v>188</v>
      </c>
      <c r="B189" s="26" t="s">
        <v>26</v>
      </c>
      <c r="C189" s="27">
        <v>108</v>
      </c>
      <c r="D189" s="28" t="s">
        <v>162</v>
      </c>
      <c r="E189" s="29"/>
      <c r="F189" s="30">
        <v>12</v>
      </c>
      <c r="G189" s="31" t="s">
        <v>43</v>
      </c>
      <c r="H189" s="30">
        <v>12</v>
      </c>
      <c r="I189" s="31" t="s">
        <v>162</v>
      </c>
      <c r="J189" s="32">
        <f>3528000/144</f>
        <v>24500</v>
      </c>
      <c r="K189" s="28" t="s">
        <v>162</v>
      </c>
      <c r="L189" s="33">
        <v>0.05</v>
      </c>
      <c r="M189" s="33">
        <v>0.17</v>
      </c>
      <c r="N189" s="27"/>
      <c r="O189" s="31" t="s">
        <v>162</v>
      </c>
      <c r="P189" s="27">
        <f t="shared" si="55"/>
        <v>108</v>
      </c>
      <c r="Q189" s="31" t="s">
        <v>162</v>
      </c>
      <c r="R189" s="32">
        <f t="shared" si="56"/>
        <v>2086371</v>
      </c>
      <c r="S189" s="32">
        <f t="shared" si="40"/>
        <v>1879613.5135135134</v>
      </c>
    </row>
    <row r="190" spans="1:19" s="17" customFormat="1">
      <c r="A190" s="16" t="s">
        <v>189</v>
      </c>
      <c r="B190" s="17" t="s">
        <v>26</v>
      </c>
      <c r="C190" s="18"/>
      <c r="D190" s="19" t="s">
        <v>162</v>
      </c>
      <c r="E190" s="20"/>
      <c r="F190" s="21">
        <v>6</v>
      </c>
      <c r="G190" s="22" t="s">
        <v>43</v>
      </c>
      <c r="H190" s="21">
        <v>12</v>
      </c>
      <c r="I190" s="22" t="s">
        <v>162</v>
      </c>
      <c r="J190" s="23">
        <v>36000</v>
      </c>
      <c r="K190" s="19" t="s">
        <v>162</v>
      </c>
      <c r="L190" s="24">
        <v>0.05</v>
      </c>
      <c r="M190" s="24">
        <v>0.17</v>
      </c>
      <c r="N190" s="18"/>
      <c r="O190" s="22" t="s">
        <v>162</v>
      </c>
      <c r="P190" s="18">
        <f t="shared" si="55"/>
        <v>0</v>
      </c>
      <c r="Q190" s="22" t="s">
        <v>162</v>
      </c>
      <c r="R190" s="23">
        <f t="shared" si="56"/>
        <v>0</v>
      </c>
      <c r="S190" s="23">
        <f t="shared" si="40"/>
        <v>0</v>
      </c>
    </row>
    <row r="191" spans="1:19">
      <c r="A191" s="15" t="s">
        <v>190</v>
      </c>
      <c r="S191" s="23"/>
    </row>
    <row r="192" spans="1:19" s="17" customFormat="1">
      <c r="A192" s="16" t="s">
        <v>191</v>
      </c>
      <c r="B192" s="17" t="s">
        <v>192</v>
      </c>
      <c r="C192" s="18">
        <v>2</v>
      </c>
      <c r="D192" s="19" t="s">
        <v>43</v>
      </c>
      <c r="E192" s="20"/>
      <c r="F192" s="21">
        <v>1</v>
      </c>
      <c r="G192" s="22" t="s">
        <v>21</v>
      </c>
      <c r="H192" s="21">
        <v>5</v>
      </c>
      <c r="I192" s="22" t="s">
        <v>43</v>
      </c>
      <c r="J192" s="23">
        <v>475000</v>
      </c>
      <c r="K192" s="19" t="s">
        <v>43</v>
      </c>
      <c r="L192" s="24"/>
      <c r="M192" s="24"/>
      <c r="N192" s="18">
        <f>1+1</f>
        <v>2</v>
      </c>
      <c r="O192" s="22" t="s">
        <v>43</v>
      </c>
      <c r="P192" s="18">
        <f>(C192+(E192*F192*H192))-N192</f>
        <v>0</v>
      </c>
      <c r="Q192" s="22" t="s">
        <v>43</v>
      </c>
      <c r="R192" s="23">
        <f>P192*(J192-(J192*L192)-((J192-(J192*L192))*M192))</f>
        <v>0</v>
      </c>
      <c r="S192" s="23">
        <f t="shared" si="40"/>
        <v>0</v>
      </c>
    </row>
    <row r="193" spans="1:19" s="63" customFormat="1">
      <c r="A193" s="72" t="s">
        <v>193</v>
      </c>
      <c r="B193" s="63" t="s">
        <v>19</v>
      </c>
      <c r="C193" s="64"/>
      <c r="D193" s="65" t="s">
        <v>162</v>
      </c>
      <c r="E193" s="66"/>
      <c r="F193" s="67">
        <v>8</v>
      </c>
      <c r="G193" s="68" t="s">
        <v>34</v>
      </c>
      <c r="H193" s="67">
        <v>12</v>
      </c>
      <c r="I193" s="68" t="s">
        <v>162</v>
      </c>
      <c r="J193" s="69">
        <v>22500</v>
      </c>
      <c r="K193" s="65" t="s">
        <v>162</v>
      </c>
      <c r="L193" s="70">
        <v>0.125</v>
      </c>
      <c r="M193" s="70">
        <v>0.05</v>
      </c>
      <c r="N193" s="64"/>
      <c r="O193" s="68" t="s">
        <v>162</v>
      </c>
      <c r="P193" s="64">
        <f>(C193+(E193*F193*H193))-N193</f>
        <v>0</v>
      </c>
      <c r="Q193" s="68" t="s">
        <v>162</v>
      </c>
      <c r="R193" s="69">
        <f>P193*(J193-(J193*L193)-((J193-(J193*L193))*M193))</f>
        <v>0</v>
      </c>
      <c r="S193" s="23">
        <f t="shared" si="40"/>
        <v>0</v>
      </c>
    </row>
    <row r="194" spans="1:19" s="63" customFormat="1">
      <c r="A194" s="72" t="s">
        <v>194</v>
      </c>
      <c r="B194" s="63" t="s">
        <v>19</v>
      </c>
      <c r="C194" s="64"/>
      <c r="D194" s="65" t="s">
        <v>162</v>
      </c>
      <c r="E194" s="66"/>
      <c r="F194" s="67">
        <v>6</v>
      </c>
      <c r="G194" s="68" t="s">
        <v>34</v>
      </c>
      <c r="H194" s="67">
        <v>12</v>
      </c>
      <c r="I194" s="68" t="s">
        <v>162</v>
      </c>
      <c r="J194" s="69">
        <v>41500</v>
      </c>
      <c r="K194" s="65" t="s">
        <v>162</v>
      </c>
      <c r="L194" s="70">
        <v>0.125</v>
      </c>
      <c r="M194" s="70">
        <v>0.05</v>
      </c>
      <c r="N194" s="64"/>
      <c r="O194" s="68" t="s">
        <v>162</v>
      </c>
      <c r="P194" s="64">
        <f>(C194+(E194*F194*H194))-N194</f>
        <v>0</v>
      </c>
      <c r="Q194" s="68" t="s">
        <v>162</v>
      </c>
      <c r="R194" s="69">
        <f>P194*(J194-(J194*L194)-((J194-(J194*L194))*M194))</f>
        <v>0</v>
      </c>
      <c r="S194" s="23">
        <f t="shared" si="40"/>
        <v>0</v>
      </c>
    </row>
    <row r="195" spans="1:19">
      <c r="S195" s="23"/>
    </row>
    <row r="196" spans="1:19" ht="15.75">
      <c r="A196" s="14" t="s">
        <v>195</v>
      </c>
      <c r="S196" s="23"/>
    </row>
    <row r="197" spans="1:19">
      <c r="A197" s="15" t="s">
        <v>196</v>
      </c>
      <c r="S197" s="23"/>
    </row>
    <row r="198" spans="1:19" s="17" customFormat="1">
      <c r="A198" s="16" t="s">
        <v>197</v>
      </c>
      <c r="B198" s="17" t="s">
        <v>19</v>
      </c>
      <c r="C198" s="18"/>
      <c r="D198" s="19" t="s">
        <v>43</v>
      </c>
      <c r="E198" s="20"/>
      <c r="F198" s="21">
        <v>1</v>
      </c>
      <c r="G198" s="22" t="s">
        <v>21</v>
      </c>
      <c r="H198" s="21">
        <v>24</v>
      </c>
      <c r="I198" s="22" t="s">
        <v>43</v>
      </c>
      <c r="J198" s="23">
        <v>73200</v>
      </c>
      <c r="K198" s="19" t="s">
        <v>43</v>
      </c>
      <c r="L198" s="24">
        <v>0.125</v>
      </c>
      <c r="M198" s="24">
        <v>0.05</v>
      </c>
      <c r="N198" s="18"/>
      <c r="O198" s="22" t="s">
        <v>43</v>
      </c>
      <c r="P198" s="18">
        <f t="shared" ref="P198:P204" si="60">(C198+(E198*F198*H198))-N198</f>
        <v>0</v>
      </c>
      <c r="Q198" s="22" t="s">
        <v>43</v>
      </c>
      <c r="R198" s="23">
        <f t="shared" ref="R198:R204" si="61">P198*(J198-(J198*L198)-((J198-(J198*L198))*M198))</f>
        <v>0</v>
      </c>
      <c r="S198" s="23">
        <f t="shared" si="40"/>
        <v>0</v>
      </c>
    </row>
    <row r="199" spans="1:19" s="17" customFormat="1">
      <c r="A199" s="16" t="s">
        <v>198</v>
      </c>
      <c r="B199" s="17" t="s">
        <v>19</v>
      </c>
      <c r="C199" s="18"/>
      <c r="D199" s="19" t="s">
        <v>43</v>
      </c>
      <c r="E199" s="20"/>
      <c r="F199" s="21">
        <v>1</v>
      </c>
      <c r="G199" s="22" t="s">
        <v>21</v>
      </c>
      <c r="H199" s="21">
        <v>48</v>
      </c>
      <c r="I199" s="22" t="s">
        <v>43</v>
      </c>
      <c r="J199" s="23">
        <v>50400</v>
      </c>
      <c r="K199" s="19" t="s">
        <v>43</v>
      </c>
      <c r="L199" s="24">
        <v>0.125</v>
      </c>
      <c r="M199" s="24">
        <v>0.05</v>
      </c>
      <c r="N199" s="18"/>
      <c r="O199" s="22" t="s">
        <v>43</v>
      </c>
      <c r="P199" s="18">
        <f t="shared" si="60"/>
        <v>0</v>
      </c>
      <c r="Q199" s="22" t="s">
        <v>43</v>
      </c>
      <c r="R199" s="23">
        <f t="shared" si="61"/>
        <v>0</v>
      </c>
      <c r="S199" s="23">
        <f t="shared" si="40"/>
        <v>0</v>
      </c>
    </row>
    <row r="200" spans="1:19" s="26" customFormat="1">
      <c r="A200" s="25" t="s">
        <v>199</v>
      </c>
      <c r="B200" s="26" t="s">
        <v>19</v>
      </c>
      <c r="C200" s="27"/>
      <c r="D200" s="28" t="s">
        <v>43</v>
      </c>
      <c r="E200" s="29">
        <v>1</v>
      </c>
      <c r="F200" s="30">
        <v>1</v>
      </c>
      <c r="G200" s="31" t="s">
        <v>21</v>
      </c>
      <c r="H200" s="30">
        <v>48</v>
      </c>
      <c r="I200" s="31" t="s">
        <v>43</v>
      </c>
      <c r="J200" s="32">
        <v>55800</v>
      </c>
      <c r="K200" s="28" t="s">
        <v>43</v>
      </c>
      <c r="L200" s="33">
        <v>0.125</v>
      </c>
      <c r="M200" s="33">
        <v>0.05</v>
      </c>
      <c r="N200" s="27">
        <f>25+6+1</f>
        <v>32</v>
      </c>
      <c r="O200" s="31" t="s">
        <v>43</v>
      </c>
      <c r="P200" s="27">
        <f t="shared" si="60"/>
        <v>16</v>
      </c>
      <c r="Q200" s="31" t="s">
        <v>43</v>
      </c>
      <c r="R200" s="32">
        <f t="shared" si="61"/>
        <v>742140</v>
      </c>
      <c r="S200" s="32">
        <f t="shared" si="40"/>
        <v>668594.59459459456</v>
      </c>
    </row>
    <row r="201" spans="1:19" s="63" customFormat="1">
      <c r="A201" s="72" t="s">
        <v>200</v>
      </c>
      <c r="B201" s="63" t="s">
        <v>19</v>
      </c>
      <c r="C201" s="64"/>
      <c r="D201" s="65" t="s">
        <v>43</v>
      </c>
      <c r="E201" s="66">
        <v>2</v>
      </c>
      <c r="F201" s="67">
        <v>1</v>
      </c>
      <c r="G201" s="68" t="s">
        <v>21</v>
      </c>
      <c r="H201" s="67">
        <v>24</v>
      </c>
      <c r="I201" s="68" t="s">
        <v>43</v>
      </c>
      <c r="J201" s="69">
        <v>162000</v>
      </c>
      <c r="K201" s="65" t="s">
        <v>43</v>
      </c>
      <c r="L201" s="70">
        <v>0.125</v>
      </c>
      <c r="M201" s="70">
        <v>0.05</v>
      </c>
      <c r="N201" s="64">
        <v>48</v>
      </c>
      <c r="O201" s="68" t="s">
        <v>43</v>
      </c>
      <c r="P201" s="64">
        <f t="shared" si="60"/>
        <v>0</v>
      </c>
      <c r="Q201" s="68" t="s">
        <v>43</v>
      </c>
      <c r="R201" s="69">
        <f t="shared" si="61"/>
        <v>0</v>
      </c>
      <c r="S201" s="69">
        <f t="shared" si="40"/>
        <v>0</v>
      </c>
    </row>
    <row r="202" spans="1:19" s="63" customFormat="1">
      <c r="A202" s="72" t="s">
        <v>201</v>
      </c>
      <c r="B202" s="63" t="s">
        <v>26</v>
      </c>
      <c r="C202" s="64">
        <f>39+2</f>
        <v>41</v>
      </c>
      <c r="D202" s="65" t="s">
        <v>43</v>
      </c>
      <c r="E202" s="66">
        <v>2</v>
      </c>
      <c r="F202" s="67">
        <v>1</v>
      </c>
      <c r="G202" s="68" t="s">
        <v>21</v>
      </c>
      <c r="H202" s="67">
        <v>30</v>
      </c>
      <c r="I202" s="68" t="s">
        <v>43</v>
      </c>
      <c r="J202" s="69">
        <f>1566000/30</f>
        <v>52200</v>
      </c>
      <c r="K202" s="65" t="s">
        <v>43</v>
      </c>
      <c r="L202" s="70"/>
      <c r="M202" s="70">
        <v>0.17</v>
      </c>
      <c r="N202" s="64">
        <f>3+30+60+8</f>
        <v>101</v>
      </c>
      <c r="O202" s="68" t="s">
        <v>43</v>
      </c>
      <c r="P202" s="64">
        <f t="shared" si="60"/>
        <v>0</v>
      </c>
      <c r="Q202" s="68" t="s">
        <v>43</v>
      </c>
      <c r="R202" s="69">
        <f t="shared" si="61"/>
        <v>0</v>
      </c>
      <c r="S202" s="23">
        <f t="shared" si="40"/>
        <v>0</v>
      </c>
    </row>
    <row r="203" spans="1:19" s="26" customFormat="1">
      <c r="A203" s="25" t="s">
        <v>202</v>
      </c>
      <c r="B203" s="26" t="s">
        <v>26</v>
      </c>
      <c r="C203" s="27">
        <v>23</v>
      </c>
      <c r="D203" s="28" t="s">
        <v>43</v>
      </c>
      <c r="E203" s="29">
        <f>2+2+1+1</f>
        <v>6</v>
      </c>
      <c r="F203" s="30">
        <v>1</v>
      </c>
      <c r="G203" s="31" t="s">
        <v>21</v>
      </c>
      <c r="H203" s="30">
        <v>30</v>
      </c>
      <c r="I203" s="31" t="s">
        <v>43</v>
      </c>
      <c r="J203" s="32">
        <f>1710000/30</f>
        <v>57000</v>
      </c>
      <c r="K203" s="28" t="s">
        <v>43</v>
      </c>
      <c r="L203" s="33"/>
      <c r="M203" s="33">
        <v>0.17</v>
      </c>
      <c r="N203" s="27">
        <f>30+6+4+6+3+5+10+10+2+6+30+60+5</f>
        <v>177</v>
      </c>
      <c r="O203" s="31" t="s">
        <v>43</v>
      </c>
      <c r="P203" s="27">
        <f t="shared" si="60"/>
        <v>26</v>
      </c>
      <c r="Q203" s="31" t="s">
        <v>43</v>
      </c>
      <c r="R203" s="32">
        <f t="shared" si="61"/>
        <v>1230060</v>
      </c>
      <c r="S203" s="32">
        <f t="shared" si="40"/>
        <v>1108162.1621621621</v>
      </c>
    </row>
    <row r="204" spans="1:19" s="45" customFormat="1">
      <c r="A204" s="44" t="s">
        <v>203</v>
      </c>
      <c r="B204" s="45" t="s">
        <v>26</v>
      </c>
      <c r="C204" s="46">
        <v>85</v>
      </c>
      <c r="D204" s="47" t="s">
        <v>43</v>
      </c>
      <c r="E204" s="48">
        <f>2+2</f>
        <v>4</v>
      </c>
      <c r="F204" s="49">
        <v>1</v>
      </c>
      <c r="G204" s="50" t="s">
        <v>21</v>
      </c>
      <c r="H204" s="49">
        <v>20</v>
      </c>
      <c r="I204" s="50" t="s">
        <v>43</v>
      </c>
      <c r="J204" s="51">
        <f>2952000/20</f>
        <v>147600</v>
      </c>
      <c r="K204" s="47" t="s">
        <v>43</v>
      </c>
      <c r="L204" s="52"/>
      <c r="M204" s="52">
        <v>0.17</v>
      </c>
      <c r="N204" s="46">
        <f>3+20+20+20+10+1+20+20+5+4</f>
        <v>123</v>
      </c>
      <c r="O204" s="50" t="s">
        <v>43</v>
      </c>
      <c r="P204" s="46">
        <f t="shared" si="60"/>
        <v>42</v>
      </c>
      <c r="Q204" s="50" t="s">
        <v>43</v>
      </c>
      <c r="R204" s="51">
        <f t="shared" si="61"/>
        <v>5145336</v>
      </c>
      <c r="S204" s="51">
        <f t="shared" si="40"/>
        <v>4635437.8378378376</v>
      </c>
    </row>
    <row r="205" spans="1:19" s="26" customFormat="1">
      <c r="A205" s="25" t="s">
        <v>737</v>
      </c>
      <c r="B205" s="26" t="s">
        <v>659</v>
      </c>
      <c r="C205" s="27"/>
      <c r="D205" s="28" t="s">
        <v>43</v>
      </c>
      <c r="E205" s="29">
        <v>1</v>
      </c>
      <c r="F205" s="30">
        <v>1</v>
      </c>
      <c r="G205" s="31" t="s">
        <v>21</v>
      </c>
      <c r="H205" s="30">
        <v>48</v>
      </c>
      <c r="I205" s="31" t="s">
        <v>43</v>
      </c>
      <c r="J205" s="32">
        <v>60600</v>
      </c>
      <c r="K205" s="28" t="s">
        <v>43</v>
      </c>
      <c r="L205" s="33">
        <v>0.15</v>
      </c>
      <c r="M205" s="33">
        <v>0.03</v>
      </c>
      <c r="N205" s="27"/>
      <c r="O205" s="31" t="s">
        <v>43</v>
      </c>
      <c r="P205" s="27">
        <f t="shared" ref="P205" si="62">(C205+(E205*F205*H205))-N205</f>
        <v>48</v>
      </c>
      <c r="Q205" s="31" t="s">
        <v>43</v>
      </c>
      <c r="R205" s="32">
        <f t="shared" ref="R205" si="63">P205*(J205-(J205*L205)-((J205-(J205*L205))*M205))</f>
        <v>2398305.5999999996</v>
      </c>
      <c r="S205" s="32">
        <f t="shared" ref="S205" si="64">R205/1.11</f>
        <v>2160635.6756756753</v>
      </c>
    </row>
    <row r="206" spans="1:19">
      <c r="A206" s="15" t="s">
        <v>204</v>
      </c>
      <c r="S206" s="23"/>
    </row>
    <row r="207" spans="1:19" s="63" customFormat="1">
      <c r="A207" s="72" t="s">
        <v>205</v>
      </c>
      <c r="B207" s="63" t="s">
        <v>19</v>
      </c>
      <c r="C207" s="64"/>
      <c r="D207" s="65" t="s">
        <v>43</v>
      </c>
      <c r="E207" s="66"/>
      <c r="F207" s="67">
        <v>1</v>
      </c>
      <c r="G207" s="68" t="s">
        <v>21</v>
      </c>
      <c r="H207" s="67">
        <v>120</v>
      </c>
      <c r="I207" s="68" t="s">
        <v>43</v>
      </c>
      <c r="J207" s="69">
        <v>24600</v>
      </c>
      <c r="K207" s="65" t="s">
        <v>43</v>
      </c>
      <c r="L207" s="70">
        <v>0.125</v>
      </c>
      <c r="M207" s="70">
        <v>0.05</v>
      </c>
      <c r="N207" s="64"/>
      <c r="O207" s="68" t="s">
        <v>43</v>
      </c>
      <c r="P207" s="64">
        <f t="shared" ref="P207:P210" si="65">(C207+(E207*F207*H207))-N207</f>
        <v>0</v>
      </c>
      <c r="Q207" s="68" t="s">
        <v>43</v>
      </c>
      <c r="R207" s="69">
        <f t="shared" ref="R207:R210" si="66">P207*(J207-(J207*L207)-((J207-(J207*L207))*M207))</f>
        <v>0</v>
      </c>
      <c r="S207" s="23">
        <f t="shared" si="40"/>
        <v>0</v>
      </c>
    </row>
    <row r="208" spans="1:19" s="45" customFormat="1">
      <c r="A208" s="35" t="s">
        <v>206</v>
      </c>
      <c r="B208" s="36" t="s">
        <v>19</v>
      </c>
      <c r="C208" s="37">
        <v>40</v>
      </c>
      <c r="D208" s="38" t="s">
        <v>43</v>
      </c>
      <c r="E208" s="39">
        <f>3+1+1</f>
        <v>5</v>
      </c>
      <c r="F208" s="40">
        <v>1</v>
      </c>
      <c r="G208" s="41" t="s">
        <v>21</v>
      </c>
      <c r="H208" s="40">
        <v>40</v>
      </c>
      <c r="I208" s="41" t="s">
        <v>43</v>
      </c>
      <c r="J208" s="42">
        <v>49200</v>
      </c>
      <c r="K208" s="38" t="s">
        <v>43</v>
      </c>
      <c r="L208" s="43">
        <v>0.125</v>
      </c>
      <c r="M208" s="43">
        <v>0.05</v>
      </c>
      <c r="N208" s="37">
        <f>40+120+40</f>
        <v>200</v>
      </c>
      <c r="O208" s="41" t="s">
        <v>43</v>
      </c>
      <c r="P208" s="37">
        <f t="shared" si="65"/>
        <v>40</v>
      </c>
      <c r="Q208" s="41" t="s">
        <v>43</v>
      </c>
      <c r="R208" s="42">
        <f t="shared" si="66"/>
        <v>1635900</v>
      </c>
      <c r="S208" s="42">
        <f t="shared" si="40"/>
        <v>1473783.7837837837</v>
      </c>
    </row>
    <row r="209" spans="1:19" s="45" customFormat="1">
      <c r="A209" s="35" t="s">
        <v>207</v>
      </c>
      <c r="B209" s="36" t="s">
        <v>19</v>
      </c>
      <c r="C209" s="37">
        <f>7+48</f>
        <v>55</v>
      </c>
      <c r="D209" s="38" t="s">
        <v>43</v>
      </c>
      <c r="E209" s="39"/>
      <c r="F209" s="40">
        <v>1</v>
      </c>
      <c r="G209" s="41" t="s">
        <v>21</v>
      </c>
      <c r="H209" s="40">
        <v>40</v>
      </c>
      <c r="I209" s="41" t="s">
        <v>43</v>
      </c>
      <c r="J209" s="42">
        <v>0</v>
      </c>
      <c r="K209" s="38" t="s">
        <v>43</v>
      </c>
      <c r="L209" s="43">
        <v>0</v>
      </c>
      <c r="M209" s="43">
        <v>0</v>
      </c>
      <c r="N209" s="37">
        <v>48</v>
      </c>
      <c r="O209" s="41" t="s">
        <v>43</v>
      </c>
      <c r="P209" s="37">
        <f t="shared" si="65"/>
        <v>7</v>
      </c>
      <c r="Q209" s="41" t="s">
        <v>43</v>
      </c>
      <c r="R209" s="42">
        <f t="shared" si="66"/>
        <v>0</v>
      </c>
      <c r="S209" s="42">
        <f t="shared" si="40"/>
        <v>0</v>
      </c>
    </row>
    <row r="210" spans="1:19" s="45" customFormat="1">
      <c r="A210" s="44" t="s">
        <v>208</v>
      </c>
      <c r="B210" s="45" t="s">
        <v>26</v>
      </c>
      <c r="C210" s="46">
        <v>460</v>
      </c>
      <c r="D210" s="47" t="s">
        <v>43</v>
      </c>
      <c r="E210" s="48">
        <f>1+3+3+1+20</f>
        <v>28</v>
      </c>
      <c r="F210" s="49">
        <v>1</v>
      </c>
      <c r="G210" s="50" t="s">
        <v>21</v>
      </c>
      <c r="H210" s="49">
        <v>120</v>
      </c>
      <c r="I210" s="50" t="s">
        <v>43</v>
      </c>
      <c r="J210" s="51">
        <f>3744000/120</f>
        <v>31200</v>
      </c>
      <c r="K210" s="47" t="s">
        <v>43</v>
      </c>
      <c r="L210" s="52"/>
      <c r="M210" s="52">
        <v>0.17</v>
      </c>
      <c r="N210" s="46">
        <f>120+5+10+120+120+120+120+120+120+240+40+120+240+20</f>
        <v>1515</v>
      </c>
      <c r="O210" s="50" t="s">
        <v>43</v>
      </c>
      <c r="P210" s="46">
        <f t="shared" si="65"/>
        <v>2305</v>
      </c>
      <c r="Q210" s="50" t="s">
        <v>43</v>
      </c>
      <c r="R210" s="51">
        <f t="shared" si="66"/>
        <v>59690280</v>
      </c>
      <c r="S210" s="51">
        <f t="shared" si="40"/>
        <v>53775027.027027026</v>
      </c>
    </row>
    <row r="211" spans="1:19" s="45" customFormat="1">
      <c r="A211" s="44" t="s">
        <v>209</v>
      </c>
      <c r="B211" s="45" t="s">
        <v>26</v>
      </c>
      <c r="C211" s="46">
        <v>327</v>
      </c>
      <c r="D211" s="47" t="s">
        <v>43</v>
      </c>
      <c r="E211" s="48">
        <f>5+2+6+15</f>
        <v>28</v>
      </c>
      <c r="F211" s="49">
        <v>1</v>
      </c>
      <c r="G211" s="50" t="s">
        <v>21</v>
      </c>
      <c r="H211" s="49">
        <v>60</v>
      </c>
      <c r="I211" s="50" t="s">
        <v>43</v>
      </c>
      <c r="J211" s="51">
        <f>3744000/60</f>
        <v>62400</v>
      </c>
      <c r="K211" s="47" t="s">
        <v>43</v>
      </c>
      <c r="L211" s="52"/>
      <c r="M211" s="52">
        <v>0.17</v>
      </c>
      <c r="N211" s="46">
        <f>60+60+60+60+15+120+5+10+60+60+60+60+120+300+60+120+30+120+120+60+60+60</f>
        <v>1680</v>
      </c>
      <c r="O211" s="50" t="s">
        <v>43</v>
      </c>
      <c r="P211" s="46">
        <f t="shared" ref="P211" si="67">(C211+(E211*F211*H211))-N211</f>
        <v>327</v>
      </c>
      <c r="Q211" s="50" t="s">
        <v>43</v>
      </c>
      <c r="R211" s="51">
        <f t="shared" ref="R211" si="68">P211*(J211-(J211*L211)-((J211-(J211*L211))*M211))</f>
        <v>16935984</v>
      </c>
      <c r="S211" s="51">
        <f t="shared" ref="S211" si="69">R211/1.11</f>
        <v>15257643.243243242</v>
      </c>
    </row>
    <row r="212" spans="1:19">
      <c r="A212" s="15" t="s">
        <v>210</v>
      </c>
      <c r="S212" s="23"/>
    </row>
    <row r="213" spans="1:19" s="17" customFormat="1">
      <c r="A213" s="16" t="s">
        <v>211</v>
      </c>
      <c r="B213" s="17" t="s">
        <v>19</v>
      </c>
      <c r="C213" s="18"/>
      <c r="D213" s="19" t="s">
        <v>20</v>
      </c>
      <c r="E213" s="20">
        <v>1</v>
      </c>
      <c r="F213" s="21">
        <v>1</v>
      </c>
      <c r="G213" s="22" t="s">
        <v>21</v>
      </c>
      <c r="H213" s="21">
        <v>5</v>
      </c>
      <c r="I213" s="22" t="s">
        <v>20</v>
      </c>
      <c r="J213" s="23">
        <v>214000</v>
      </c>
      <c r="K213" s="19" t="s">
        <v>20</v>
      </c>
      <c r="L213" s="24">
        <v>0.125</v>
      </c>
      <c r="M213" s="24">
        <v>0.05</v>
      </c>
      <c r="N213" s="18">
        <v>5</v>
      </c>
      <c r="O213" s="22" t="s">
        <v>20</v>
      </c>
      <c r="P213" s="18">
        <f>(C213+(E213*F213*H213))-N213</f>
        <v>0</v>
      </c>
      <c r="Q213" s="22" t="s">
        <v>20</v>
      </c>
      <c r="R213" s="23">
        <f>P213*(J213-(J213*L213)-((J213-(J213*L213))*M213))</f>
        <v>0</v>
      </c>
      <c r="S213" s="23">
        <f t="shared" si="40"/>
        <v>0</v>
      </c>
    </row>
    <row r="214" spans="1:19" s="26" customFormat="1">
      <c r="A214" s="25" t="s">
        <v>212</v>
      </c>
      <c r="B214" s="26" t="s">
        <v>19</v>
      </c>
      <c r="C214" s="27">
        <v>5</v>
      </c>
      <c r="D214" s="28" t="s">
        <v>20</v>
      </c>
      <c r="E214" s="29"/>
      <c r="F214" s="30">
        <v>1</v>
      </c>
      <c r="G214" s="31" t="s">
        <v>21</v>
      </c>
      <c r="H214" s="30">
        <v>5</v>
      </c>
      <c r="I214" s="31" t="s">
        <v>20</v>
      </c>
      <c r="J214" s="32">
        <v>219000</v>
      </c>
      <c r="K214" s="28" t="s">
        <v>20</v>
      </c>
      <c r="L214" s="33">
        <v>0.125</v>
      </c>
      <c r="M214" s="33">
        <v>0.05</v>
      </c>
      <c r="N214" s="27"/>
      <c r="O214" s="31" t="s">
        <v>20</v>
      </c>
      <c r="P214" s="27">
        <f>(C214+(E214*F214*H214))-N214</f>
        <v>5</v>
      </c>
      <c r="Q214" s="31" t="s">
        <v>20</v>
      </c>
      <c r="R214" s="32">
        <f>P214*(J214-(J214*L214)-((J214-(J214*L214))*M214))</f>
        <v>910218.75</v>
      </c>
      <c r="S214" s="32">
        <f t="shared" si="40"/>
        <v>820016.89189189184</v>
      </c>
    </row>
    <row r="215" spans="1:19" s="17" customFormat="1">
      <c r="A215" s="16" t="s">
        <v>213</v>
      </c>
      <c r="B215" s="17" t="s">
        <v>19</v>
      </c>
      <c r="C215" s="18"/>
      <c r="D215" s="19" t="s">
        <v>20</v>
      </c>
      <c r="E215" s="20"/>
      <c r="F215" s="21">
        <v>1</v>
      </c>
      <c r="G215" s="22" t="s">
        <v>21</v>
      </c>
      <c r="H215" s="21">
        <v>4</v>
      </c>
      <c r="I215" s="22" t="s">
        <v>20</v>
      </c>
      <c r="J215" s="23">
        <v>283000</v>
      </c>
      <c r="K215" s="19" t="s">
        <v>20</v>
      </c>
      <c r="L215" s="24">
        <v>0.125</v>
      </c>
      <c r="M215" s="24">
        <v>0.05</v>
      </c>
      <c r="N215" s="18"/>
      <c r="O215" s="22" t="s">
        <v>20</v>
      </c>
      <c r="P215" s="18">
        <f>(C215+(E215*F215*H215))-N215</f>
        <v>0</v>
      </c>
      <c r="Q215" s="22" t="s">
        <v>20</v>
      </c>
      <c r="R215" s="23">
        <f>P215*(J215-(J215*L215)-((J215-(J215*L215))*M215))</f>
        <v>0</v>
      </c>
      <c r="S215" s="23">
        <f t="shared" si="40"/>
        <v>0</v>
      </c>
    </row>
    <row r="216" spans="1:19" s="17" customFormat="1">
      <c r="A216" s="16" t="s">
        <v>214</v>
      </c>
      <c r="B216" s="17" t="s">
        <v>26</v>
      </c>
      <c r="C216" s="18"/>
      <c r="D216" s="19" t="s">
        <v>20</v>
      </c>
      <c r="E216" s="20"/>
      <c r="F216" s="21">
        <v>1</v>
      </c>
      <c r="G216" s="22" t="s">
        <v>21</v>
      </c>
      <c r="H216" s="21">
        <v>5</v>
      </c>
      <c r="I216" s="22" t="s">
        <v>20</v>
      </c>
      <c r="J216" s="23">
        <f>1075000/5</f>
        <v>215000</v>
      </c>
      <c r="K216" s="19" t="s">
        <v>20</v>
      </c>
      <c r="L216" s="24"/>
      <c r="M216" s="24">
        <v>0.17</v>
      </c>
      <c r="N216" s="18"/>
      <c r="O216" s="22" t="s">
        <v>20</v>
      </c>
      <c r="P216" s="18">
        <f>(C216+(E216*F216*H216))-N216</f>
        <v>0</v>
      </c>
      <c r="Q216" s="22" t="s">
        <v>20</v>
      </c>
      <c r="R216" s="23">
        <f>P216*(J216-(J216*L216)-((J216-(J216*L216))*M216))</f>
        <v>0</v>
      </c>
      <c r="S216" s="23">
        <f t="shared" si="40"/>
        <v>0</v>
      </c>
    </row>
    <row r="217" spans="1:19" s="17" customFormat="1">
      <c r="A217" s="16" t="s">
        <v>215</v>
      </c>
      <c r="B217" s="17" t="s">
        <v>26</v>
      </c>
      <c r="C217" s="18"/>
      <c r="D217" s="19" t="s">
        <v>20</v>
      </c>
      <c r="E217" s="20"/>
      <c r="F217" s="21">
        <v>1</v>
      </c>
      <c r="G217" s="22" t="s">
        <v>21</v>
      </c>
      <c r="H217" s="21">
        <v>5</v>
      </c>
      <c r="I217" s="22" t="s">
        <v>20</v>
      </c>
      <c r="J217" s="23">
        <f>1125000/5</f>
        <v>225000</v>
      </c>
      <c r="K217" s="19" t="s">
        <v>20</v>
      </c>
      <c r="L217" s="24"/>
      <c r="M217" s="24">
        <v>0.17</v>
      </c>
      <c r="N217" s="18"/>
      <c r="O217" s="22" t="s">
        <v>20</v>
      </c>
      <c r="P217" s="18">
        <f t="shared" ref="P217:P218" si="70">(C217+(E217*F217*H217))-N217</f>
        <v>0</v>
      </c>
      <c r="Q217" s="22" t="s">
        <v>20</v>
      </c>
      <c r="R217" s="23">
        <f t="shared" ref="R217:R218" si="71">P217*(J217-(J217*L217)-((J217-(J217*L217))*M217))</f>
        <v>0</v>
      </c>
      <c r="S217" s="23">
        <f t="shared" si="40"/>
        <v>0</v>
      </c>
    </row>
    <row r="218" spans="1:19" s="17" customFormat="1">
      <c r="A218" s="16" t="s">
        <v>216</v>
      </c>
      <c r="B218" s="17" t="s">
        <v>26</v>
      </c>
      <c r="C218" s="18"/>
      <c r="D218" s="19" t="s">
        <v>20</v>
      </c>
      <c r="E218" s="20"/>
      <c r="F218" s="21">
        <v>1</v>
      </c>
      <c r="G218" s="22" t="s">
        <v>21</v>
      </c>
      <c r="H218" s="21">
        <v>4</v>
      </c>
      <c r="I218" s="22" t="s">
        <v>20</v>
      </c>
      <c r="J218" s="23">
        <f>1100000/4</f>
        <v>275000</v>
      </c>
      <c r="K218" s="19" t="s">
        <v>20</v>
      </c>
      <c r="L218" s="24"/>
      <c r="M218" s="24">
        <v>0.17</v>
      </c>
      <c r="N218" s="18"/>
      <c r="O218" s="22" t="s">
        <v>20</v>
      </c>
      <c r="P218" s="18">
        <f t="shared" si="70"/>
        <v>0</v>
      </c>
      <c r="Q218" s="22" t="s">
        <v>20</v>
      </c>
      <c r="R218" s="23">
        <f t="shared" si="71"/>
        <v>0</v>
      </c>
      <c r="S218" s="23">
        <f t="shared" ref="S218:S286" si="72">R218/1.11</f>
        <v>0</v>
      </c>
    </row>
    <row r="219" spans="1:19">
      <c r="S219" s="23"/>
    </row>
    <row r="220" spans="1:19" ht="15.75">
      <c r="A220" s="14" t="s">
        <v>217</v>
      </c>
      <c r="S220" s="23"/>
    </row>
    <row r="221" spans="1:19" s="17" customFormat="1">
      <c r="A221" s="16" t="s">
        <v>218</v>
      </c>
      <c r="B221" s="17" t="s">
        <v>19</v>
      </c>
      <c r="C221" s="18"/>
      <c r="D221" s="19" t="s">
        <v>20</v>
      </c>
      <c r="E221" s="20"/>
      <c r="F221" s="21">
        <v>1</v>
      </c>
      <c r="G221" s="22" t="s">
        <v>21</v>
      </c>
      <c r="H221" s="21">
        <v>90</v>
      </c>
      <c r="I221" s="22" t="s">
        <v>20</v>
      </c>
      <c r="J221" s="23">
        <v>24000</v>
      </c>
      <c r="K221" s="19" t="s">
        <v>20</v>
      </c>
      <c r="L221" s="24">
        <v>0.125</v>
      </c>
      <c r="M221" s="24">
        <v>0.05</v>
      </c>
      <c r="N221" s="18"/>
      <c r="O221" s="22" t="s">
        <v>20</v>
      </c>
      <c r="P221" s="18">
        <f>(C221+(E221*F221*H221))-N221</f>
        <v>0</v>
      </c>
      <c r="Q221" s="22" t="s">
        <v>20</v>
      </c>
      <c r="R221" s="23">
        <f>P221*(J221-(J221*L221)-((J221-(J221*L221))*M221))</f>
        <v>0</v>
      </c>
      <c r="S221" s="23">
        <f t="shared" si="72"/>
        <v>0</v>
      </c>
    </row>
    <row r="222" spans="1:19" s="17" customFormat="1">
      <c r="A222" s="16" t="s">
        <v>219</v>
      </c>
      <c r="B222" s="17" t="s">
        <v>19</v>
      </c>
      <c r="C222" s="18">
        <v>6</v>
      </c>
      <c r="D222" s="19" t="s">
        <v>20</v>
      </c>
      <c r="E222" s="20"/>
      <c r="F222" s="21">
        <v>1</v>
      </c>
      <c r="G222" s="22" t="s">
        <v>21</v>
      </c>
      <c r="H222" s="21">
        <v>48</v>
      </c>
      <c r="I222" s="22" t="s">
        <v>20</v>
      </c>
      <c r="J222" s="23">
        <v>24900</v>
      </c>
      <c r="K222" s="19" t="s">
        <v>20</v>
      </c>
      <c r="L222" s="24">
        <v>0.125</v>
      </c>
      <c r="M222" s="24">
        <v>0.05</v>
      </c>
      <c r="N222" s="18">
        <v>6</v>
      </c>
      <c r="O222" s="22" t="s">
        <v>20</v>
      </c>
      <c r="P222" s="18">
        <f>(C222+(E222*F222*H222))-N222</f>
        <v>0</v>
      </c>
      <c r="Q222" s="22" t="s">
        <v>20</v>
      </c>
      <c r="R222" s="23">
        <f>P222*(J222-(J222*L222)-((J222-(J222*L222))*M222))</f>
        <v>0</v>
      </c>
      <c r="S222" s="23">
        <f t="shared" si="72"/>
        <v>0</v>
      </c>
    </row>
    <row r="223" spans="1:19" s="17" customFormat="1">
      <c r="A223" s="16" t="s">
        <v>220</v>
      </c>
      <c r="B223" s="17" t="s">
        <v>26</v>
      </c>
      <c r="C223" s="18">
        <v>24</v>
      </c>
      <c r="D223" s="19" t="s">
        <v>20</v>
      </c>
      <c r="E223" s="20"/>
      <c r="F223" s="21">
        <v>1</v>
      </c>
      <c r="G223" s="22" t="s">
        <v>21</v>
      </c>
      <c r="H223" s="21">
        <v>24</v>
      </c>
      <c r="I223" s="22" t="s">
        <v>20</v>
      </c>
      <c r="J223" s="23">
        <f>720000/24</f>
        <v>30000</v>
      </c>
      <c r="K223" s="19" t="s">
        <v>20</v>
      </c>
      <c r="L223" s="24"/>
      <c r="M223" s="24">
        <v>0.17</v>
      </c>
      <c r="N223" s="18">
        <v>24</v>
      </c>
      <c r="O223" s="22" t="s">
        <v>20</v>
      </c>
      <c r="P223" s="18">
        <f>(C223+(E223*F223*H223))-N223</f>
        <v>0</v>
      </c>
      <c r="Q223" s="22" t="s">
        <v>20</v>
      </c>
      <c r="R223" s="23">
        <f>P223*(J223-(J223*L223)-((J223-(J223*L223))*M223))</f>
        <v>0</v>
      </c>
      <c r="S223" s="23">
        <f t="shared" si="72"/>
        <v>0</v>
      </c>
    </row>
    <row r="224" spans="1:19">
      <c r="A224" s="34" t="s">
        <v>221</v>
      </c>
      <c r="B224" s="2" t="s">
        <v>26</v>
      </c>
      <c r="C224" s="3">
        <v>30</v>
      </c>
      <c r="D224" s="4" t="s">
        <v>20</v>
      </c>
      <c r="F224" s="6">
        <v>1</v>
      </c>
      <c r="G224" s="7" t="s">
        <v>21</v>
      </c>
      <c r="H224" s="6">
        <v>48</v>
      </c>
      <c r="I224" s="7" t="s">
        <v>20</v>
      </c>
      <c r="J224" s="8">
        <f>1104000/48</f>
        <v>23000</v>
      </c>
      <c r="K224" s="4" t="s">
        <v>20</v>
      </c>
      <c r="M224" s="9">
        <v>0.17</v>
      </c>
      <c r="N224" s="3">
        <v>6</v>
      </c>
      <c r="O224" s="7" t="s">
        <v>20</v>
      </c>
      <c r="P224" s="3">
        <f>(C224+(E224*F224*H224))-N224</f>
        <v>24</v>
      </c>
      <c r="Q224" s="7" t="s">
        <v>20</v>
      </c>
      <c r="R224" s="8">
        <f>P224*(J224-(J224*L224)-((J224-(J224*L224))*M224))</f>
        <v>458160</v>
      </c>
      <c r="S224" s="32">
        <f t="shared" si="72"/>
        <v>412756.75675675675</v>
      </c>
    </row>
    <row r="225" spans="1:19">
      <c r="S225" s="23"/>
    </row>
    <row r="226" spans="1:19" ht="15.75">
      <c r="A226" s="14" t="s">
        <v>222</v>
      </c>
      <c r="S226" s="23"/>
    </row>
    <row r="227" spans="1:19">
      <c r="A227" s="15" t="s">
        <v>223</v>
      </c>
      <c r="S227" s="23"/>
    </row>
    <row r="228" spans="1:19" s="17" customFormat="1">
      <c r="A228" s="16" t="s">
        <v>224</v>
      </c>
      <c r="B228" s="17" t="s">
        <v>19</v>
      </c>
      <c r="C228" s="18"/>
      <c r="D228" s="19" t="s">
        <v>20</v>
      </c>
      <c r="E228" s="20"/>
      <c r="F228" s="21">
        <v>1</v>
      </c>
      <c r="G228" s="22" t="s">
        <v>21</v>
      </c>
      <c r="H228" s="21">
        <v>40</v>
      </c>
      <c r="I228" s="22" t="s">
        <v>20</v>
      </c>
      <c r="J228" s="23">
        <v>38500</v>
      </c>
      <c r="K228" s="19" t="s">
        <v>20</v>
      </c>
      <c r="L228" s="24">
        <v>0.125</v>
      </c>
      <c r="M228" s="24">
        <v>0.05</v>
      </c>
      <c r="N228" s="18"/>
      <c r="O228" s="22" t="s">
        <v>20</v>
      </c>
      <c r="P228" s="18">
        <f>(C228+(E228*F228*H228))-N228</f>
        <v>0</v>
      </c>
      <c r="Q228" s="22" t="s">
        <v>20</v>
      </c>
      <c r="R228" s="23">
        <f>P228*(J228-(J228*L228)-((J228-(J228*L228))*M228))</f>
        <v>0</v>
      </c>
      <c r="S228" s="23">
        <f t="shared" si="72"/>
        <v>0</v>
      </c>
    </row>
    <row r="229" spans="1:19">
      <c r="A229" s="15" t="s">
        <v>225</v>
      </c>
      <c r="S229" s="23"/>
    </row>
    <row r="230" spans="1:19" s="26" customFormat="1">
      <c r="A230" s="25" t="s">
        <v>226</v>
      </c>
      <c r="B230" s="26" t="s">
        <v>19</v>
      </c>
      <c r="C230" s="27">
        <v>48</v>
      </c>
      <c r="D230" s="28" t="s">
        <v>20</v>
      </c>
      <c r="E230" s="29"/>
      <c r="F230" s="30">
        <v>1</v>
      </c>
      <c r="G230" s="31" t="s">
        <v>21</v>
      </c>
      <c r="H230" s="30">
        <v>48</v>
      </c>
      <c r="I230" s="31" t="s">
        <v>20</v>
      </c>
      <c r="J230" s="32">
        <v>17000</v>
      </c>
      <c r="K230" s="28" t="s">
        <v>20</v>
      </c>
      <c r="L230" s="33">
        <v>0.125</v>
      </c>
      <c r="M230" s="33">
        <v>0.05</v>
      </c>
      <c r="N230" s="27"/>
      <c r="O230" s="31" t="s">
        <v>20</v>
      </c>
      <c r="P230" s="27">
        <f>(C230+(E230*F230*H230))-N230</f>
        <v>48</v>
      </c>
      <c r="Q230" s="31" t="s">
        <v>20</v>
      </c>
      <c r="R230" s="32">
        <f>P230*(J230-(J230*L230)-((J230-(J230*L230))*M230))</f>
        <v>678300</v>
      </c>
      <c r="S230" s="32">
        <f t="shared" si="72"/>
        <v>611081.08108108107</v>
      </c>
    </row>
    <row r="231" spans="1:19">
      <c r="S231" s="23"/>
    </row>
    <row r="232" spans="1:19" ht="15.75">
      <c r="A232" s="14" t="s">
        <v>227</v>
      </c>
      <c r="S232" s="23"/>
    </row>
    <row r="233" spans="1:19">
      <c r="A233" s="15" t="s">
        <v>228</v>
      </c>
      <c r="S233" s="23"/>
    </row>
    <row r="234" spans="1:19" s="63" customFormat="1">
      <c r="A234" s="72" t="s">
        <v>229</v>
      </c>
      <c r="B234" s="63" t="s">
        <v>26</v>
      </c>
      <c r="C234" s="64"/>
      <c r="D234" s="65" t="s">
        <v>43</v>
      </c>
      <c r="E234" s="66"/>
      <c r="F234" s="67">
        <v>1</v>
      </c>
      <c r="G234" s="68" t="s">
        <v>21</v>
      </c>
      <c r="H234" s="67">
        <v>50</v>
      </c>
      <c r="I234" s="68" t="s">
        <v>43</v>
      </c>
      <c r="J234" s="69">
        <v>33600</v>
      </c>
      <c r="K234" s="65" t="s">
        <v>43</v>
      </c>
      <c r="L234" s="70"/>
      <c r="M234" s="70">
        <v>0.17</v>
      </c>
      <c r="N234" s="64"/>
      <c r="O234" s="68" t="s">
        <v>43</v>
      </c>
      <c r="P234" s="64">
        <f t="shared" ref="P234:P240" si="73">(C234+(E234*F234*H234))-N234</f>
        <v>0</v>
      </c>
      <c r="Q234" s="68" t="s">
        <v>43</v>
      </c>
      <c r="R234" s="69">
        <f t="shared" ref="R234:R240" si="74">P234*(J234-(J234*L234)-((J234-(J234*L234))*M234))</f>
        <v>0</v>
      </c>
      <c r="S234" s="23">
        <f t="shared" si="72"/>
        <v>0</v>
      </c>
    </row>
    <row r="235" spans="1:19" s="85" customFormat="1">
      <c r="A235" s="84" t="s">
        <v>230</v>
      </c>
      <c r="B235" s="85" t="s">
        <v>26</v>
      </c>
      <c r="C235" s="86">
        <v>33</v>
      </c>
      <c r="D235" s="87" t="s">
        <v>43</v>
      </c>
      <c r="E235" s="92"/>
      <c r="F235" s="88">
        <v>1</v>
      </c>
      <c r="G235" s="89" t="s">
        <v>21</v>
      </c>
      <c r="H235" s="88">
        <v>25</v>
      </c>
      <c r="I235" s="89" t="s">
        <v>43</v>
      </c>
      <c r="J235" s="90">
        <f>1860000/25</f>
        <v>74400</v>
      </c>
      <c r="K235" s="87" t="s">
        <v>43</v>
      </c>
      <c r="L235" s="91"/>
      <c r="M235" s="91">
        <v>0.17</v>
      </c>
      <c r="N235" s="86">
        <v>1</v>
      </c>
      <c r="O235" s="89" t="s">
        <v>43</v>
      </c>
      <c r="P235" s="86">
        <f t="shared" si="73"/>
        <v>32</v>
      </c>
      <c r="Q235" s="89" t="s">
        <v>43</v>
      </c>
      <c r="R235" s="90">
        <f t="shared" si="74"/>
        <v>1976064</v>
      </c>
      <c r="S235" s="32">
        <f t="shared" si="72"/>
        <v>1780237.8378378376</v>
      </c>
    </row>
    <row r="236" spans="1:19" s="17" customFormat="1">
      <c r="A236" s="16" t="s">
        <v>231</v>
      </c>
      <c r="B236" s="17" t="s">
        <v>26</v>
      </c>
      <c r="C236" s="18">
        <v>4</v>
      </c>
      <c r="D236" s="19" t="s">
        <v>43</v>
      </c>
      <c r="E236" s="20"/>
      <c r="F236" s="21">
        <v>1</v>
      </c>
      <c r="G236" s="22" t="s">
        <v>21</v>
      </c>
      <c r="H236" s="21">
        <v>10</v>
      </c>
      <c r="I236" s="22" t="s">
        <v>43</v>
      </c>
      <c r="J236" s="23">
        <v>153000</v>
      </c>
      <c r="K236" s="19" t="s">
        <v>43</v>
      </c>
      <c r="L236" s="24"/>
      <c r="M236" s="24">
        <v>0.17</v>
      </c>
      <c r="N236" s="18">
        <f>2+2</f>
        <v>4</v>
      </c>
      <c r="O236" s="22" t="s">
        <v>43</v>
      </c>
      <c r="P236" s="18">
        <f t="shared" si="73"/>
        <v>0</v>
      </c>
      <c r="Q236" s="22" t="s">
        <v>43</v>
      </c>
      <c r="R236" s="23">
        <f t="shared" si="74"/>
        <v>0</v>
      </c>
      <c r="S236" s="23">
        <f t="shared" si="72"/>
        <v>0</v>
      </c>
    </row>
    <row r="237" spans="1:19" s="45" customFormat="1">
      <c r="A237" s="44" t="s">
        <v>232</v>
      </c>
      <c r="B237" s="45" t="s">
        <v>26</v>
      </c>
      <c r="C237" s="46">
        <v>9</v>
      </c>
      <c r="D237" s="47" t="s">
        <v>43</v>
      </c>
      <c r="E237" s="48"/>
      <c r="F237" s="49">
        <v>1</v>
      </c>
      <c r="G237" s="50" t="s">
        <v>21</v>
      </c>
      <c r="H237" s="49">
        <v>10</v>
      </c>
      <c r="I237" s="50" t="s">
        <v>43</v>
      </c>
      <c r="J237" s="51">
        <f>1932000/10</f>
        <v>193200</v>
      </c>
      <c r="K237" s="47" t="s">
        <v>43</v>
      </c>
      <c r="L237" s="52"/>
      <c r="M237" s="52">
        <v>0.17</v>
      </c>
      <c r="N237" s="46">
        <v>2</v>
      </c>
      <c r="O237" s="50" t="s">
        <v>43</v>
      </c>
      <c r="P237" s="46">
        <f t="shared" si="73"/>
        <v>7</v>
      </c>
      <c r="Q237" s="50" t="s">
        <v>43</v>
      </c>
      <c r="R237" s="51">
        <f t="shared" si="74"/>
        <v>1122492</v>
      </c>
      <c r="S237" s="32">
        <f t="shared" si="72"/>
        <v>1011254.054054054</v>
      </c>
    </row>
    <row r="238" spans="1:19" s="45" customFormat="1">
      <c r="A238" s="44" t="s">
        <v>233</v>
      </c>
      <c r="B238" s="45" t="s">
        <v>26</v>
      </c>
      <c r="C238" s="46">
        <v>12</v>
      </c>
      <c r="D238" s="47" t="s">
        <v>43</v>
      </c>
      <c r="E238" s="48"/>
      <c r="F238" s="49">
        <v>1</v>
      </c>
      <c r="G238" s="50" t="s">
        <v>21</v>
      </c>
      <c r="H238" s="49">
        <v>10</v>
      </c>
      <c r="I238" s="50" t="s">
        <v>43</v>
      </c>
      <c r="J238" s="51">
        <f>2208000/10</f>
        <v>220800</v>
      </c>
      <c r="K238" s="47" t="s">
        <v>43</v>
      </c>
      <c r="L238" s="52"/>
      <c r="M238" s="52">
        <v>0.17</v>
      </c>
      <c r="N238" s="46">
        <f>2+2</f>
        <v>4</v>
      </c>
      <c r="O238" s="50" t="s">
        <v>43</v>
      </c>
      <c r="P238" s="46">
        <f t="shared" si="73"/>
        <v>8</v>
      </c>
      <c r="Q238" s="50" t="s">
        <v>43</v>
      </c>
      <c r="R238" s="51">
        <f t="shared" si="74"/>
        <v>1466112</v>
      </c>
      <c r="S238" s="32">
        <f t="shared" si="72"/>
        <v>1320821.6216216215</v>
      </c>
    </row>
    <row r="239" spans="1:19" s="17" customFormat="1">
      <c r="A239" s="95" t="s">
        <v>234</v>
      </c>
      <c r="B239" s="96" t="s">
        <v>26</v>
      </c>
      <c r="C239" s="97">
        <v>12</v>
      </c>
      <c r="D239" s="98" t="s">
        <v>20</v>
      </c>
      <c r="E239" s="105"/>
      <c r="F239" s="100">
        <v>10</v>
      </c>
      <c r="G239" s="101" t="s">
        <v>43</v>
      </c>
      <c r="H239" s="100">
        <v>12</v>
      </c>
      <c r="I239" s="101" t="s">
        <v>20</v>
      </c>
      <c r="J239" s="102">
        <f>4590000/10/12</f>
        <v>38250</v>
      </c>
      <c r="K239" s="98" t="s">
        <v>20</v>
      </c>
      <c r="L239" s="103"/>
      <c r="M239" s="103">
        <v>0.17</v>
      </c>
      <c r="N239" s="97">
        <f>1*12</f>
        <v>12</v>
      </c>
      <c r="O239" s="101" t="s">
        <v>20</v>
      </c>
      <c r="P239" s="97">
        <f t="shared" si="73"/>
        <v>0</v>
      </c>
      <c r="Q239" s="101" t="s">
        <v>20</v>
      </c>
      <c r="R239" s="102">
        <f t="shared" si="74"/>
        <v>0</v>
      </c>
      <c r="S239" s="102">
        <f t="shared" si="72"/>
        <v>0</v>
      </c>
    </row>
    <row r="240" spans="1:19" s="26" customFormat="1">
      <c r="A240" s="35" t="s">
        <v>234</v>
      </c>
      <c r="B240" s="36" t="s">
        <v>26</v>
      </c>
      <c r="C240" s="37">
        <v>120</v>
      </c>
      <c r="D240" s="38" t="s">
        <v>20</v>
      </c>
      <c r="E240" s="39"/>
      <c r="F240" s="40">
        <v>10</v>
      </c>
      <c r="G240" s="41" t="s">
        <v>43</v>
      </c>
      <c r="H240" s="40">
        <v>12</v>
      </c>
      <c r="I240" s="41" t="s">
        <v>20</v>
      </c>
      <c r="J240" s="42">
        <f>4920000/10/12</f>
        <v>41000</v>
      </c>
      <c r="K240" s="38" t="s">
        <v>20</v>
      </c>
      <c r="L240" s="43"/>
      <c r="M240" s="43">
        <v>0.17</v>
      </c>
      <c r="N240" s="37">
        <f>(3*12)</f>
        <v>36</v>
      </c>
      <c r="O240" s="41" t="s">
        <v>20</v>
      </c>
      <c r="P240" s="37">
        <f t="shared" si="73"/>
        <v>84</v>
      </c>
      <c r="Q240" s="41" t="s">
        <v>20</v>
      </c>
      <c r="R240" s="42">
        <f t="shared" si="74"/>
        <v>2858520</v>
      </c>
      <c r="S240" s="42">
        <f t="shared" si="72"/>
        <v>2575243.2432432431</v>
      </c>
    </row>
    <row r="241" spans="1:19">
      <c r="A241" s="15" t="s">
        <v>739</v>
      </c>
      <c r="S241" s="23"/>
    </row>
    <row r="242" spans="1:19" s="45" customFormat="1">
      <c r="A242" s="44" t="s">
        <v>740</v>
      </c>
      <c r="B242" s="45" t="s">
        <v>182</v>
      </c>
      <c r="C242" s="46"/>
      <c r="D242" s="47" t="s">
        <v>20</v>
      </c>
      <c r="E242" s="48">
        <v>10</v>
      </c>
      <c r="F242" s="49">
        <v>20</v>
      </c>
      <c r="G242" s="50" t="s">
        <v>34</v>
      </c>
      <c r="H242" s="49">
        <v>48</v>
      </c>
      <c r="I242" s="50" t="s">
        <v>20</v>
      </c>
      <c r="J242" s="51">
        <v>1400</v>
      </c>
      <c r="K242" s="47" t="s">
        <v>20</v>
      </c>
      <c r="L242" s="52">
        <v>0.05</v>
      </c>
      <c r="M242" s="52"/>
      <c r="N242" s="46"/>
      <c r="O242" s="50" t="s">
        <v>20</v>
      </c>
      <c r="P242" s="46">
        <f t="shared" ref="P242" si="75">(C242+(E242*F242*H242))-N242</f>
        <v>9600</v>
      </c>
      <c r="Q242" s="50" t="s">
        <v>20</v>
      </c>
      <c r="R242" s="51">
        <f t="shared" ref="R242" si="76">P242*(J242-(J242*L242)-((J242-(J242*L242))*M242))</f>
        <v>12768000</v>
      </c>
      <c r="S242" s="32">
        <f t="shared" ref="S242" si="77">R242/1.11</f>
        <v>11502702.702702701</v>
      </c>
    </row>
    <row r="243" spans="1:19" ht="15.75">
      <c r="A243" s="106"/>
      <c r="S243" s="23"/>
    </row>
    <row r="244" spans="1:19" ht="15.75">
      <c r="A244" s="14" t="s">
        <v>235</v>
      </c>
      <c r="S244" s="23"/>
    </row>
    <row r="245" spans="1:19" s="17" customFormat="1">
      <c r="A245" s="16" t="s">
        <v>236</v>
      </c>
      <c r="B245" s="17" t="s">
        <v>19</v>
      </c>
      <c r="C245" s="18"/>
      <c r="D245" s="19" t="s">
        <v>20</v>
      </c>
      <c r="E245" s="20"/>
      <c r="F245" s="21">
        <v>12</v>
      </c>
      <c r="G245" s="22" t="s">
        <v>34</v>
      </c>
      <c r="H245" s="21">
        <v>12</v>
      </c>
      <c r="I245" s="22" t="s">
        <v>20</v>
      </c>
      <c r="J245" s="23">
        <f>52500/12</f>
        <v>4375</v>
      </c>
      <c r="K245" s="19" t="s">
        <v>20</v>
      </c>
      <c r="L245" s="24">
        <v>0.125</v>
      </c>
      <c r="M245" s="24">
        <v>0.05</v>
      </c>
      <c r="N245" s="18"/>
      <c r="O245" s="22" t="s">
        <v>20</v>
      </c>
      <c r="P245" s="18">
        <f>(C245+(E245*F245*H245))-N245</f>
        <v>0</v>
      </c>
      <c r="Q245" s="22" t="s">
        <v>20</v>
      </c>
      <c r="R245" s="23">
        <f>P245*(J245-(J245*L245)-((J245-(J245*L245))*M245))</f>
        <v>0</v>
      </c>
      <c r="S245" s="23">
        <f t="shared" ref="S245" si="78">R245/1.11</f>
        <v>0</v>
      </c>
    </row>
    <row r="246" spans="1:19" s="26" customFormat="1">
      <c r="A246" s="25" t="s">
        <v>237</v>
      </c>
      <c r="B246" s="26" t="s">
        <v>19</v>
      </c>
      <c r="C246" s="27">
        <v>144</v>
      </c>
      <c r="D246" s="28" t="s">
        <v>20</v>
      </c>
      <c r="E246" s="29"/>
      <c r="F246" s="30">
        <v>12</v>
      </c>
      <c r="G246" s="31" t="s">
        <v>34</v>
      </c>
      <c r="H246" s="30">
        <v>12</v>
      </c>
      <c r="I246" s="31" t="s">
        <v>20</v>
      </c>
      <c r="J246" s="32">
        <v>20500</v>
      </c>
      <c r="K246" s="28" t="s">
        <v>20</v>
      </c>
      <c r="L246" s="33">
        <v>0.125</v>
      </c>
      <c r="M246" s="33">
        <v>0.05</v>
      </c>
      <c r="N246" s="27"/>
      <c r="O246" s="31" t="s">
        <v>20</v>
      </c>
      <c r="P246" s="27">
        <f>(C246+(E246*F246*H246))-N246</f>
        <v>144</v>
      </c>
      <c r="Q246" s="31" t="s">
        <v>20</v>
      </c>
      <c r="R246" s="32">
        <f>P246*(J246-(J246*L246)-((J246-(J246*L246))*M246))</f>
        <v>2453850</v>
      </c>
      <c r="S246" s="32">
        <f t="shared" si="72"/>
        <v>2210675.6756756753</v>
      </c>
    </row>
    <row r="247" spans="1:19" s="26" customFormat="1">
      <c r="A247" s="25" t="s">
        <v>238</v>
      </c>
      <c r="B247" s="26" t="s">
        <v>19</v>
      </c>
      <c r="C247" s="27">
        <v>144</v>
      </c>
      <c r="D247" s="28" t="s">
        <v>20</v>
      </c>
      <c r="E247" s="29"/>
      <c r="F247" s="30">
        <v>12</v>
      </c>
      <c r="G247" s="31" t="s">
        <v>34</v>
      </c>
      <c r="H247" s="30">
        <v>12</v>
      </c>
      <c r="I247" s="31" t="s">
        <v>20</v>
      </c>
      <c r="J247" s="32">
        <v>22000</v>
      </c>
      <c r="K247" s="28" t="s">
        <v>20</v>
      </c>
      <c r="L247" s="33">
        <v>0.125</v>
      </c>
      <c r="M247" s="33">
        <v>0.05</v>
      </c>
      <c r="N247" s="27"/>
      <c r="O247" s="31" t="s">
        <v>20</v>
      </c>
      <c r="P247" s="27">
        <f>(C247+(E247*F247*H247))-N247</f>
        <v>144</v>
      </c>
      <c r="Q247" s="31" t="s">
        <v>20</v>
      </c>
      <c r="R247" s="32">
        <f>P247*(J247-(J247*L247)-((J247-(J247*L247))*M247))</f>
        <v>2633400</v>
      </c>
      <c r="S247" s="32">
        <f t="shared" si="72"/>
        <v>2372432.4324324322</v>
      </c>
    </row>
    <row r="248" spans="1:19" s="45" customFormat="1">
      <c r="A248" s="44" t="s">
        <v>239</v>
      </c>
      <c r="B248" s="45" t="s">
        <v>19</v>
      </c>
      <c r="C248" s="46">
        <v>576</v>
      </c>
      <c r="D248" s="47" t="s">
        <v>20</v>
      </c>
      <c r="E248" s="48">
        <f>2+2</f>
        <v>4</v>
      </c>
      <c r="F248" s="49">
        <v>12</v>
      </c>
      <c r="G248" s="50" t="s">
        <v>34</v>
      </c>
      <c r="H248" s="49">
        <v>12</v>
      </c>
      <c r="I248" s="50" t="s">
        <v>20</v>
      </c>
      <c r="J248" s="51">
        <v>4100</v>
      </c>
      <c r="K248" s="47" t="s">
        <v>20</v>
      </c>
      <c r="L248" s="52">
        <v>0.125</v>
      </c>
      <c r="M248" s="52">
        <v>0.05</v>
      </c>
      <c r="N248" s="46">
        <f>288+288</f>
        <v>576</v>
      </c>
      <c r="O248" s="50" t="s">
        <v>20</v>
      </c>
      <c r="P248" s="46">
        <f>(C248+(E248*F248*H248))-N248</f>
        <v>576</v>
      </c>
      <c r="Q248" s="50" t="s">
        <v>20</v>
      </c>
      <c r="R248" s="51">
        <f>P248*(J248-(J248*L248)-((J248-(J248*L248))*M248))</f>
        <v>1963080</v>
      </c>
      <c r="S248" s="51">
        <f t="shared" si="72"/>
        <v>1768540.5405405404</v>
      </c>
    </row>
    <row r="249" spans="1:19" s="45" customFormat="1">
      <c r="A249" s="44" t="s">
        <v>240</v>
      </c>
      <c r="B249" s="45" t="s">
        <v>19</v>
      </c>
      <c r="C249" s="46">
        <v>576</v>
      </c>
      <c r="D249" s="47" t="s">
        <v>20</v>
      </c>
      <c r="E249" s="48">
        <v>2</v>
      </c>
      <c r="F249" s="49">
        <v>12</v>
      </c>
      <c r="G249" s="50" t="s">
        <v>34</v>
      </c>
      <c r="H249" s="49">
        <v>12</v>
      </c>
      <c r="I249" s="50" t="s">
        <v>20</v>
      </c>
      <c r="J249" s="51">
        <v>6300</v>
      </c>
      <c r="K249" s="47" t="s">
        <v>20</v>
      </c>
      <c r="L249" s="52">
        <v>0.125</v>
      </c>
      <c r="M249" s="52">
        <v>0.05</v>
      </c>
      <c r="N249" s="46">
        <v>288</v>
      </c>
      <c r="O249" s="50" t="s">
        <v>20</v>
      </c>
      <c r="P249" s="46">
        <f t="shared" ref="P249:P256" si="79">(C249+(E249*F249*H249))-N249</f>
        <v>576</v>
      </c>
      <c r="Q249" s="50" t="s">
        <v>20</v>
      </c>
      <c r="R249" s="51">
        <f t="shared" ref="R249:R256" si="80">P249*(J249-(J249*L249)-((J249-(J249*L249))*M249))</f>
        <v>3016440</v>
      </c>
      <c r="S249" s="51">
        <f t="shared" si="72"/>
        <v>2717513.5135135134</v>
      </c>
    </row>
    <row r="250" spans="1:19" s="45" customFormat="1">
      <c r="A250" s="44" t="s">
        <v>241</v>
      </c>
      <c r="B250" s="45" t="s">
        <v>19</v>
      </c>
      <c r="C250" s="46">
        <v>576</v>
      </c>
      <c r="D250" s="47" t="s">
        <v>20</v>
      </c>
      <c r="E250" s="48">
        <f>1+1</f>
        <v>2</v>
      </c>
      <c r="F250" s="49">
        <v>12</v>
      </c>
      <c r="G250" s="50" t="s">
        <v>34</v>
      </c>
      <c r="H250" s="49">
        <v>12</v>
      </c>
      <c r="I250" s="50" t="s">
        <v>20</v>
      </c>
      <c r="J250" s="51">
        <v>9500</v>
      </c>
      <c r="K250" s="47" t="s">
        <v>20</v>
      </c>
      <c r="L250" s="52">
        <v>0.125</v>
      </c>
      <c r="M250" s="52">
        <v>0.05</v>
      </c>
      <c r="N250" s="46">
        <f>288+288+144</f>
        <v>720</v>
      </c>
      <c r="O250" s="50" t="s">
        <v>20</v>
      </c>
      <c r="P250" s="46">
        <f t="shared" si="79"/>
        <v>144</v>
      </c>
      <c r="Q250" s="50" t="s">
        <v>20</v>
      </c>
      <c r="R250" s="51">
        <f t="shared" si="80"/>
        <v>1137150</v>
      </c>
      <c r="S250" s="32">
        <f t="shared" si="72"/>
        <v>1024459.4594594594</v>
      </c>
    </row>
    <row r="251" spans="1:19" s="63" customFormat="1">
      <c r="A251" s="72" t="s">
        <v>242</v>
      </c>
      <c r="B251" s="63" t="s">
        <v>19</v>
      </c>
      <c r="C251" s="64"/>
      <c r="D251" s="65" t="s">
        <v>20</v>
      </c>
      <c r="E251" s="66"/>
      <c r="F251" s="67">
        <v>6</v>
      </c>
      <c r="G251" s="68" t="s">
        <v>34</v>
      </c>
      <c r="H251" s="67">
        <v>12</v>
      </c>
      <c r="I251" s="68" t="s">
        <v>20</v>
      </c>
      <c r="J251" s="69">
        <v>19200</v>
      </c>
      <c r="K251" s="65" t="s">
        <v>20</v>
      </c>
      <c r="L251" s="70">
        <v>0.125</v>
      </c>
      <c r="M251" s="70">
        <v>0.05</v>
      </c>
      <c r="N251" s="64"/>
      <c r="O251" s="68" t="s">
        <v>20</v>
      </c>
      <c r="P251" s="64">
        <f t="shared" si="79"/>
        <v>0</v>
      </c>
      <c r="Q251" s="68" t="s">
        <v>20</v>
      </c>
      <c r="R251" s="69">
        <f t="shared" si="80"/>
        <v>0</v>
      </c>
      <c r="S251" s="23">
        <f t="shared" si="72"/>
        <v>0</v>
      </c>
    </row>
    <row r="252" spans="1:19" s="17" customFormat="1">
      <c r="A252" s="16" t="s">
        <v>243</v>
      </c>
      <c r="B252" s="17" t="s">
        <v>19</v>
      </c>
      <c r="C252" s="18"/>
      <c r="D252" s="19" t="s">
        <v>20</v>
      </c>
      <c r="E252" s="20"/>
      <c r="F252" s="21">
        <v>12</v>
      </c>
      <c r="G252" s="22" t="s">
        <v>34</v>
      </c>
      <c r="H252" s="21">
        <v>12</v>
      </c>
      <c r="I252" s="22" t="s">
        <v>20</v>
      </c>
      <c r="J252" s="23">
        <v>5900</v>
      </c>
      <c r="K252" s="19" t="s">
        <v>20</v>
      </c>
      <c r="L252" s="24">
        <v>0.125</v>
      </c>
      <c r="M252" s="24">
        <v>0.05</v>
      </c>
      <c r="N252" s="18"/>
      <c r="O252" s="22" t="s">
        <v>20</v>
      </c>
      <c r="P252" s="18">
        <f t="shared" si="79"/>
        <v>0</v>
      </c>
      <c r="Q252" s="22" t="s">
        <v>20</v>
      </c>
      <c r="R252" s="23">
        <f t="shared" si="80"/>
        <v>0</v>
      </c>
      <c r="S252" s="23">
        <f t="shared" si="72"/>
        <v>0</v>
      </c>
    </row>
    <row r="253" spans="1:19" s="17" customFormat="1">
      <c r="A253" s="16" t="s">
        <v>244</v>
      </c>
      <c r="B253" s="17" t="s">
        <v>19</v>
      </c>
      <c r="C253" s="18">
        <v>144</v>
      </c>
      <c r="D253" s="19" t="s">
        <v>20</v>
      </c>
      <c r="E253" s="20"/>
      <c r="F253" s="21">
        <v>12</v>
      </c>
      <c r="G253" s="22" t="s">
        <v>34</v>
      </c>
      <c r="H253" s="21">
        <v>12</v>
      </c>
      <c r="I253" s="22" t="s">
        <v>20</v>
      </c>
      <c r="J253" s="23">
        <v>7150</v>
      </c>
      <c r="K253" s="19" t="s">
        <v>20</v>
      </c>
      <c r="L253" s="24">
        <v>0.125</v>
      </c>
      <c r="M253" s="24">
        <v>0.05</v>
      </c>
      <c r="N253" s="18">
        <f>(12*12)</f>
        <v>144</v>
      </c>
      <c r="O253" s="22" t="s">
        <v>20</v>
      </c>
      <c r="P253" s="18">
        <f t="shared" si="79"/>
        <v>0</v>
      </c>
      <c r="Q253" s="22" t="s">
        <v>20</v>
      </c>
      <c r="R253" s="23">
        <f t="shared" si="80"/>
        <v>0</v>
      </c>
      <c r="S253" s="23">
        <f t="shared" si="72"/>
        <v>0</v>
      </c>
    </row>
    <row r="254" spans="1:19" s="63" customFormat="1" ht="15">
      <c r="A254" s="72" t="s">
        <v>245</v>
      </c>
      <c r="B254" s="63" t="s">
        <v>19</v>
      </c>
      <c r="C254" s="207">
        <v>144</v>
      </c>
      <c r="D254" s="65" t="s">
        <v>20</v>
      </c>
      <c r="E254" s="66"/>
      <c r="F254" s="67">
        <v>12</v>
      </c>
      <c r="G254" s="68" t="s">
        <v>34</v>
      </c>
      <c r="H254" s="67">
        <v>12</v>
      </c>
      <c r="I254" s="68" t="s">
        <v>20</v>
      </c>
      <c r="J254" s="69">
        <v>11200</v>
      </c>
      <c r="K254" s="65" t="s">
        <v>20</v>
      </c>
      <c r="L254" s="70">
        <v>0.125</v>
      </c>
      <c r="M254" s="70">
        <v>0.05</v>
      </c>
      <c r="N254" s="64">
        <f>(12*12)</f>
        <v>144</v>
      </c>
      <c r="O254" s="68" t="s">
        <v>20</v>
      </c>
      <c r="P254" s="64">
        <f t="shared" si="79"/>
        <v>0</v>
      </c>
      <c r="Q254" s="68" t="s">
        <v>20</v>
      </c>
      <c r="R254" s="69">
        <f t="shared" si="80"/>
        <v>0</v>
      </c>
      <c r="S254" s="69">
        <f t="shared" si="72"/>
        <v>0</v>
      </c>
    </row>
    <row r="255" spans="1:19" s="17" customFormat="1">
      <c r="A255" s="16" t="s">
        <v>246</v>
      </c>
      <c r="B255" s="17" t="s">
        <v>19</v>
      </c>
      <c r="C255" s="18"/>
      <c r="D255" s="19" t="s">
        <v>20</v>
      </c>
      <c r="E255" s="20"/>
      <c r="F255" s="21">
        <v>12</v>
      </c>
      <c r="G255" s="22" t="s">
        <v>34</v>
      </c>
      <c r="H255" s="21">
        <v>12</v>
      </c>
      <c r="I255" s="22" t="s">
        <v>20</v>
      </c>
      <c r="J255" s="23">
        <v>7600</v>
      </c>
      <c r="K255" s="19" t="s">
        <v>20</v>
      </c>
      <c r="L255" s="24">
        <v>0.125</v>
      </c>
      <c r="M255" s="24">
        <v>0.05</v>
      </c>
      <c r="N255" s="18"/>
      <c r="O255" s="22" t="s">
        <v>20</v>
      </c>
      <c r="P255" s="18">
        <f t="shared" si="79"/>
        <v>0</v>
      </c>
      <c r="Q255" s="22" t="s">
        <v>20</v>
      </c>
      <c r="R255" s="23">
        <f t="shared" si="80"/>
        <v>0</v>
      </c>
      <c r="S255" s="23">
        <f t="shared" si="72"/>
        <v>0</v>
      </c>
    </row>
    <row r="256" spans="1:19" s="17" customFormat="1">
      <c r="A256" s="16" t="s">
        <v>247</v>
      </c>
      <c r="B256" s="17" t="s">
        <v>19</v>
      </c>
      <c r="C256" s="18"/>
      <c r="D256" s="19" t="s">
        <v>20</v>
      </c>
      <c r="E256" s="20"/>
      <c r="F256" s="21">
        <v>8</v>
      </c>
      <c r="G256" s="22" t="s">
        <v>34</v>
      </c>
      <c r="H256" s="21">
        <v>6</v>
      </c>
      <c r="I256" s="22" t="s">
        <v>20</v>
      </c>
      <c r="J256" s="23">
        <v>65000</v>
      </c>
      <c r="K256" s="19" t="s">
        <v>20</v>
      </c>
      <c r="L256" s="24">
        <v>0.125</v>
      </c>
      <c r="M256" s="24">
        <v>0.05</v>
      </c>
      <c r="N256" s="18"/>
      <c r="O256" s="22" t="s">
        <v>20</v>
      </c>
      <c r="P256" s="18">
        <f t="shared" si="79"/>
        <v>0</v>
      </c>
      <c r="Q256" s="22" t="s">
        <v>20</v>
      </c>
      <c r="R256" s="23">
        <f t="shared" si="80"/>
        <v>0</v>
      </c>
      <c r="S256" s="23">
        <f t="shared" si="72"/>
        <v>0</v>
      </c>
    </row>
    <row r="257" spans="1:19" s="45" customFormat="1">
      <c r="A257" s="44" t="s">
        <v>248</v>
      </c>
      <c r="B257" s="45" t="s">
        <v>26</v>
      </c>
      <c r="C257" s="46">
        <v>31</v>
      </c>
      <c r="D257" s="47" t="s">
        <v>43</v>
      </c>
      <c r="E257" s="48">
        <v>1</v>
      </c>
      <c r="F257" s="49">
        <v>1</v>
      </c>
      <c r="G257" s="50" t="s">
        <v>21</v>
      </c>
      <c r="H257" s="49">
        <v>25</v>
      </c>
      <c r="I257" s="50" t="s">
        <v>43</v>
      </c>
      <c r="J257" s="51">
        <f>1245000/25</f>
        <v>49800</v>
      </c>
      <c r="K257" s="47" t="s">
        <v>43</v>
      </c>
      <c r="L257" s="52"/>
      <c r="M257" s="52">
        <v>0.17</v>
      </c>
      <c r="N257" s="46">
        <v>9</v>
      </c>
      <c r="O257" s="50" t="s">
        <v>43</v>
      </c>
      <c r="P257" s="46">
        <f>(C257+(E257*F257*H257))-N257</f>
        <v>47</v>
      </c>
      <c r="Q257" s="50" t="s">
        <v>43</v>
      </c>
      <c r="R257" s="51">
        <f>P257*(J257-(J257*L257)-((J257-(J257*L257))*M257))</f>
        <v>1942698</v>
      </c>
      <c r="S257" s="51">
        <f t="shared" si="72"/>
        <v>1750178.3783783782</v>
      </c>
    </row>
    <row r="258" spans="1:19" s="45" customFormat="1">
      <c r="A258" s="44" t="s">
        <v>249</v>
      </c>
      <c r="B258" s="45" t="s">
        <v>26</v>
      </c>
      <c r="C258" s="46">
        <v>260</v>
      </c>
      <c r="D258" s="47" t="s">
        <v>43</v>
      </c>
      <c r="E258" s="48"/>
      <c r="F258" s="49">
        <v>1</v>
      </c>
      <c r="G258" s="50" t="s">
        <v>21</v>
      </c>
      <c r="H258" s="49">
        <v>25</v>
      </c>
      <c r="I258" s="50" t="s">
        <v>43</v>
      </c>
      <c r="J258" s="51">
        <f>1890000/25</f>
        <v>75600</v>
      </c>
      <c r="K258" s="47" t="s">
        <v>43</v>
      </c>
      <c r="L258" s="52"/>
      <c r="M258" s="52">
        <v>0.17</v>
      </c>
      <c r="N258" s="46">
        <f>2+25+3+25+1</f>
        <v>56</v>
      </c>
      <c r="O258" s="50" t="s">
        <v>43</v>
      </c>
      <c r="P258" s="46">
        <f t="shared" ref="P258" si="81">(C258+(E258*F258*H258))-N258</f>
        <v>204</v>
      </c>
      <c r="Q258" s="50" t="s">
        <v>43</v>
      </c>
      <c r="R258" s="51">
        <f t="shared" ref="R258" si="82">P258*(J258-(J258*L258)-((J258-(J258*L258))*M258))</f>
        <v>12800592</v>
      </c>
      <c r="S258" s="51">
        <f t="shared" si="72"/>
        <v>11532064.864864863</v>
      </c>
    </row>
    <row r="259" spans="1:19" s="45" customFormat="1">
      <c r="A259" s="44" t="s">
        <v>250</v>
      </c>
      <c r="B259" s="45" t="s">
        <v>26</v>
      </c>
      <c r="C259" s="46">
        <v>56</v>
      </c>
      <c r="D259" s="47" t="s">
        <v>43</v>
      </c>
      <c r="E259" s="48">
        <v>5</v>
      </c>
      <c r="F259" s="49">
        <v>1</v>
      </c>
      <c r="G259" s="50" t="s">
        <v>21</v>
      </c>
      <c r="H259" s="49">
        <v>10</v>
      </c>
      <c r="I259" s="50" t="s">
        <v>43</v>
      </c>
      <c r="J259" s="51">
        <f>1122000/10</f>
        <v>112200</v>
      </c>
      <c r="K259" s="47" t="s">
        <v>43</v>
      </c>
      <c r="L259" s="52"/>
      <c r="M259" s="52">
        <v>0.17</v>
      </c>
      <c r="N259" s="46">
        <f>6+1+3+20+1+20+5</f>
        <v>56</v>
      </c>
      <c r="O259" s="50" t="s">
        <v>43</v>
      </c>
      <c r="P259" s="46">
        <f>(C259+(E259*F259*H259))-N259</f>
        <v>50</v>
      </c>
      <c r="Q259" s="50" t="s">
        <v>43</v>
      </c>
      <c r="R259" s="51">
        <f>P259*(J259-(J259*L259)-((J259-(J259*L259))*M259))</f>
        <v>4656300</v>
      </c>
      <c r="S259" s="51">
        <f t="shared" si="72"/>
        <v>4194864.8648648644</v>
      </c>
    </row>
    <row r="260" spans="1:19" s="63" customFormat="1">
      <c r="A260" s="72" t="s">
        <v>251</v>
      </c>
      <c r="B260" s="63" t="s">
        <v>26</v>
      </c>
      <c r="C260" s="64"/>
      <c r="D260" s="65" t="s">
        <v>43</v>
      </c>
      <c r="E260" s="66"/>
      <c r="F260" s="67">
        <v>1</v>
      </c>
      <c r="G260" s="68" t="s">
        <v>21</v>
      </c>
      <c r="H260" s="67">
        <v>10</v>
      </c>
      <c r="I260" s="68" t="s">
        <v>43</v>
      </c>
      <c r="J260" s="69">
        <f>1260000/10</f>
        <v>126000</v>
      </c>
      <c r="K260" s="65" t="s">
        <v>43</v>
      </c>
      <c r="L260" s="70"/>
      <c r="M260" s="70">
        <v>0.17</v>
      </c>
      <c r="N260" s="64"/>
      <c r="O260" s="68" t="s">
        <v>43</v>
      </c>
      <c r="P260" s="64">
        <f>(C260+(E260*F260*H260))-N260</f>
        <v>0</v>
      </c>
      <c r="Q260" s="68" t="s">
        <v>43</v>
      </c>
      <c r="R260" s="69">
        <f>P260*(J260-(J260*L260)-((J260-(J260*L260))*M260))</f>
        <v>0</v>
      </c>
      <c r="S260" s="69">
        <f t="shared" si="72"/>
        <v>0</v>
      </c>
    </row>
    <row r="261" spans="1:19">
      <c r="S261" s="23"/>
    </row>
    <row r="262" spans="1:19" ht="15.75">
      <c r="A262" s="14" t="s">
        <v>252</v>
      </c>
      <c r="S262" s="23"/>
    </row>
    <row r="263" spans="1:19" s="26" customFormat="1">
      <c r="A263" s="107" t="s">
        <v>253</v>
      </c>
      <c r="B263" s="26" t="s">
        <v>26</v>
      </c>
      <c r="C263" s="27">
        <v>18</v>
      </c>
      <c r="D263" s="28" t="s">
        <v>20</v>
      </c>
      <c r="E263" s="29">
        <v>1</v>
      </c>
      <c r="F263" s="30">
        <v>20</v>
      </c>
      <c r="G263" s="31" t="s">
        <v>34</v>
      </c>
      <c r="H263" s="30">
        <v>10</v>
      </c>
      <c r="I263" s="31" t="s">
        <v>20</v>
      </c>
      <c r="J263" s="32">
        <f>3800000/20/10</f>
        <v>19000</v>
      </c>
      <c r="K263" s="28" t="s">
        <v>20</v>
      </c>
      <c r="L263" s="33"/>
      <c r="M263" s="33">
        <v>0.17</v>
      </c>
      <c r="N263" s="27">
        <f>20+20</f>
        <v>40</v>
      </c>
      <c r="O263" s="31" t="s">
        <v>20</v>
      </c>
      <c r="P263" s="27">
        <f>(C263+(E263*F263*H263))-N263</f>
        <v>178</v>
      </c>
      <c r="Q263" s="31" t="s">
        <v>20</v>
      </c>
      <c r="R263" s="32">
        <f>P263*(J263-(J263*L263)-((J263-(J263*L263))*M263))</f>
        <v>2807060</v>
      </c>
      <c r="S263" s="32">
        <f t="shared" si="72"/>
        <v>2528882.8828828828</v>
      </c>
    </row>
    <row r="264" spans="1:19" s="26" customFormat="1">
      <c r="A264" s="107" t="s">
        <v>254</v>
      </c>
      <c r="B264" s="26" t="s">
        <v>26</v>
      </c>
      <c r="C264" s="27">
        <v>144</v>
      </c>
      <c r="D264" s="28" t="s">
        <v>20</v>
      </c>
      <c r="E264" s="29"/>
      <c r="F264" s="30">
        <v>20</v>
      </c>
      <c r="G264" s="31" t="s">
        <v>34</v>
      </c>
      <c r="H264" s="30">
        <v>12</v>
      </c>
      <c r="I264" s="31" t="s">
        <v>20</v>
      </c>
      <c r="J264" s="32">
        <f>3000000/20/12</f>
        <v>12500</v>
      </c>
      <c r="K264" s="28" t="s">
        <v>20</v>
      </c>
      <c r="L264" s="33"/>
      <c r="M264" s="33">
        <v>0.17</v>
      </c>
      <c r="N264" s="27">
        <f>(1*12)+24</f>
        <v>36</v>
      </c>
      <c r="O264" s="31" t="s">
        <v>20</v>
      </c>
      <c r="P264" s="27">
        <f>(C264+(E264*F264*H264))-N264</f>
        <v>108</v>
      </c>
      <c r="Q264" s="31" t="s">
        <v>20</v>
      </c>
      <c r="R264" s="32">
        <f>P264*(J264-(J264*L264)-((J264-(J264*L264))*M264))</f>
        <v>1120500</v>
      </c>
      <c r="S264" s="32">
        <f t="shared" si="72"/>
        <v>1009459.4594594594</v>
      </c>
    </row>
    <row r="265" spans="1:19">
      <c r="S265" s="23"/>
    </row>
    <row r="266" spans="1:19" ht="15.75">
      <c r="A266" s="14" t="s">
        <v>255</v>
      </c>
      <c r="S266" s="23"/>
    </row>
    <row r="267" spans="1:19" s="17" customFormat="1">
      <c r="A267" s="16" t="s">
        <v>256</v>
      </c>
      <c r="B267" s="17" t="s">
        <v>19</v>
      </c>
      <c r="C267" s="18"/>
      <c r="D267" s="19" t="s">
        <v>43</v>
      </c>
      <c r="E267" s="20"/>
      <c r="F267" s="21">
        <v>1</v>
      </c>
      <c r="G267" s="22" t="s">
        <v>21</v>
      </c>
      <c r="H267" s="21">
        <v>24</v>
      </c>
      <c r="I267" s="22" t="s">
        <v>43</v>
      </c>
      <c r="J267" s="23">
        <v>88200</v>
      </c>
      <c r="K267" s="19" t="s">
        <v>43</v>
      </c>
      <c r="L267" s="24">
        <v>0.125</v>
      </c>
      <c r="M267" s="24">
        <v>0.05</v>
      </c>
      <c r="N267" s="18"/>
      <c r="O267" s="22" t="s">
        <v>43</v>
      </c>
      <c r="P267" s="18">
        <f t="shared" ref="P267:P278" si="83">(C267+(E267*F267*H267))-N267</f>
        <v>0</v>
      </c>
      <c r="Q267" s="22" t="s">
        <v>43</v>
      </c>
      <c r="R267" s="23">
        <f t="shared" ref="R267:R278" si="84">P267*(J267-(J267*L267)-((J267-(J267*L267))*M267))</f>
        <v>0</v>
      </c>
      <c r="S267" s="23">
        <f t="shared" si="72"/>
        <v>0</v>
      </c>
    </row>
    <row r="268" spans="1:19" s="26" customFormat="1">
      <c r="A268" s="25" t="s">
        <v>728</v>
      </c>
      <c r="B268" s="26" t="s">
        <v>19</v>
      </c>
      <c r="C268" s="27"/>
      <c r="D268" s="28" t="s">
        <v>43</v>
      </c>
      <c r="E268" s="29">
        <f>1+1</f>
        <v>2</v>
      </c>
      <c r="F268" s="30">
        <v>1</v>
      </c>
      <c r="G268" s="31" t="s">
        <v>21</v>
      </c>
      <c r="H268" s="30">
        <v>24</v>
      </c>
      <c r="I268" s="31" t="s">
        <v>43</v>
      </c>
      <c r="J268" s="32">
        <v>114000</v>
      </c>
      <c r="K268" s="28" t="s">
        <v>43</v>
      </c>
      <c r="L268" s="33">
        <v>0.125</v>
      </c>
      <c r="M268" s="33">
        <v>0.05</v>
      </c>
      <c r="N268" s="27">
        <v>24</v>
      </c>
      <c r="O268" s="31" t="s">
        <v>43</v>
      </c>
      <c r="P268" s="27">
        <f t="shared" ref="P268" si="85">(C268+(E268*F268*H268))-N268</f>
        <v>24</v>
      </c>
      <c r="Q268" s="31" t="s">
        <v>43</v>
      </c>
      <c r="R268" s="32">
        <f t="shared" ref="R268" si="86">P268*(J268-(J268*L268)-((J268-(J268*L268))*M268))</f>
        <v>2274300</v>
      </c>
      <c r="S268" s="32">
        <f t="shared" ref="S268" si="87">R268/1.11</f>
        <v>2048918.9189189188</v>
      </c>
    </row>
    <row r="269" spans="1:19" s="26" customFormat="1">
      <c r="A269" s="25" t="s">
        <v>257</v>
      </c>
      <c r="B269" s="26" t="s">
        <v>19</v>
      </c>
      <c r="C269" s="27">
        <v>4</v>
      </c>
      <c r="D269" s="28" t="s">
        <v>43</v>
      </c>
      <c r="E269" s="29">
        <f>2+1</f>
        <v>3</v>
      </c>
      <c r="F269" s="30">
        <v>1</v>
      </c>
      <c r="G269" s="31" t="s">
        <v>21</v>
      </c>
      <c r="H269" s="30">
        <v>24</v>
      </c>
      <c r="I269" s="31" t="s">
        <v>43</v>
      </c>
      <c r="J269" s="32">
        <v>88200</v>
      </c>
      <c r="K269" s="28" t="s">
        <v>43</v>
      </c>
      <c r="L269" s="33">
        <v>0.125</v>
      </c>
      <c r="M269" s="33">
        <v>0.05</v>
      </c>
      <c r="N269" s="27">
        <f>48+24</f>
        <v>72</v>
      </c>
      <c r="O269" s="31" t="s">
        <v>43</v>
      </c>
      <c r="P269" s="27">
        <f t="shared" si="83"/>
        <v>4</v>
      </c>
      <c r="Q269" s="31" t="s">
        <v>43</v>
      </c>
      <c r="R269" s="32">
        <f t="shared" si="84"/>
        <v>293265</v>
      </c>
      <c r="S269" s="32">
        <f t="shared" si="72"/>
        <v>264202.70270270266</v>
      </c>
    </row>
    <row r="270" spans="1:19" s="17" customFormat="1">
      <c r="A270" s="16" t="s">
        <v>258</v>
      </c>
      <c r="B270" s="17" t="s">
        <v>19</v>
      </c>
      <c r="C270" s="18"/>
      <c r="D270" s="19" t="s">
        <v>43</v>
      </c>
      <c r="E270" s="20">
        <v>2</v>
      </c>
      <c r="F270" s="21">
        <v>1</v>
      </c>
      <c r="G270" s="22" t="s">
        <v>21</v>
      </c>
      <c r="H270" s="21">
        <v>24</v>
      </c>
      <c r="I270" s="22" t="s">
        <v>43</v>
      </c>
      <c r="J270" s="23">
        <v>89400</v>
      </c>
      <c r="K270" s="19" t="s">
        <v>43</v>
      </c>
      <c r="L270" s="24">
        <v>0.125</v>
      </c>
      <c r="M270" s="24">
        <v>0.05</v>
      </c>
      <c r="N270" s="18">
        <v>48</v>
      </c>
      <c r="O270" s="22" t="s">
        <v>43</v>
      </c>
      <c r="P270" s="18">
        <f t="shared" si="83"/>
        <v>0</v>
      </c>
      <c r="Q270" s="22" t="s">
        <v>43</v>
      </c>
      <c r="R270" s="23">
        <f t="shared" si="84"/>
        <v>0</v>
      </c>
      <c r="S270" s="23">
        <f t="shared" si="72"/>
        <v>0</v>
      </c>
    </row>
    <row r="271" spans="1:19" s="17" customFormat="1">
      <c r="A271" s="16" t="s">
        <v>259</v>
      </c>
      <c r="B271" s="17" t="s">
        <v>19</v>
      </c>
      <c r="C271" s="18"/>
      <c r="D271" s="19" t="s">
        <v>162</v>
      </c>
      <c r="E271" s="20"/>
      <c r="F271" s="21">
        <v>12</v>
      </c>
      <c r="G271" s="22" t="s">
        <v>34</v>
      </c>
      <c r="H271" s="21">
        <v>24</v>
      </c>
      <c r="I271" s="22" t="s">
        <v>162</v>
      </c>
      <c r="J271" s="23">
        <v>12000</v>
      </c>
      <c r="K271" s="19" t="s">
        <v>162</v>
      </c>
      <c r="L271" s="24">
        <v>0.125</v>
      </c>
      <c r="M271" s="24">
        <v>0.05</v>
      </c>
      <c r="N271" s="18"/>
      <c r="O271" s="22" t="s">
        <v>162</v>
      </c>
      <c r="P271" s="18">
        <f t="shared" si="83"/>
        <v>0</v>
      </c>
      <c r="Q271" s="22" t="s">
        <v>162</v>
      </c>
      <c r="R271" s="23">
        <f t="shared" si="84"/>
        <v>0</v>
      </c>
      <c r="S271" s="23">
        <f t="shared" si="72"/>
        <v>0</v>
      </c>
    </row>
    <row r="272" spans="1:19" s="17" customFormat="1">
      <c r="A272" s="16" t="s">
        <v>260</v>
      </c>
      <c r="B272" s="17" t="s">
        <v>19</v>
      </c>
      <c r="C272" s="18"/>
      <c r="D272" s="19" t="s">
        <v>162</v>
      </c>
      <c r="E272" s="20"/>
      <c r="F272" s="21">
        <v>10</v>
      </c>
      <c r="G272" s="22" t="s">
        <v>34</v>
      </c>
      <c r="H272" s="21">
        <v>10</v>
      </c>
      <c r="I272" s="22" t="s">
        <v>162</v>
      </c>
      <c r="J272" s="23">
        <v>28000</v>
      </c>
      <c r="K272" s="19" t="s">
        <v>162</v>
      </c>
      <c r="L272" s="24">
        <v>0.125</v>
      </c>
      <c r="M272" s="24">
        <v>0.05</v>
      </c>
      <c r="N272" s="18"/>
      <c r="O272" s="22" t="s">
        <v>162</v>
      </c>
      <c r="P272" s="18">
        <f t="shared" si="83"/>
        <v>0</v>
      </c>
      <c r="Q272" s="22" t="s">
        <v>162</v>
      </c>
      <c r="R272" s="23">
        <f t="shared" si="84"/>
        <v>0</v>
      </c>
      <c r="S272" s="23">
        <f t="shared" si="72"/>
        <v>0</v>
      </c>
    </row>
    <row r="273" spans="1:20" s="17" customFormat="1">
      <c r="A273" s="16" t="s">
        <v>261</v>
      </c>
      <c r="B273" s="17" t="s">
        <v>19</v>
      </c>
      <c r="C273" s="18"/>
      <c r="D273" s="19" t="s">
        <v>162</v>
      </c>
      <c r="E273" s="20"/>
      <c r="F273" s="21">
        <v>10</v>
      </c>
      <c r="G273" s="22" t="s">
        <v>34</v>
      </c>
      <c r="H273" s="21">
        <v>10</v>
      </c>
      <c r="I273" s="22" t="s">
        <v>162</v>
      </c>
      <c r="J273" s="23">
        <v>33500</v>
      </c>
      <c r="K273" s="19" t="s">
        <v>162</v>
      </c>
      <c r="L273" s="24">
        <v>0.125</v>
      </c>
      <c r="M273" s="24">
        <v>0.05</v>
      </c>
      <c r="N273" s="18"/>
      <c r="O273" s="22" t="s">
        <v>162</v>
      </c>
      <c r="P273" s="18">
        <f t="shared" si="83"/>
        <v>0</v>
      </c>
      <c r="Q273" s="22" t="s">
        <v>162</v>
      </c>
      <c r="R273" s="23">
        <f t="shared" si="84"/>
        <v>0</v>
      </c>
      <c r="S273" s="23">
        <f t="shared" si="72"/>
        <v>0</v>
      </c>
    </row>
    <row r="274" spans="1:20" s="17" customFormat="1">
      <c r="A274" s="16" t="s">
        <v>262</v>
      </c>
      <c r="B274" s="17" t="s">
        <v>19</v>
      </c>
      <c r="C274" s="18"/>
      <c r="D274" s="19" t="s">
        <v>162</v>
      </c>
      <c r="E274" s="20"/>
      <c r="F274" s="21">
        <v>8</v>
      </c>
      <c r="G274" s="22" t="s">
        <v>34</v>
      </c>
      <c r="H274" s="21">
        <v>10</v>
      </c>
      <c r="I274" s="22" t="s">
        <v>162</v>
      </c>
      <c r="J274" s="23">
        <v>48500</v>
      </c>
      <c r="K274" s="19" t="s">
        <v>162</v>
      </c>
      <c r="L274" s="24">
        <v>0.125</v>
      </c>
      <c r="M274" s="24">
        <v>0.05</v>
      </c>
      <c r="N274" s="18"/>
      <c r="O274" s="22" t="s">
        <v>162</v>
      </c>
      <c r="P274" s="18">
        <f t="shared" si="83"/>
        <v>0</v>
      </c>
      <c r="Q274" s="22" t="s">
        <v>162</v>
      </c>
      <c r="R274" s="23">
        <f t="shared" si="84"/>
        <v>0</v>
      </c>
      <c r="S274" s="23">
        <f t="shared" si="72"/>
        <v>0</v>
      </c>
    </row>
    <row r="275" spans="1:20" s="17" customFormat="1">
      <c r="A275" s="16" t="s">
        <v>263</v>
      </c>
      <c r="B275" s="17" t="s">
        <v>19</v>
      </c>
      <c r="C275" s="18"/>
      <c r="D275" s="19" t="s">
        <v>162</v>
      </c>
      <c r="E275" s="20"/>
      <c r="F275" s="21">
        <v>10</v>
      </c>
      <c r="G275" s="22" t="s">
        <v>34</v>
      </c>
      <c r="H275" s="21">
        <v>12</v>
      </c>
      <c r="I275" s="22" t="s">
        <v>162</v>
      </c>
      <c r="J275" s="23">
        <v>17000</v>
      </c>
      <c r="K275" s="19" t="s">
        <v>162</v>
      </c>
      <c r="L275" s="24">
        <v>0.125</v>
      </c>
      <c r="M275" s="24">
        <v>0.05</v>
      </c>
      <c r="N275" s="18"/>
      <c r="O275" s="22" t="s">
        <v>162</v>
      </c>
      <c r="P275" s="18">
        <f t="shared" si="83"/>
        <v>0</v>
      </c>
      <c r="Q275" s="22" t="s">
        <v>162</v>
      </c>
      <c r="R275" s="23">
        <f t="shared" si="84"/>
        <v>0</v>
      </c>
      <c r="S275" s="23">
        <f t="shared" si="72"/>
        <v>0</v>
      </c>
    </row>
    <row r="276" spans="1:20" s="85" customFormat="1">
      <c r="A276" s="84" t="s">
        <v>264</v>
      </c>
      <c r="B276" s="85" t="s">
        <v>19</v>
      </c>
      <c r="C276" s="86">
        <v>96</v>
      </c>
      <c r="D276" s="87" t="s">
        <v>162</v>
      </c>
      <c r="E276" s="92"/>
      <c r="F276" s="88">
        <v>24</v>
      </c>
      <c r="G276" s="89" t="s">
        <v>34</v>
      </c>
      <c r="H276" s="88">
        <v>12</v>
      </c>
      <c r="I276" s="89" t="s">
        <v>162</v>
      </c>
      <c r="J276" s="90">
        <v>13300</v>
      </c>
      <c r="K276" s="87" t="s">
        <v>162</v>
      </c>
      <c r="L276" s="91">
        <v>0.125</v>
      </c>
      <c r="M276" s="91">
        <v>0.05</v>
      </c>
      <c r="N276" s="86">
        <f>(4*12)</f>
        <v>48</v>
      </c>
      <c r="O276" s="89" t="s">
        <v>162</v>
      </c>
      <c r="P276" s="86">
        <f t="shared" si="83"/>
        <v>48</v>
      </c>
      <c r="Q276" s="89" t="s">
        <v>162</v>
      </c>
      <c r="R276" s="90">
        <f t="shared" si="84"/>
        <v>530670</v>
      </c>
      <c r="S276" s="32">
        <f t="shared" si="72"/>
        <v>478081.08108108107</v>
      </c>
    </row>
    <row r="277" spans="1:20" s="26" customFormat="1">
      <c r="A277" s="94" t="s">
        <v>265</v>
      </c>
      <c r="B277" s="26" t="s">
        <v>26</v>
      </c>
      <c r="C277" s="27">
        <v>72</v>
      </c>
      <c r="D277" s="28" t="s">
        <v>20</v>
      </c>
      <c r="E277" s="29"/>
      <c r="F277" s="30">
        <v>24</v>
      </c>
      <c r="G277" s="31" t="s">
        <v>43</v>
      </c>
      <c r="H277" s="30">
        <v>12</v>
      </c>
      <c r="I277" s="31" t="s">
        <v>20</v>
      </c>
      <c r="J277" s="32">
        <f>2102400/24/12</f>
        <v>7300</v>
      </c>
      <c r="K277" s="28" t="s">
        <v>20</v>
      </c>
      <c r="L277" s="33"/>
      <c r="M277" s="33">
        <v>0.17</v>
      </c>
      <c r="N277" s="27"/>
      <c r="O277" s="31" t="s">
        <v>20</v>
      </c>
      <c r="P277" s="27">
        <f t="shared" si="83"/>
        <v>72</v>
      </c>
      <c r="Q277" s="31" t="s">
        <v>20</v>
      </c>
      <c r="R277" s="32">
        <f t="shared" si="84"/>
        <v>436248</v>
      </c>
      <c r="S277" s="32">
        <f t="shared" si="72"/>
        <v>393016.21621621615</v>
      </c>
    </row>
    <row r="278" spans="1:20" s="26" customFormat="1">
      <c r="A278" s="94" t="s">
        <v>266</v>
      </c>
      <c r="B278" s="26" t="s">
        <v>26</v>
      </c>
      <c r="C278" s="27">
        <v>204</v>
      </c>
      <c r="D278" s="28" t="s">
        <v>20</v>
      </c>
      <c r="E278" s="29">
        <v>1</v>
      </c>
      <c r="F278" s="30">
        <v>24</v>
      </c>
      <c r="G278" s="31" t="s">
        <v>43</v>
      </c>
      <c r="H278" s="30">
        <v>12</v>
      </c>
      <c r="I278" s="31" t="s">
        <v>20</v>
      </c>
      <c r="J278" s="32">
        <f>2102400/24/12</f>
        <v>7300</v>
      </c>
      <c r="K278" s="28" t="s">
        <v>20</v>
      </c>
      <c r="L278" s="33"/>
      <c r="M278" s="33">
        <v>0.17</v>
      </c>
      <c r="N278" s="27">
        <f>(3*12)+(2*12)+(4*12)+(8*12)</f>
        <v>204</v>
      </c>
      <c r="O278" s="31" t="s">
        <v>20</v>
      </c>
      <c r="P278" s="27">
        <f t="shared" si="83"/>
        <v>288</v>
      </c>
      <c r="Q278" s="31" t="s">
        <v>20</v>
      </c>
      <c r="R278" s="32">
        <f t="shared" si="84"/>
        <v>1744992</v>
      </c>
      <c r="S278" s="32">
        <f t="shared" si="72"/>
        <v>1572064.8648648646</v>
      </c>
    </row>
    <row r="279" spans="1:20">
      <c r="S279" s="23"/>
    </row>
    <row r="280" spans="1:20" ht="15.75">
      <c r="A280" s="14" t="s">
        <v>267</v>
      </c>
      <c r="S280" s="23"/>
    </row>
    <row r="281" spans="1:20" s="17" customFormat="1">
      <c r="A281" s="16" t="s">
        <v>268</v>
      </c>
      <c r="B281" s="17" t="s">
        <v>19</v>
      </c>
      <c r="C281" s="18"/>
      <c r="D281" s="19" t="s">
        <v>34</v>
      </c>
      <c r="E281" s="20"/>
      <c r="F281" s="21">
        <v>1</v>
      </c>
      <c r="G281" s="22" t="s">
        <v>21</v>
      </c>
      <c r="H281" s="21">
        <v>20</v>
      </c>
      <c r="I281" s="22" t="s">
        <v>34</v>
      </c>
      <c r="J281" s="23">
        <f>6200*12</f>
        <v>74400</v>
      </c>
      <c r="K281" s="19" t="s">
        <v>34</v>
      </c>
      <c r="L281" s="24">
        <v>0.125</v>
      </c>
      <c r="M281" s="24">
        <v>0.05</v>
      </c>
      <c r="N281" s="18"/>
      <c r="O281" s="22" t="s">
        <v>34</v>
      </c>
      <c r="P281" s="18">
        <f>(C281+(E281*F281*H281))-N281</f>
        <v>0</v>
      </c>
      <c r="Q281" s="22" t="s">
        <v>34</v>
      </c>
      <c r="R281" s="23">
        <f>P281*(J281-(J281*L281)-((J281-(J281*L281))*M281))</f>
        <v>0</v>
      </c>
      <c r="S281" s="23">
        <f t="shared" si="72"/>
        <v>0</v>
      </c>
    </row>
    <row r="282" spans="1:20" s="17" customFormat="1">
      <c r="A282" s="16" t="s">
        <v>269</v>
      </c>
      <c r="B282" s="17" t="s">
        <v>19</v>
      </c>
      <c r="C282" s="18"/>
      <c r="D282" s="19" t="s">
        <v>34</v>
      </c>
      <c r="E282" s="20"/>
      <c r="F282" s="21">
        <v>1</v>
      </c>
      <c r="G282" s="22" t="s">
        <v>21</v>
      </c>
      <c r="H282" s="21">
        <v>20</v>
      </c>
      <c r="I282" s="22" t="s">
        <v>34</v>
      </c>
      <c r="J282" s="23">
        <f>6800*12</f>
        <v>81600</v>
      </c>
      <c r="K282" s="19" t="s">
        <v>34</v>
      </c>
      <c r="L282" s="24">
        <v>0.125</v>
      </c>
      <c r="M282" s="24">
        <v>0.05</v>
      </c>
      <c r="N282" s="18"/>
      <c r="O282" s="22" t="s">
        <v>34</v>
      </c>
      <c r="P282" s="18">
        <f>(C282+(E282*F282*H282))-N282</f>
        <v>0</v>
      </c>
      <c r="Q282" s="22" t="s">
        <v>34</v>
      </c>
      <c r="R282" s="23">
        <f>P282*(J282-(J282*L282)-((J282-(J282*L282))*M282))</f>
        <v>0</v>
      </c>
      <c r="S282" s="23">
        <f t="shared" si="72"/>
        <v>0</v>
      </c>
    </row>
    <row r="283" spans="1:20">
      <c r="S283" s="23"/>
    </row>
    <row r="284" spans="1:20" ht="15.75">
      <c r="A284" s="14" t="s">
        <v>270</v>
      </c>
      <c r="S284" s="23"/>
    </row>
    <row r="285" spans="1:20">
      <c r="A285" s="15" t="s">
        <v>271</v>
      </c>
      <c r="S285" s="23"/>
    </row>
    <row r="286" spans="1:20" s="17" customFormat="1">
      <c r="A286" s="16" t="s">
        <v>272</v>
      </c>
      <c r="B286" s="17" t="s">
        <v>26</v>
      </c>
      <c r="C286" s="18"/>
      <c r="D286" s="19" t="s">
        <v>104</v>
      </c>
      <c r="E286" s="20"/>
      <c r="F286" s="21">
        <v>1</v>
      </c>
      <c r="G286" s="22" t="s">
        <v>21</v>
      </c>
      <c r="H286" s="21">
        <v>50</v>
      </c>
      <c r="I286" s="22" t="s">
        <v>104</v>
      </c>
      <c r="J286" s="23">
        <f>740000/50</f>
        <v>14800</v>
      </c>
      <c r="K286" s="19" t="s">
        <v>104</v>
      </c>
      <c r="L286" s="24"/>
      <c r="M286" s="24">
        <v>0.17</v>
      </c>
      <c r="N286" s="18"/>
      <c r="O286" s="22" t="s">
        <v>104</v>
      </c>
      <c r="P286" s="18">
        <f>(C286+(E286*F286*H286))-N286</f>
        <v>0</v>
      </c>
      <c r="Q286" s="22" t="s">
        <v>104</v>
      </c>
      <c r="R286" s="23">
        <f>P286*(J286-(J286*L286)-((J286-(J286*L286))*M286))</f>
        <v>0</v>
      </c>
      <c r="S286" s="23">
        <f t="shared" si="72"/>
        <v>0</v>
      </c>
    </row>
    <row r="287" spans="1:20">
      <c r="A287" s="15" t="s">
        <v>273</v>
      </c>
      <c r="S287" s="23"/>
    </row>
    <row r="288" spans="1:20" s="17" customFormat="1">
      <c r="A288" s="25" t="s">
        <v>274</v>
      </c>
      <c r="B288" s="26" t="s">
        <v>275</v>
      </c>
      <c r="C288" s="27">
        <v>250</v>
      </c>
      <c r="D288" s="28" t="s">
        <v>104</v>
      </c>
      <c r="E288" s="29"/>
      <c r="F288" s="30">
        <v>1</v>
      </c>
      <c r="G288" s="31" t="s">
        <v>21</v>
      </c>
      <c r="H288" s="30">
        <v>50</v>
      </c>
      <c r="I288" s="31" t="s">
        <v>104</v>
      </c>
      <c r="J288" s="32">
        <v>32500</v>
      </c>
      <c r="K288" s="28" t="s">
        <v>104</v>
      </c>
      <c r="L288" s="33"/>
      <c r="M288" s="33"/>
      <c r="N288" s="27"/>
      <c r="O288" s="31" t="s">
        <v>104</v>
      </c>
      <c r="P288" s="27">
        <f>(C288+(E288*F288*H288))-N288</f>
        <v>250</v>
      </c>
      <c r="Q288" s="31" t="s">
        <v>104</v>
      </c>
      <c r="R288" s="32">
        <f>P288*(J288-(J288*L288)-((J288-(J288*L288))*M288))</f>
        <v>8125000</v>
      </c>
      <c r="S288" s="32">
        <f t="shared" ref="S288:S350" si="88">R288/1.11</f>
        <v>7319819.8198198192</v>
      </c>
      <c r="T288" s="26"/>
    </row>
    <row r="289" spans="1:19">
      <c r="S289" s="23"/>
    </row>
    <row r="290" spans="1:19" ht="15.75">
      <c r="A290" s="14" t="s">
        <v>276</v>
      </c>
      <c r="S290" s="23"/>
    </row>
    <row r="291" spans="1:19" s="17" customFormat="1">
      <c r="A291" s="16" t="s">
        <v>277</v>
      </c>
      <c r="B291" s="17" t="s">
        <v>19</v>
      </c>
      <c r="C291" s="18">
        <v>60</v>
      </c>
      <c r="D291" s="19" t="s">
        <v>108</v>
      </c>
      <c r="E291" s="20"/>
      <c r="F291" s="21">
        <v>8</v>
      </c>
      <c r="G291" s="22" t="s">
        <v>34</v>
      </c>
      <c r="H291" s="21">
        <v>25</v>
      </c>
      <c r="I291" s="22" t="s">
        <v>108</v>
      </c>
      <c r="J291" s="23">
        <v>4000</v>
      </c>
      <c r="K291" s="19" t="s">
        <v>108</v>
      </c>
      <c r="L291" s="24">
        <v>0.125</v>
      </c>
      <c r="M291" s="24">
        <v>0.05</v>
      </c>
      <c r="N291" s="18">
        <v>60</v>
      </c>
      <c r="O291" s="22" t="s">
        <v>108</v>
      </c>
      <c r="P291" s="18">
        <f>(C291+(E291*F291*H291))-N291</f>
        <v>0</v>
      </c>
      <c r="Q291" s="22" t="s">
        <v>108</v>
      </c>
      <c r="R291" s="23">
        <f>P291*(J291-(J291*L291)-((J291-(J291*L291))*M291))</f>
        <v>0</v>
      </c>
      <c r="S291" s="23">
        <f t="shared" si="88"/>
        <v>0</v>
      </c>
    </row>
    <row r="292" spans="1:19" s="26" customFormat="1">
      <c r="A292" s="25" t="s">
        <v>278</v>
      </c>
      <c r="B292" s="26" t="s">
        <v>19</v>
      </c>
      <c r="C292" s="27">
        <v>8</v>
      </c>
      <c r="D292" s="28" t="s">
        <v>80</v>
      </c>
      <c r="E292" s="29"/>
      <c r="F292" s="30">
        <v>1</v>
      </c>
      <c r="G292" s="31" t="s">
        <v>21</v>
      </c>
      <c r="H292" s="30">
        <v>48</v>
      </c>
      <c r="I292" s="31" t="s">
        <v>80</v>
      </c>
      <c r="J292" s="32">
        <v>30000</v>
      </c>
      <c r="K292" s="28" t="s">
        <v>80</v>
      </c>
      <c r="L292" s="33">
        <v>0.125</v>
      </c>
      <c r="M292" s="33">
        <v>0.05</v>
      </c>
      <c r="N292" s="27"/>
      <c r="O292" s="31" t="s">
        <v>80</v>
      </c>
      <c r="P292" s="27">
        <f>(C292+(E292*F292*H292))-N292</f>
        <v>8</v>
      </c>
      <c r="Q292" s="31" t="s">
        <v>80</v>
      </c>
      <c r="R292" s="32">
        <f>P292*(J292-(J292*L292)-((J292-(J292*L292))*M292))</f>
        <v>199500</v>
      </c>
      <c r="S292" s="32">
        <f t="shared" si="88"/>
        <v>179729.7297297297</v>
      </c>
    </row>
    <row r="293" spans="1:19" s="63" customFormat="1">
      <c r="A293" s="72" t="s">
        <v>279</v>
      </c>
      <c r="B293" s="63" t="s">
        <v>19</v>
      </c>
      <c r="C293" s="64">
        <v>26</v>
      </c>
      <c r="D293" s="65" t="s">
        <v>80</v>
      </c>
      <c r="E293" s="66"/>
      <c r="F293" s="67">
        <v>1</v>
      </c>
      <c r="G293" s="68" t="s">
        <v>21</v>
      </c>
      <c r="H293" s="67">
        <v>48</v>
      </c>
      <c r="I293" s="68" t="s">
        <v>80</v>
      </c>
      <c r="J293" s="69">
        <v>22300</v>
      </c>
      <c r="K293" s="65" t="s">
        <v>80</v>
      </c>
      <c r="L293" s="70">
        <v>0.125</v>
      </c>
      <c r="M293" s="70">
        <v>0.05</v>
      </c>
      <c r="N293" s="64">
        <v>26</v>
      </c>
      <c r="O293" s="68" t="s">
        <v>80</v>
      </c>
      <c r="P293" s="64">
        <f>(C293+(E293*F293*H293))-N293</f>
        <v>0</v>
      </c>
      <c r="Q293" s="68" t="s">
        <v>80</v>
      </c>
      <c r="R293" s="69">
        <f>P293*(J293-(J293*L293)-((J293-(J293*L293))*M293))</f>
        <v>0</v>
      </c>
      <c r="S293" s="23">
        <f t="shared" si="88"/>
        <v>0</v>
      </c>
    </row>
    <row r="294" spans="1:19" s="17" customFormat="1">
      <c r="A294" s="16" t="s">
        <v>280</v>
      </c>
      <c r="B294" s="17" t="s">
        <v>26</v>
      </c>
      <c r="C294" s="18"/>
      <c r="D294" s="19" t="s">
        <v>108</v>
      </c>
      <c r="E294" s="20"/>
      <c r="F294" s="21">
        <v>80</v>
      </c>
      <c r="G294" s="22" t="s">
        <v>34</v>
      </c>
      <c r="H294" s="21">
        <v>25</v>
      </c>
      <c r="I294" s="22" t="s">
        <v>108</v>
      </c>
      <c r="J294" s="23">
        <v>4500</v>
      </c>
      <c r="K294" s="19" t="s">
        <v>108</v>
      </c>
      <c r="L294" s="24"/>
      <c r="M294" s="24">
        <v>0.17</v>
      </c>
      <c r="N294" s="18"/>
      <c r="O294" s="22" t="s">
        <v>108</v>
      </c>
      <c r="P294" s="18">
        <f>(C294+(E294*F294*H294))-N294</f>
        <v>0</v>
      </c>
      <c r="Q294" s="22" t="s">
        <v>108</v>
      </c>
      <c r="R294" s="23">
        <f>P294*(J294-(J294*L294)-((J294-(J294*L294))*M294))</f>
        <v>0</v>
      </c>
      <c r="S294" s="23">
        <f t="shared" si="88"/>
        <v>0</v>
      </c>
    </row>
    <row r="295" spans="1:19" s="17" customFormat="1">
      <c r="A295" s="16" t="s">
        <v>281</v>
      </c>
      <c r="B295" s="17" t="s">
        <v>26</v>
      </c>
      <c r="C295" s="18">
        <v>5</v>
      </c>
      <c r="D295" s="19" t="s">
        <v>80</v>
      </c>
      <c r="E295" s="20"/>
      <c r="F295" s="21">
        <v>1</v>
      </c>
      <c r="G295" s="22" t="s">
        <v>21</v>
      </c>
      <c r="H295" s="21">
        <v>48</v>
      </c>
      <c r="I295" s="22" t="s">
        <v>80</v>
      </c>
      <c r="J295" s="23">
        <v>23500</v>
      </c>
      <c r="K295" s="19" t="s">
        <v>80</v>
      </c>
      <c r="L295" s="24"/>
      <c r="M295" s="24">
        <v>0.17</v>
      </c>
      <c r="N295" s="18">
        <v>5</v>
      </c>
      <c r="O295" s="22" t="s">
        <v>80</v>
      </c>
      <c r="P295" s="18">
        <f>(C295+(E295*F295*H295))-N295</f>
        <v>0</v>
      </c>
      <c r="Q295" s="22" t="s">
        <v>80</v>
      </c>
      <c r="R295" s="23">
        <f>P295*(J295-(J295*L295)-((J295-(J295*L295))*M295))</f>
        <v>0</v>
      </c>
      <c r="S295" s="23">
        <f t="shared" si="88"/>
        <v>0</v>
      </c>
    </row>
    <row r="296" spans="1:19">
      <c r="S296" s="23"/>
    </row>
    <row r="297" spans="1:19" ht="15.75">
      <c r="A297" s="14" t="s">
        <v>282</v>
      </c>
      <c r="S297" s="23"/>
    </row>
    <row r="298" spans="1:19" s="63" customFormat="1">
      <c r="A298" s="72" t="s">
        <v>283</v>
      </c>
      <c r="B298" s="63" t="s">
        <v>19</v>
      </c>
      <c r="C298" s="64"/>
      <c r="D298" s="65" t="s">
        <v>162</v>
      </c>
      <c r="E298" s="66"/>
      <c r="F298" s="67">
        <v>10</v>
      </c>
      <c r="G298" s="68" t="s">
        <v>34</v>
      </c>
      <c r="H298" s="67">
        <v>24</v>
      </c>
      <c r="I298" s="68" t="s">
        <v>162</v>
      </c>
      <c r="J298" s="69">
        <v>8800</v>
      </c>
      <c r="K298" s="65" t="s">
        <v>162</v>
      </c>
      <c r="L298" s="70">
        <v>0.125</v>
      </c>
      <c r="M298" s="70">
        <v>0.05</v>
      </c>
      <c r="N298" s="64"/>
      <c r="O298" s="68" t="s">
        <v>162</v>
      </c>
      <c r="P298" s="64">
        <f t="shared" ref="P298:P303" si="89">(C298+(E298*F298*H298))-N298</f>
        <v>0</v>
      </c>
      <c r="Q298" s="68" t="s">
        <v>162</v>
      </c>
      <c r="R298" s="69">
        <f t="shared" ref="R298:R303" si="90">P298*(J298-(J298*L298)-((J298-(J298*L298))*M298))</f>
        <v>0</v>
      </c>
      <c r="S298" s="23">
        <f t="shared" si="88"/>
        <v>0</v>
      </c>
    </row>
    <row r="299" spans="1:19" s="17" customFormat="1">
      <c r="A299" s="16" t="s">
        <v>284</v>
      </c>
      <c r="B299" s="17" t="s">
        <v>19</v>
      </c>
      <c r="C299" s="18"/>
      <c r="D299" s="19" t="s">
        <v>162</v>
      </c>
      <c r="E299" s="20"/>
      <c r="F299" s="21">
        <v>6</v>
      </c>
      <c r="G299" s="22" t="s">
        <v>34</v>
      </c>
      <c r="H299" s="21">
        <v>24</v>
      </c>
      <c r="I299" s="22" t="s">
        <v>162</v>
      </c>
      <c r="J299" s="23">
        <v>29500</v>
      </c>
      <c r="K299" s="19" t="s">
        <v>162</v>
      </c>
      <c r="L299" s="24">
        <v>0.125</v>
      </c>
      <c r="M299" s="24">
        <v>0.05</v>
      </c>
      <c r="N299" s="18"/>
      <c r="O299" s="22" t="s">
        <v>162</v>
      </c>
      <c r="P299" s="18">
        <f t="shared" si="89"/>
        <v>0</v>
      </c>
      <c r="Q299" s="22" t="s">
        <v>162</v>
      </c>
      <c r="R299" s="23">
        <f t="shared" si="90"/>
        <v>0</v>
      </c>
      <c r="S299" s="23">
        <f t="shared" si="88"/>
        <v>0</v>
      </c>
    </row>
    <row r="300" spans="1:19" s="17" customFormat="1">
      <c r="A300" s="16" t="s">
        <v>285</v>
      </c>
      <c r="B300" s="17" t="s">
        <v>19</v>
      </c>
      <c r="C300" s="18">
        <v>108</v>
      </c>
      <c r="D300" s="19" t="s">
        <v>162</v>
      </c>
      <c r="E300" s="20"/>
      <c r="F300" s="21">
        <v>12</v>
      </c>
      <c r="G300" s="22" t="s">
        <v>34</v>
      </c>
      <c r="H300" s="21">
        <v>12</v>
      </c>
      <c r="I300" s="22" t="s">
        <v>162</v>
      </c>
      <c r="J300" s="23">
        <v>19600</v>
      </c>
      <c r="K300" s="19" t="s">
        <v>162</v>
      </c>
      <c r="L300" s="24">
        <v>0.125</v>
      </c>
      <c r="M300" s="24">
        <v>0.05</v>
      </c>
      <c r="N300" s="18">
        <f>36+(4*12)+12+12</f>
        <v>108</v>
      </c>
      <c r="O300" s="22" t="s">
        <v>162</v>
      </c>
      <c r="P300" s="18">
        <f t="shared" si="89"/>
        <v>0</v>
      </c>
      <c r="Q300" s="22" t="s">
        <v>162</v>
      </c>
      <c r="R300" s="23">
        <f t="shared" si="90"/>
        <v>0</v>
      </c>
      <c r="S300" s="23">
        <f t="shared" si="88"/>
        <v>0</v>
      </c>
    </row>
    <row r="301" spans="1:19" s="26" customFormat="1">
      <c r="A301" s="25" t="s">
        <v>286</v>
      </c>
      <c r="B301" s="26" t="s">
        <v>19</v>
      </c>
      <c r="C301" s="27">
        <v>81</v>
      </c>
      <c r="D301" s="28" t="s">
        <v>162</v>
      </c>
      <c r="E301" s="29"/>
      <c r="F301" s="30">
        <v>12</v>
      </c>
      <c r="G301" s="31" t="s">
        <v>34</v>
      </c>
      <c r="H301" s="30">
        <v>12</v>
      </c>
      <c r="I301" s="31" t="s">
        <v>162</v>
      </c>
      <c r="J301" s="32">
        <v>18500</v>
      </c>
      <c r="K301" s="28" t="s">
        <v>162</v>
      </c>
      <c r="L301" s="33">
        <v>0.125</v>
      </c>
      <c r="M301" s="33">
        <v>0.05</v>
      </c>
      <c r="N301" s="27">
        <v>36</v>
      </c>
      <c r="O301" s="31" t="s">
        <v>162</v>
      </c>
      <c r="P301" s="27">
        <f t="shared" si="89"/>
        <v>45</v>
      </c>
      <c r="Q301" s="31" t="s">
        <v>162</v>
      </c>
      <c r="R301" s="32">
        <f t="shared" si="90"/>
        <v>692015.625</v>
      </c>
      <c r="S301" s="32">
        <f t="shared" si="88"/>
        <v>623437.5</v>
      </c>
    </row>
    <row r="302" spans="1:19" s="26" customFormat="1">
      <c r="A302" s="25" t="s">
        <v>287</v>
      </c>
      <c r="B302" s="26" t="s">
        <v>19</v>
      </c>
      <c r="C302" s="27">
        <v>24</v>
      </c>
      <c r="D302" s="28" t="s">
        <v>162</v>
      </c>
      <c r="E302" s="29"/>
      <c r="F302" s="30">
        <v>10</v>
      </c>
      <c r="G302" s="31" t="s">
        <v>34</v>
      </c>
      <c r="H302" s="30">
        <v>24</v>
      </c>
      <c r="I302" s="31" t="s">
        <v>162</v>
      </c>
      <c r="J302" s="32">
        <v>10600</v>
      </c>
      <c r="K302" s="28" t="s">
        <v>162</v>
      </c>
      <c r="L302" s="33">
        <v>0.125</v>
      </c>
      <c r="M302" s="33">
        <v>0.05</v>
      </c>
      <c r="N302" s="27"/>
      <c r="O302" s="31" t="s">
        <v>162</v>
      </c>
      <c r="P302" s="27">
        <f t="shared" si="89"/>
        <v>24</v>
      </c>
      <c r="Q302" s="31" t="s">
        <v>162</v>
      </c>
      <c r="R302" s="32">
        <f t="shared" si="90"/>
        <v>211470</v>
      </c>
      <c r="S302" s="32">
        <f t="shared" si="88"/>
        <v>190513.51351351349</v>
      </c>
    </row>
    <row r="303" spans="1:19" s="17" customFormat="1">
      <c r="A303" s="16" t="s">
        <v>288</v>
      </c>
      <c r="B303" s="17" t="s">
        <v>19</v>
      </c>
      <c r="C303" s="18"/>
      <c r="D303" s="19" t="s">
        <v>162</v>
      </c>
      <c r="E303" s="20"/>
      <c r="F303" s="21">
        <v>20</v>
      </c>
      <c r="G303" s="22" t="s">
        <v>34</v>
      </c>
      <c r="H303" s="21">
        <v>12</v>
      </c>
      <c r="I303" s="22" t="s">
        <v>162</v>
      </c>
      <c r="J303" s="23">
        <v>7200</v>
      </c>
      <c r="K303" s="19" t="s">
        <v>162</v>
      </c>
      <c r="L303" s="24">
        <v>0.125</v>
      </c>
      <c r="M303" s="24">
        <v>0.05</v>
      </c>
      <c r="N303" s="18"/>
      <c r="O303" s="22" t="s">
        <v>162</v>
      </c>
      <c r="P303" s="18">
        <f t="shared" si="89"/>
        <v>0</v>
      </c>
      <c r="Q303" s="22" t="s">
        <v>162</v>
      </c>
      <c r="R303" s="23">
        <f t="shared" si="90"/>
        <v>0</v>
      </c>
      <c r="S303" s="23">
        <f t="shared" si="88"/>
        <v>0</v>
      </c>
    </row>
    <row r="304" spans="1:19">
      <c r="S304" s="23"/>
    </row>
    <row r="305" spans="1:19" ht="15.75">
      <c r="A305" s="14" t="s">
        <v>289</v>
      </c>
      <c r="S305" s="23"/>
    </row>
    <row r="306" spans="1:19">
      <c r="A306" s="15" t="s">
        <v>290</v>
      </c>
      <c r="S306" s="23"/>
    </row>
    <row r="307" spans="1:19" s="45" customFormat="1">
      <c r="A307" s="44" t="s">
        <v>291</v>
      </c>
      <c r="B307" s="45" t="s">
        <v>19</v>
      </c>
      <c r="C307" s="46">
        <v>3400</v>
      </c>
      <c r="D307" s="47" t="s">
        <v>292</v>
      </c>
      <c r="E307" s="48">
        <f>(1+3)</f>
        <v>4</v>
      </c>
      <c r="F307" s="49">
        <v>100</v>
      </c>
      <c r="G307" s="50" t="s">
        <v>104</v>
      </c>
      <c r="H307" s="49">
        <v>10</v>
      </c>
      <c r="I307" s="50" t="s">
        <v>292</v>
      </c>
      <c r="J307" s="51">
        <v>2050</v>
      </c>
      <c r="K307" s="47" t="s">
        <v>292</v>
      </c>
      <c r="L307" s="52">
        <v>0.125</v>
      </c>
      <c r="M307" s="52">
        <v>0.05</v>
      </c>
      <c r="N307" s="46">
        <f>500+1000+(10*10)+1000+1000+100+100+(50*10)+30+500+1000</f>
        <v>5830</v>
      </c>
      <c r="O307" s="50" t="s">
        <v>292</v>
      </c>
      <c r="P307" s="46">
        <f t="shared" ref="P307:P317" si="91">(C307+(E307*F307*H307))-N307</f>
        <v>1570</v>
      </c>
      <c r="Q307" s="50" t="s">
        <v>292</v>
      </c>
      <c r="R307" s="51">
        <f t="shared" ref="R307:R317" si="92">P307*(J307-(J307*L307)-((J307-(J307*L307))*M307))</f>
        <v>2675378.125</v>
      </c>
      <c r="S307" s="51">
        <f t="shared" si="88"/>
        <v>2410250.5630630627</v>
      </c>
    </row>
    <row r="308" spans="1:19" s="63" customFormat="1">
      <c r="A308" s="72" t="s">
        <v>293</v>
      </c>
      <c r="B308" s="63" t="s">
        <v>19</v>
      </c>
      <c r="C308" s="64"/>
      <c r="D308" s="65" t="s">
        <v>292</v>
      </c>
      <c r="E308" s="66"/>
      <c r="F308" s="67">
        <v>100</v>
      </c>
      <c r="G308" s="68" t="s">
        <v>104</v>
      </c>
      <c r="H308" s="67">
        <v>10</v>
      </c>
      <c r="I308" s="68" t="s">
        <v>292</v>
      </c>
      <c r="J308" s="69">
        <v>2900</v>
      </c>
      <c r="K308" s="65" t="s">
        <v>292</v>
      </c>
      <c r="L308" s="70">
        <v>0.125</v>
      </c>
      <c r="M308" s="70">
        <v>0.05</v>
      </c>
      <c r="N308" s="64"/>
      <c r="O308" s="68" t="s">
        <v>292</v>
      </c>
      <c r="P308" s="64">
        <f t="shared" si="91"/>
        <v>0</v>
      </c>
      <c r="Q308" s="68" t="s">
        <v>292</v>
      </c>
      <c r="R308" s="69">
        <f t="shared" si="92"/>
        <v>0</v>
      </c>
      <c r="S308" s="23">
        <f t="shared" si="88"/>
        <v>0</v>
      </c>
    </row>
    <row r="309" spans="1:19" s="45" customFormat="1">
      <c r="A309" s="44" t="s">
        <v>294</v>
      </c>
      <c r="B309" s="45" t="s">
        <v>19</v>
      </c>
      <c r="C309" s="46">
        <v>940</v>
      </c>
      <c r="D309" s="47" t="s">
        <v>292</v>
      </c>
      <c r="E309" s="48">
        <f>1+2</f>
        <v>3</v>
      </c>
      <c r="F309" s="49">
        <v>50</v>
      </c>
      <c r="G309" s="50" t="s">
        <v>104</v>
      </c>
      <c r="H309" s="49">
        <v>10</v>
      </c>
      <c r="I309" s="50" t="s">
        <v>292</v>
      </c>
      <c r="J309" s="51">
        <v>3050</v>
      </c>
      <c r="K309" s="47" t="s">
        <v>292</v>
      </c>
      <c r="L309" s="52">
        <v>0.125</v>
      </c>
      <c r="M309" s="52">
        <v>0.05</v>
      </c>
      <c r="N309" s="46">
        <f>500+(20*10)+(5*10)+500+(19*10)</f>
        <v>1440</v>
      </c>
      <c r="O309" s="50" t="s">
        <v>292</v>
      </c>
      <c r="P309" s="46">
        <f t="shared" si="91"/>
        <v>1000</v>
      </c>
      <c r="Q309" s="50" t="s">
        <v>292</v>
      </c>
      <c r="R309" s="51">
        <f t="shared" si="92"/>
        <v>2535312.5</v>
      </c>
      <c r="S309" s="51">
        <f t="shared" si="88"/>
        <v>2284065.315315315</v>
      </c>
    </row>
    <row r="310" spans="1:19" s="63" customFormat="1">
      <c r="A310" s="72" t="s">
        <v>295</v>
      </c>
      <c r="B310" s="63" t="s">
        <v>19</v>
      </c>
      <c r="C310" s="64">
        <v>650</v>
      </c>
      <c r="D310" s="65" t="s">
        <v>292</v>
      </c>
      <c r="E310" s="66"/>
      <c r="F310" s="67">
        <v>50</v>
      </c>
      <c r="G310" s="68" t="s">
        <v>104</v>
      </c>
      <c r="H310" s="67">
        <v>10</v>
      </c>
      <c r="I310" s="68" t="s">
        <v>292</v>
      </c>
      <c r="J310" s="69">
        <v>4100</v>
      </c>
      <c r="K310" s="65" t="s">
        <v>292</v>
      </c>
      <c r="L310" s="70">
        <v>0.125</v>
      </c>
      <c r="M310" s="70">
        <v>0.05</v>
      </c>
      <c r="N310" s="64">
        <f>(10*10)+(5*10)+500</f>
        <v>650</v>
      </c>
      <c r="O310" s="68" t="s">
        <v>292</v>
      </c>
      <c r="P310" s="64">
        <f t="shared" si="91"/>
        <v>0</v>
      </c>
      <c r="Q310" s="68" t="s">
        <v>292</v>
      </c>
      <c r="R310" s="69">
        <f t="shared" si="92"/>
        <v>0</v>
      </c>
      <c r="S310" s="69">
        <f t="shared" si="88"/>
        <v>0</v>
      </c>
    </row>
    <row r="311" spans="1:19" s="45" customFormat="1">
      <c r="A311" s="108" t="s">
        <v>296</v>
      </c>
      <c r="B311" s="45" t="s">
        <v>19</v>
      </c>
      <c r="C311" s="46">
        <v>1500</v>
      </c>
      <c r="D311" s="47" t="s">
        <v>292</v>
      </c>
      <c r="E311" s="48"/>
      <c r="F311" s="49">
        <v>50</v>
      </c>
      <c r="G311" s="50" t="s">
        <v>104</v>
      </c>
      <c r="H311" s="49">
        <v>10</v>
      </c>
      <c r="I311" s="50" t="s">
        <v>292</v>
      </c>
      <c r="J311" s="51">
        <v>4300</v>
      </c>
      <c r="K311" s="47" t="s">
        <v>292</v>
      </c>
      <c r="L311" s="52">
        <v>0.125</v>
      </c>
      <c r="M311" s="52">
        <v>0.05</v>
      </c>
      <c r="N311" s="46"/>
      <c r="O311" s="50" t="s">
        <v>292</v>
      </c>
      <c r="P311" s="46">
        <f t="shared" si="91"/>
        <v>1500</v>
      </c>
      <c r="Q311" s="50" t="s">
        <v>292</v>
      </c>
      <c r="R311" s="51">
        <f t="shared" si="92"/>
        <v>5361562.5</v>
      </c>
      <c r="S311" s="32">
        <f t="shared" si="88"/>
        <v>4830236.4864864862</v>
      </c>
    </row>
    <row r="312" spans="1:19" s="17" customFormat="1">
      <c r="A312" s="109" t="s">
        <v>297</v>
      </c>
      <c r="B312" s="17" t="s">
        <v>19</v>
      </c>
      <c r="C312" s="18"/>
      <c r="D312" s="19" t="s">
        <v>292</v>
      </c>
      <c r="E312" s="20"/>
      <c r="F312" s="21">
        <v>100</v>
      </c>
      <c r="G312" s="22" t="s">
        <v>104</v>
      </c>
      <c r="H312" s="21">
        <v>10</v>
      </c>
      <c r="I312" s="22" t="s">
        <v>292</v>
      </c>
      <c r="J312" s="23">
        <v>3000</v>
      </c>
      <c r="K312" s="19" t="s">
        <v>292</v>
      </c>
      <c r="L312" s="24">
        <v>0.125</v>
      </c>
      <c r="M312" s="24">
        <v>0.05</v>
      </c>
      <c r="N312" s="18"/>
      <c r="O312" s="22" t="s">
        <v>292</v>
      </c>
      <c r="P312" s="18">
        <f t="shared" si="91"/>
        <v>0</v>
      </c>
      <c r="Q312" s="22" t="s">
        <v>292</v>
      </c>
      <c r="R312" s="23">
        <f t="shared" si="92"/>
        <v>0</v>
      </c>
      <c r="S312" s="23">
        <f t="shared" si="88"/>
        <v>0</v>
      </c>
    </row>
    <row r="313" spans="1:19" s="17" customFormat="1">
      <c r="A313" s="109" t="s">
        <v>298</v>
      </c>
      <c r="B313" s="17" t="s">
        <v>19</v>
      </c>
      <c r="C313" s="18"/>
      <c r="D313" s="19" t="s">
        <v>292</v>
      </c>
      <c r="E313" s="20"/>
      <c r="F313" s="21">
        <v>100</v>
      </c>
      <c r="G313" s="22" t="s">
        <v>104</v>
      </c>
      <c r="H313" s="21">
        <v>10</v>
      </c>
      <c r="I313" s="22" t="s">
        <v>292</v>
      </c>
      <c r="J313" s="23">
        <v>3000</v>
      </c>
      <c r="K313" s="19" t="s">
        <v>292</v>
      </c>
      <c r="L313" s="24">
        <v>0.125</v>
      </c>
      <c r="M313" s="24">
        <v>0.05</v>
      </c>
      <c r="N313" s="18"/>
      <c r="O313" s="22" t="s">
        <v>292</v>
      </c>
      <c r="P313" s="18">
        <f t="shared" si="91"/>
        <v>0</v>
      </c>
      <c r="Q313" s="22" t="s">
        <v>292</v>
      </c>
      <c r="R313" s="23">
        <f t="shared" si="92"/>
        <v>0</v>
      </c>
      <c r="S313" s="23">
        <f t="shared" si="88"/>
        <v>0</v>
      </c>
    </row>
    <row r="314" spans="1:19" s="17" customFormat="1">
      <c r="A314" s="109" t="s">
        <v>299</v>
      </c>
      <c r="B314" s="17" t="s">
        <v>19</v>
      </c>
      <c r="C314" s="18"/>
      <c r="D314" s="19" t="s">
        <v>292</v>
      </c>
      <c r="E314" s="20"/>
      <c r="F314" s="21">
        <v>50</v>
      </c>
      <c r="G314" s="22" t="s">
        <v>104</v>
      </c>
      <c r="H314" s="21">
        <v>10</v>
      </c>
      <c r="I314" s="22" t="s">
        <v>292</v>
      </c>
      <c r="J314" s="23">
        <v>4300</v>
      </c>
      <c r="K314" s="19" t="s">
        <v>292</v>
      </c>
      <c r="L314" s="24">
        <v>0.125</v>
      </c>
      <c r="M314" s="24">
        <v>0.05</v>
      </c>
      <c r="N314" s="18"/>
      <c r="O314" s="22" t="s">
        <v>292</v>
      </c>
      <c r="P314" s="18">
        <f t="shared" si="91"/>
        <v>0</v>
      </c>
      <c r="Q314" s="22" t="s">
        <v>292</v>
      </c>
      <c r="R314" s="23">
        <f t="shared" si="92"/>
        <v>0</v>
      </c>
      <c r="S314" s="23">
        <f t="shared" si="88"/>
        <v>0</v>
      </c>
    </row>
    <row r="315" spans="1:19" s="17" customFormat="1">
      <c r="A315" s="109" t="s">
        <v>300</v>
      </c>
      <c r="B315" s="17" t="s">
        <v>19</v>
      </c>
      <c r="C315" s="18"/>
      <c r="D315" s="19" t="s">
        <v>104</v>
      </c>
      <c r="E315" s="20">
        <v>2</v>
      </c>
      <c r="F315" s="21">
        <v>1</v>
      </c>
      <c r="G315" s="22" t="s">
        <v>21</v>
      </c>
      <c r="H315" s="21">
        <v>50</v>
      </c>
      <c r="I315" s="22" t="s">
        <v>104</v>
      </c>
      <c r="J315" s="23">
        <v>15500</v>
      </c>
      <c r="K315" s="19" t="s">
        <v>104</v>
      </c>
      <c r="L315" s="24">
        <v>0.125</v>
      </c>
      <c r="M315" s="24">
        <v>0.05</v>
      </c>
      <c r="N315" s="18">
        <v>100</v>
      </c>
      <c r="O315" s="22" t="s">
        <v>104</v>
      </c>
      <c r="P315" s="18">
        <f t="shared" si="91"/>
        <v>0</v>
      </c>
      <c r="Q315" s="22" t="s">
        <v>104</v>
      </c>
      <c r="R315" s="23">
        <f t="shared" si="92"/>
        <v>0</v>
      </c>
      <c r="S315" s="23">
        <f t="shared" si="88"/>
        <v>0</v>
      </c>
    </row>
    <row r="316" spans="1:19" s="45" customFormat="1">
      <c r="A316" s="44" t="s">
        <v>301</v>
      </c>
      <c r="B316" s="45" t="s">
        <v>26</v>
      </c>
      <c r="C316" s="46">
        <v>250</v>
      </c>
      <c r="D316" s="47" t="s">
        <v>302</v>
      </c>
      <c r="E316" s="48">
        <v>2</v>
      </c>
      <c r="F316" s="49">
        <v>1</v>
      </c>
      <c r="G316" s="50" t="s">
        <v>21</v>
      </c>
      <c r="H316" s="49">
        <v>50</v>
      </c>
      <c r="I316" s="50" t="s">
        <v>302</v>
      </c>
      <c r="J316" s="51">
        <f>975000/50</f>
        <v>19500</v>
      </c>
      <c r="K316" s="47" t="s">
        <v>302</v>
      </c>
      <c r="L316" s="52"/>
      <c r="M316" s="52">
        <v>0.17</v>
      </c>
      <c r="N316" s="46">
        <f>50+(500/10)+(500/10)</f>
        <v>150</v>
      </c>
      <c r="O316" s="50" t="s">
        <v>302</v>
      </c>
      <c r="P316" s="46">
        <f t="shared" si="91"/>
        <v>200</v>
      </c>
      <c r="Q316" s="50" t="s">
        <v>302</v>
      </c>
      <c r="R316" s="51">
        <f t="shared" si="92"/>
        <v>3237000</v>
      </c>
      <c r="S316" s="51">
        <f t="shared" si="88"/>
        <v>2916216.2162162159</v>
      </c>
    </row>
    <row r="317" spans="1:19">
      <c r="A317" s="34" t="s">
        <v>303</v>
      </c>
      <c r="B317" s="2" t="s">
        <v>26</v>
      </c>
      <c r="C317" s="3">
        <v>70</v>
      </c>
      <c r="D317" s="4" t="s">
        <v>302</v>
      </c>
      <c r="F317" s="6">
        <v>1</v>
      </c>
      <c r="G317" s="7" t="s">
        <v>21</v>
      </c>
      <c r="H317" s="6">
        <v>50</v>
      </c>
      <c r="I317" s="7" t="s">
        <v>302</v>
      </c>
      <c r="J317" s="8">
        <f>1275000/50</f>
        <v>25500</v>
      </c>
      <c r="K317" s="4" t="s">
        <v>302</v>
      </c>
      <c r="M317" s="9">
        <v>0.17</v>
      </c>
      <c r="N317" s="3">
        <f>10+20</f>
        <v>30</v>
      </c>
      <c r="O317" s="7" t="s">
        <v>302</v>
      </c>
      <c r="P317" s="3">
        <f t="shared" si="91"/>
        <v>40</v>
      </c>
      <c r="Q317" s="7" t="s">
        <v>302</v>
      </c>
      <c r="R317" s="8">
        <f t="shared" si="92"/>
        <v>846600</v>
      </c>
      <c r="S317" s="32">
        <f t="shared" si="88"/>
        <v>762702.70270270261</v>
      </c>
    </row>
    <row r="318" spans="1:19">
      <c r="A318" s="15" t="s">
        <v>304</v>
      </c>
      <c r="S318" s="23"/>
    </row>
    <row r="319" spans="1:19" s="45" customFormat="1">
      <c r="A319" s="44" t="s">
        <v>305</v>
      </c>
      <c r="B319" s="45" t="s">
        <v>19</v>
      </c>
      <c r="C319" s="46">
        <v>2</v>
      </c>
      <c r="D319" s="47" t="s">
        <v>20</v>
      </c>
      <c r="E319" s="48">
        <f>1+2</f>
        <v>3</v>
      </c>
      <c r="F319" s="49">
        <v>1</v>
      </c>
      <c r="G319" s="50" t="s">
        <v>21</v>
      </c>
      <c r="H319" s="49">
        <v>20</v>
      </c>
      <c r="I319" s="50" t="s">
        <v>20</v>
      </c>
      <c r="J319" s="51">
        <v>40500</v>
      </c>
      <c r="K319" s="47" t="s">
        <v>20</v>
      </c>
      <c r="L319" s="52">
        <v>0.125</v>
      </c>
      <c r="M319" s="52">
        <v>0.05</v>
      </c>
      <c r="N319" s="46">
        <f>40+20</f>
        <v>60</v>
      </c>
      <c r="O319" s="50" t="s">
        <v>20</v>
      </c>
      <c r="P319" s="46">
        <f t="shared" ref="P319:P322" si="93">(C319+(E319*F319*H319))-N319</f>
        <v>2</v>
      </c>
      <c r="Q319" s="50" t="s">
        <v>20</v>
      </c>
      <c r="R319" s="51">
        <f t="shared" ref="R319:R322" si="94">P319*(J319-(J319*L319)-((J319-(J319*L319))*M319))</f>
        <v>67331.25</v>
      </c>
      <c r="S319" s="51">
        <f t="shared" si="88"/>
        <v>60658.78378378378</v>
      </c>
    </row>
    <row r="320" spans="1:19" s="45" customFormat="1">
      <c r="A320" s="44" t="s">
        <v>306</v>
      </c>
      <c r="B320" s="45" t="s">
        <v>26</v>
      </c>
      <c r="C320" s="46">
        <v>91</v>
      </c>
      <c r="D320" s="47" t="s">
        <v>20</v>
      </c>
      <c r="E320" s="48">
        <v>1</v>
      </c>
      <c r="F320" s="49">
        <v>1</v>
      </c>
      <c r="G320" s="50" t="s">
        <v>21</v>
      </c>
      <c r="H320" s="49">
        <v>50</v>
      </c>
      <c r="I320" s="50" t="s">
        <v>20</v>
      </c>
      <c r="J320" s="51">
        <f>2250000/50</f>
        <v>45000</v>
      </c>
      <c r="K320" s="47" t="s">
        <v>20</v>
      </c>
      <c r="L320" s="52"/>
      <c r="M320" s="52">
        <v>0.17</v>
      </c>
      <c r="N320" s="46">
        <f>6+50+6+6+50+7+12</f>
        <v>137</v>
      </c>
      <c r="O320" s="50" t="s">
        <v>20</v>
      </c>
      <c r="P320" s="46">
        <f t="shared" si="93"/>
        <v>4</v>
      </c>
      <c r="Q320" s="50" t="s">
        <v>20</v>
      </c>
      <c r="R320" s="51">
        <f t="shared" si="94"/>
        <v>149400</v>
      </c>
      <c r="S320" s="51">
        <f t="shared" si="88"/>
        <v>134594.59459459459</v>
      </c>
    </row>
    <row r="321" spans="1:19" s="85" customFormat="1">
      <c r="A321" s="84" t="s">
        <v>307</v>
      </c>
      <c r="B321" s="85" t="s">
        <v>26</v>
      </c>
      <c r="C321" s="86">
        <v>33</v>
      </c>
      <c r="D321" s="87" t="s">
        <v>20</v>
      </c>
      <c r="E321" s="92"/>
      <c r="F321" s="88">
        <v>1</v>
      </c>
      <c r="G321" s="89" t="s">
        <v>21</v>
      </c>
      <c r="H321" s="88">
        <v>50</v>
      </c>
      <c r="I321" s="89" t="s">
        <v>20</v>
      </c>
      <c r="J321" s="90">
        <f>2750000/50</f>
        <v>55000</v>
      </c>
      <c r="K321" s="87" t="s">
        <v>20</v>
      </c>
      <c r="L321" s="91"/>
      <c r="M321" s="91">
        <v>0.17</v>
      </c>
      <c r="N321" s="86"/>
      <c r="O321" s="89" t="s">
        <v>20</v>
      </c>
      <c r="P321" s="86">
        <f t="shared" si="93"/>
        <v>33</v>
      </c>
      <c r="Q321" s="89" t="s">
        <v>20</v>
      </c>
      <c r="R321" s="90">
        <f t="shared" si="94"/>
        <v>1506450</v>
      </c>
      <c r="S321" s="32">
        <f t="shared" si="88"/>
        <v>1357162.1621621621</v>
      </c>
    </row>
    <row r="322" spans="1:19" s="17" customFormat="1">
      <c r="A322" s="93" t="s">
        <v>308</v>
      </c>
      <c r="B322" s="17" t="s">
        <v>26</v>
      </c>
      <c r="C322" s="18">
        <v>62</v>
      </c>
      <c r="D322" s="19" t="s">
        <v>20</v>
      </c>
      <c r="E322" s="20"/>
      <c r="F322" s="21">
        <v>1</v>
      </c>
      <c r="G322" s="22" t="s">
        <v>21</v>
      </c>
      <c r="H322" s="21">
        <v>50</v>
      </c>
      <c r="I322" s="22" t="s">
        <v>20</v>
      </c>
      <c r="J322" s="23">
        <f>4750000/50</f>
        <v>95000</v>
      </c>
      <c r="K322" s="19" t="s">
        <v>20</v>
      </c>
      <c r="L322" s="24"/>
      <c r="M322" s="24">
        <v>0.17</v>
      </c>
      <c r="N322" s="18">
        <f>12+50</f>
        <v>62</v>
      </c>
      <c r="O322" s="22" t="s">
        <v>20</v>
      </c>
      <c r="P322" s="18">
        <f t="shared" si="93"/>
        <v>0</v>
      </c>
      <c r="Q322" s="22" t="s">
        <v>20</v>
      </c>
      <c r="R322" s="23">
        <f t="shared" si="94"/>
        <v>0</v>
      </c>
      <c r="S322" s="23">
        <f t="shared" si="88"/>
        <v>0</v>
      </c>
    </row>
    <row r="323" spans="1:19">
      <c r="S323" s="23"/>
    </row>
    <row r="324" spans="1:19" ht="15.75">
      <c r="A324" s="14" t="s">
        <v>309</v>
      </c>
      <c r="S324" s="23"/>
    </row>
    <row r="325" spans="1:19" s="17" customFormat="1">
      <c r="A325" s="16" t="s">
        <v>310</v>
      </c>
      <c r="B325" s="17" t="s">
        <v>19</v>
      </c>
      <c r="C325" s="18"/>
      <c r="D325" s="19" t="s">
        <v>104</v>
      </c>
      <c r="E325" s="20"/>
      <c r="F325" s="21">
        <v>1</v>
      </c>
      <c r="G325" s="22" t="s">
        <v>21</v>
      </c>
      <c r="H325" s="21">
        <v>10</v>
      </c>
      <c r="I325" s="22" t="s">
        <v>104</v>
      </c>
      <c r="J325" s="23">
        <v>102000</v>
      </c>
      <c r="K325" s="19" t="s">
        <v>104</v>
      </c>
      <c r="L325" s="24">
        <v>0.125</v>
      </c>
      <c r="M325" s="24">
        <v>0.05</v>
      </c>
      <c r="N325" s="18"/>
      <c r="O325" s="22" t="s">
        <v>104</v>
      </c>
      <c r="P325" s="18">
        <f>(C325+(E325*F325*H325))-N325</f>
        <v>0</v>
      </c>
      <c r="Q325" s="22" t="s">
        <v>104</v>
      </c>
      <c r="R325" s="23">
        <f>P325*(J325-(J325*L325)-((J325-(J325*L325))*M325))</f>
        <v>0</v>
      </c>
      <c r="S325" s="23">
        <f t="shared" si="88"/>
        <v>0</v>
      </c>
    </row>
    <row r="326" spans="1:19" s="17" customFormat="1">
      <c r="A326" s="16" t="s">
        <v>311</v>
      </c>
      <c r="B326" s="17" t="s">
        <v>26</v>
      </c>
      <c r="C326" s="18">
        <v>100</v>
      </c>
      <c r="D326" s="19" t="s">
        <v>104</v>
      </c>
      <c r="E326" s="20">
        <v>2</v>
      </c>
      <c r="F326" s="21">
        <v>1</v>
      </c>
      <c r="G326" s="22" t="s">
        <v>21</v>
      </c>
      <c r="H326" s="21">
        <v>10</v>
      </c>
      <c r="I326" s="22" t="s">
        <v>104</v>
      </c>
      <c r="J326" s="23">
        <f>1150000/10</f>
        <v>115000</v>
      </c>
      <c r="K326" s="19" t="s">
        <v>104</v>
      </c>
      <c r="L326" s="24"/>
      <c r="M326" s="24">
        <v>0.17</v>
      </c>
      <c r="N326" s="18">
        <f>20+100</f>
        <v>120</v>
      </c>
      <c r="O326" s="22" t="s">
        <v>104</v>
      </c>
      <c r="P326" s="18">
        <f>(C326+(E326*F326*H326))-N326</f>
        <v>0</v>
      </c>
      <c r="Q326" s="22" t="s">
        <v>104</v>
      </c>
      <c r="R326" s="23">
        <f>P326*(J326-(J326*L326)-((J326-(J326*L326))*M326))</f>
        <v>0</v>
      </c>
      <c r="S326" s="23">
        <f t="shared" si="88"/>
        <v>0</v>
      </c>
    </row>
    <row r="327" spans="1:19">
      <c r="S327" s="23"/>
    </row>
    <row r="328" spans="1:19" ht="15.75">
      <c r="A328" s="14" t="s">
        <v>312</v>
      </c>
      <c r="S328" s="23"/>
    </row>
    <row r="329" spans="1:19">
      <c r="A329" s="15" t="s">
        <v>313</v>
      </c>
      <c r="S329" s="23"/>
    </row>
    <row r="330" spans="1:19" s="17" customFormat="1">
      <c r="A330" s="16" t="s">
        <v>314</v>
      </c>
      <c r="B330" s="17" t="s">
        <v>19</v>
      </c>
      <c r="C330" s="18"/>
      <c r="D330" s="19" t="s">
        <v>43</v>
      </c>
      <c r="E330" s="20"/>
      <c r="F330" s="21">
        <v>48</v>
      </c>
      <c r="G330" s="22" t="s">
        <v>34</v>
      </c>
      <c r="H330" s="21">
        <v>1</v>
      </c>
      <c r="I330" s="22" t="s">
        <v>43</v>
      </c>
      <c r="J330" s="23">
        <f>1625*12</f>
        <v>19500</v>
      </c>
      <c r="K330" s="19" t="s">
        <v>43</v>
      </c>
      <c r="L330" s="24">
        <v>0.125</v>
      </c>
      <c r="M330" s="24">
        <v>0.05</v>
      </c>
      <c r="N330" s="18"/>
      <c r="O330" s="22" t="s">
        <v>43</v>
      </c>
      <c r="P330" s="18">
        <f t="shared" ref="P330:P336" si="95">(C330+(E330*F330*H330))-N330</f>
        <v>0</v>
      </c>
      <c r="Q330" s="22" t="s">
        <v>43</v>
      </c>
      <c r="R330" s="23">
        <f t="shared" ref="R330:R336" si="96">P330*(J330-(J330*L330)-((J330-(J330*L330))*M330))</f>
        <v>0</v>
      </c>
      <c r="S330" s="23">
        <f t="shared" si="88"/>
        <v>0</v>
      </c>
    </row>
    <row r="331" spans="1:19" s="17" customFormat="1">
      <c r="A331" s="71" t="s">
        <v>315</v>
      </c>
      <c r="B331" s="17" t="s">
        <v>19</v>
      </c>
      <c r="C331" s="18">
        <v>1</v>
      </c>
      <c r="D331" s="19" t="s">
        <v>43</v>
      </c>
      <c r="E331" s="20">
        <f>1+1+2</f>
        <v>4</v>
      </c>
      <c r="F331" s="21">
        <v>48</v>
      </c>
      <c r="G331" s="22" t="s">
        <v>34</v>
      </c>
      <c r="H331" s="21">
        <v>1</v>
      </c>
      <c r="I331" s="22" t="s">
        <v>43</v>
      </c>
      <c r="J331" s="23">
        <f>1550*12</f>
        <v>18600</v>
      </c>
      <c r="K331" s="19" t="s">
        <v>43</v>
      </c>
      <c r="L331" s="24">
        <v>0.125</v>
      </c>
      <c r="M331" s="24">
        <v>0.05</v>
      </c>
      <c r="N331" s="18">
        <f>48+(576/12)+48+48+1</f>
        <v>193</v>
      </c>
      <c r="O331" s="22" t="s">
        <v>43</v>
      </c>
      <c r="P331" s="18">
        <f t="shared" si="95"/>
        <v>0</v>
      </c>
      <c r="Q331" s="22" t="s">
        <v>43</v>
      </c>
      <c r="R331" s="23">
        <f t="shared" si="96"/>
        <v>0</v>
      </c>
      <c r="S331" s="23">
        <f t="shared" si="88"/>
        <v>0</v>
      </c>
    </row>
    <row r="332" spans="1:19" s="26" customFormat="1">
      <c r="A332" s="110" t="s">
        <v>316</v>
      </c>
      <c r="B332" s="26" t="s">
        <v>19</v>
      </c>
      <c r="C332" s="27">
        <v>48</v>
      </c>
      <c r="D332" s="28" t="s">
        <v>43</v>
      </c>
      <c r="E332" s="29">
        <v>1</v>
      </c>
      <c r="F332" s="30">
        <v>24</v>
      </c>
      <c r="G332" s="31" t="s">
        <v>34</v>
      </c>
      <c r="H332" s="30">
        <v>1</v>
      </c>
      <c r="I332" s="31" t="s">
        <v>43</v>
      </c>
      <c r="J332" s="32">
        <f>2150*12</f>
        <v>25800</v>
      </c>
      <c r="K332" s="28" t="s">
        <v>43</v>
      </c>
      <c r="L332" s="33">
        <v>0.125</v>
      </c>
      <c r="M332" s="33">
        <v>0.05</v>
      </c>
      <c r="N332" s="27">
        <f>24+6+2+24</f>
        <v>56</v>
      </c>
      <c r="O332" s="31" t="s">
        <v>43</v>
      </c>
      <c r="P332" s="27">
        <f t="shared" si="95"/>
        <v>16</v>
      </c>
      <c r="Q332" s="31" t="s">
        <v>43</v>
      </c>
      <c r="R332" s="32">
        <f t="shared" si="96"/>
        <v>343140</v>
      </c>
      <c r="S332" s="32">
        <f t="shared" si="88"/>
        <v>309135.13513513509</v>
      </c>
    </row>
    <row r="333" spans="1:19" s="17" customFormat="1">
      <c r="A333" s="16" t="s">
        <v>317</v>
      </c>
      <c r="B333" s="17" t="s">
        <v>19</v>
      </c>
      <c r="C333" s="18"/>
      <c r="D333" s="19" t="s">
        <v>43</v>
      </c>
      <c r="E333" s="20"/>
      <c r="F333" s="21">
        <v>24</v>
      </c>
      <c r="G333" s="22" t="s">
        <v>34</v>
      </c>
      <c r="H333" s="21">
        <v>1</v>
      </c>
      <c r="I333" s="22" t="s">
        <v>43</v>
      </c>
      <c r="J333" s="23">
        <f>3000*12</f>
        <v>36000</v>
      </c>
      <c r="K333" s="19" t="s">
        <v>43</v>
      </c>
      <c r="L333" s="24">
        <v>0.125</v>
      </c>
      <c r="M333" s="24">
        <v>0.05</v>
      </c>
      <c r="N333" s="18"/>
      <c r="O333" s="22" t="s">
        <v>43</v>
      </c>
      <c r="P333" s="18">
        <f t="shared" si="95"/>
        <v>0</v>
      </c>
      <c r="Q333" s="22" t="s">
        <v>43</v>
      </c>
      <c r="R333" s="23">
        <f t="shared" si="96"/>
        <v>0</v>
      </c>
      <c r="S333" s="23">
        <f t="shared" si="88"/>
        <v>0</v>
      </c>
    </row>
    <row r="334" spans="1:19" s="63" customFormat="1">
      <c r="A334" s="72" t="s">
        <v>318</v>
      </c>
      <c r="B334" s="63" t="s">
        <v>26</v>
      </c>
      <c r="C334" s="64">
        <v>40</v>
      </c>
      <c r="D334" s="65" t="s">
        <v>43</v>
      </c>
      <c r="E334" s="66"/>
      <c r="F334" s="67">
        <v>1</v>
      </c>
      <c r="G334" s="68" t="s">
        <v>21</v>
      </c>
      <c r="H334" s="67">
        <v>20</v>
      </c>
      <c r="I334" s="68" t="s">
        <v>43</v>
      </c>
      <c r="J334" s="69">
        <f>396000/20</f>
        <v>19800</v>
      </c>
      <c r="K334" s="65" t="s">
        <v>43</v>
      </c>
      <c r="L334" s="70"/>
      <c r="M334" s="70">
        <v>0.17</v>
      </c>
      <c r="N334" s="64">
        <v>40</v>
      </c>
      <c r="O334" s="68" t="s">
        <v>43</v>
      </c>
      <c r="P334" s="64">
        <f t="shared" si="95"/>
        <v>0</v>
      </c>
      <c r="Q334" s="68" t="s">
        <v>43</v>
      </c>
      <c r="R334" s="69">
        <f t="shared" si="96"/>
        <v>0</v>
      </c>
      <c r="S334" s="23">
        <f t="shared" si="88"/>
        <v>0</v>
      </c>
    </row>
    <row r="335" spans="1:19" s="45" customFormat="1">
      <c r="A335" s="44" t="s">
        <v>319</v>
      </c>
      <c r="B335" s="45" t="s">
        <v>26</v>
      </c>
      <c r="C335" s="46">
        <v>21</v>
      </c>
      <c r="D335" s="47" t="s">
        <v>43</v>
      </c>
      <c r="E335" s="48">
        <f>1+1+1+1</f>
        <v>4</v>
      </c>
      <c r="F335" s="49">
        <v>1</v>
      </c>
      <c r="G335" s="50" t="s">
        <v>21</v>
      </c>
      <c r="H335" s="49">
        <v>20</v>
      </c>
      <c r="I335" s="50" t="s">
        <v>43</v>
      </c>
      <c r="J335" s="51">
        <f>504000/20</f>
        <v>25200</v>
      </c>
      <c r="K335" s="47" t="s">
        <v>43</v>
      </c>
      <c r="L335" s="52"/>
      <c r="M335" s="52">
        <v>0.17</v>
      </c>
      <c r="N335" s="46">
        <f>20+20+6+20</f>
        <v>66</v>
      </c>
      <c r="O335" s="50" t="s">
        <v>43</v>
      </c>
      <c r="P335" s="46">
        <f t="shared" si="95"/>
        <v>35</v>
      </c>
      <c r="Q335" s="50" t="s">
        <v>43</v>
      </c>
      <c r="R335" s="51">
        <f t="shared" si="96"/>
        <v>732060</v>
      </c>
      <c r="S335" s="32">
        <f t="shared" si="88"/>
        <v>659513.51351351349</v>
      </c>
    </row>
    <row r="336" spans="1:19" s="63" customFormat="1">
      <c r="A336" s="72" t="s">
        <v>320</v>
      </c>
      <c r="B336" s="63" t="s">
        <v>26</v>
      </c>
      <c r="C336" s="64"/>
      <c r="D336" s="65" t="s">
        <v>43</v>
      </c>
      <c r="E336" s="66"/>
      <c r="F336" s="67">
        <v>1</v>
      </c>
      <c r="G336" s="68" t="s">
        <v>21</v>
      </c>
      <c r="H336" s="67">
        <v>20</v>
      </c>
      <c r="I336" s="68" t="s">
        <v>43</v>
      </c>
      <c r="J336" s="69">
        <f>480000/20</f>
        <v>24000</v>
      </c>
      <c r="K336" s="65" t="s">
        <v>43</v>
      </c>
      <c r="L336" s="70"/>
      <c r="M336" s="70">
        <v>0.17</v>
      </c>
      <c r="N336" s="64"/>
      <c r="O336" s="68" t="s">
        <v>43</v>
      </c>
      <c r="P336" s="64">
        <f t="shared" si="95"/>
        <v>0</v>
      </c>
      <c r="Q336" s="68" t="s">
        <v>43</v>
      </c>
      <c r="R336" s="69">
        <f t="shared" si="96"/>
        <v>0</v>
      </c>
      <c r="S336" s="23">
        <f t="shared" si="88"/>
        <v>0</v>
      </c>
    </row>
    <row r="337" spans="1:19">
      <c r="A337" s="15" t="s">
        <v>321</v>
      </c>
      <c r="S337" s="23">
        <f t="shared" si="88"/>
        <v>0</v>
      </c>
    </row>
    <row r="338" spans="1:19" s="17" customFormat="1">
      <c r="A338" s="16" t="s">
        <v>322</v>
      </c>
      <c r="B338" s="17" t="s">
        <v>19</v>
      </c>
      <c r="C338" s="18"/>
      <c r="D338" s="19" t="s">
        <v>34</v>
      </c>
      <c r="E338" s="20"/>
      <c r="F338" s="21">
        <v>1</v>
      </c>
      <c r="G338" s="22" t="s">
        <v>21</v>
      </c>
      <c r="H338" s="21">
        <v>64</v>
      </c>
      <c r="I338" s="22" t="s">
        <v>34</v>
      </c>
      <c r="J338" s="23">
        <f>2200*12</f>
        <v>26400</v>
      </c>
      <c r="K338" s="19" t="s">
        <v>34</v>
      </c>
      <c r="L338" s="24">
        <v>0.125</v>
      </c>
      <c r="M338" s="24">
        <v>0.05</v>
      </c>
      <c r="N338" s="18"/>
      <c r="O338" s="22" t="s">
        <v>34</v>
      </c>
      <c r="P338" s="18">
        <f t="shared" ref="P338:P346" si="97">(C338+(E338*F338*H338))-N338</f>
        <v>0</v>
      </c>
      <c r="Q338" s="22" t="s">
        <v>34</v>
      </c>
      <c r="R338" s="23">
        <f t="shared" ref="R338:R346" si="98">P338*(J338-(J338*L338)-((J338-(J338*L338))*M338))</f>
        <v>0</v>
      </c>
      <c r="S338" s="23">
        <f t="shared" si="88"/>
        <v>0</v>
      </c>
    </row>
    <row r="339" spans="1:19" s="26" customFormat="1">
      <c r="A339" s="25" t="s">
        <v>323</v>
      </c>
      <c r="B339" s="26" t="s">
        <v>19</v>
      </c>
      <c r="C339" s="27">
        <v>44</v>
      </c>
      <c r="D339" s="28" t="s">
        <v>34</v>
      </c>
      <c r="E339" s="29"/>
      <c r="F339" s="30">
        <v>1</v>
      </c>
      <c r="G339" s="31" t="s">
        <v>21</v>
      </c>
      <c r="H339" s="30">
        <v>54</v>
      </c>
      <c r="I339" s="31" t="s">
        <v>34</v>
      </c>
      <c r="J339" s="32">
        <f>3400*12</f>
        <v>40800</v>
      </c>
      <c r="K339" s="28" t="s">
        <v>34</v>
      </c>
      <c r="L339" s="33">
        <v>0.125</v>
      </c>
      <c r="M339" s="33">
        <v>0.05</v>
      </c>
      <c r="N339" s="27"/>
      <c r="O339" s="31" t="s">
        <v>34</v>
      </c>
      <c r="P339" s="27">
        <f t="shared" si="97"/>
        <v>44</v>
      </c>
      <c r="Q339" s="31" t="s">
        <v>34</v>
      </c>
      <c r="R339" s="32">
        <f t="shared" si="98"/>
        <v>1492260</v>
      </c>
      <c r="S339" s="32">
        <f t="shared" si="88"/>
        <v>1344378.3783783782</v>
      </c>
    </row>
    <row r="340" spans="1:19" s="45" customFormat="1">
      <c r="A340" s="44" t="s">
        <v>324</v>
      </c>
      <c r="B340" s="45" t="s">
        <v>19</v>
      </c>
      <c r="C340" s="46"/>
      <c r="D340" s="47" t="s">
        <v>34</v>
      </c>
      <c r="E340" s="48">
        <f>5+2</f>
        <v>7</v>
      </c>
      <c r="F340" s="49">
        <v>1</v>
      </c>
      <c r="G340" s="50" t="s">
        <v>21</v>
      </c>
      <c r="H340" s="49">
        <v>36</v>
      </c>
      <c r="I340" s="50" t="s">
        <v>34</v>
      </c>
      <c r="J340" s="51">
        <f>2200*24</f>
        <v>52800</v>
      </c>
      <c r="K340" s="47" t="s">
        <v>34</v>
      </c>
      <c r="L340" s="52">
        <v>0.125</v>
      </c>
      <c r="M340" s="52">
        <v>0.05</v>
      </c>
      <c r="N340" s="46">
        <f>(1728/24)+(2592/24)</f>
        <v>180</v>
      </c>
      <c r="O340" s="50" t="s">
        <v>34</v>
      </c>
      <c r="P340" s="46">
        <f t="shared" si="97"/>
        <v>72</v>
      </c>
      <c r="Q340" s="50" t="s">
        <v>34</v>
      </c>
      <c r="R340" s="51">
        <f t="shared" si="98"/>
        <v>3160080</v>
      </c>
      <c r="S340" s="32">
        <f t="shared" si="88"/>
        <v>2846918.9189189188</v>
      </c>
    </row>
    <row r="341" spans="1:19" s="17" customFormat="1">
      <c r="A341" s="16" t="s">
        <v>325</v>
      </c>
      <c r="B341" s="17" t="s">
        <v>19</v>
      </c>
      <c r="C341" s="18"/>
      <c r="D341" s="19" t="s">
        <v>34</v>
      </c>
      <c r="E341" s="20"/>
      <c r="F341" s="21">
        <v>1</v>
      </c>
      <c r="G341" s="22" t="s">
        <v>21</v>
      </c>
      <c r="H341" s="21">
        <v>32</v>
      </c>
      <c r="I341" s="22" t="s">
        <v>34</v>
      </c>
      <c r="J341" s="23">
        <f>1300*12</f>
        <v>15600</v>
      </c>
      <c r="K341" s="19" t="s">
        <v>34</v>
      </c>
      <c r="L341" s="24">
        <v>0.125</v>
      </c>
      <c r="M341" s="24">
        <v>0.05</v>
      </c>
      <c r="N341" s="18"/>
      <c r="O341" s="22" t="s">
        <v>34</v>
      </c>
      <c r="P341" s="18">
        <f t="shared" si="97"/>
        <v>0</v>
      </c>
      <c r="Q341" s="22" t="s">
        <v>34</v>
      </c>
      <c r="R341" s="23">
        <f t="shared" si="98"/>
        <v>0</v>
      </c>
      <c r="S341" s="23">
        <f t="shared" si="88"/>
        <v>0</v>
      </c>
    </row>
    <row r="342" spans="1:19" s="63" customFormat="1">
      <c r="A342" s="111" t="s">
        <v>326</v>
      </c>
      <c r="B342" s="63" t="s">
        <v>19</v>
      </c>
      <c r="C342" s="64"/>
      <c r="D342" s="65" t="s">
        <v>34</v>
      </c>
      <c r="E342" s="66"/>
      <c r="F342" s="67">
        <v>1</v>
      </c>
      <c r="G342" s="68" t="s">
        <v>21</v>
      </c>
      <c r="H342" s="67">
        <v>36</v>
      </c>
      <c r="I342" s="68" t="s">
        <v>34</v>
      </c>
      <c r="J342" s="69">
        <f>2300*24</f>
        <v>55200</v>
      </c>
      <c r="K342" s="65" t="s">
        <v>34</v>
      </c>
      <c r="L342" s="70">
        <v>0.125</v>
      </c>
      <c r="M342" s="70">
        <v>0.05</v>
      </c>
      <c r="N342" s="64"/>
      <c r="O342" s="68" t="s">
        <v>34</v>
      </c>
      <c r="P342" s="64">
        <f>(C342+(E342*F342*H342))-N342</f>
        <v>0</v>
      </c>
      <c r="Q342" s="68" t="s">
        <v>34</v>
      </c>
      <c r="R342" s="69">
        <f t="shared" si="98"/>
        <v>0</v>
      </c>
      <c r="S342" s="23">
        <f t="shared" si="88"/>
        <v>0</v>
      </c>
    </row>
    <row r="343" spans="1:19" s="63" customFormat="1">
      <c r="A343" s="111" t="s">
        <v>327</v>
      </c>
      <c r="B343" s="63" t="s">
        <v>19</v>
      </c>
      <c r="C343" s="64">
        <v>72</v>
      </c>
      <c r="D343" s="65" t="s">
        <v>34</v>
      </c>
      <c r="E343" s="66">
        <v>2</v>
      </c>
      <c r="F343" s="67">
        <v>1</v>
      </c>
      <c r="G343" s="68" t="s">
        <v>21</v>
      </c>
      <c r="H343" s="67">
        <v>36</v>
      </c>
      <c r="I343" s="68" t="s">
        <v>34</v>
      </c>
      <c r="J343" s="69">
        <f>2450*24</f>
        <v>58800</v>
      </c>
      <c r="K343" s="65" t="s">
        <v>34</v>
      </c>
      <c r="L343" s="70">
        <v>0.125</v>
      </c>
      <c r="M343" s="70">
        <v>0.05</v>
      </c>
      <c r="N343" s="64">
        <f>72+72</f>
        <v>144</v>
      </c>
      <c r="O343" s="68" t="s">
        <v>34</v>
      </c>
      <c r="P343" s="64">
        <f>(C343+(E343*F343*H343))-N343</f>
        <v>0</v>
      </c>
      <c r="Q343" s="68" t="s">
        <v>34</v>
      </c>
      <c r="R343" s="69">
        <f t="shared" si="98"/>
        <v>0</v>
      </c>
      <c r="S343" s="23">
        <f t="shared" si="88"/>
        <v>0</v>
      </c>
    </row>
    <row r="344" spans="1:19" s="63" customFormat="1">
      <c r="A344" s="72" t="s">
        <v>328</v>
      </c>
      <c r="B344" s="63" t="s">
        <v>26</v>
      </c>
      <c r="C344" s="64">
        <f>94+49</f>
        <v>143</v>
      </c>
      <c r="D344" s="65" t="s">
        <v>34</v>
      </c>
      <c r="E344" s="66">
        <f>1+2</f>
        <v>3</v>
      </c>
      <c r="F344" s="67">
        <v>1</v>
      </c>
      <c r="G344" s="68" t="s">
        <v>21</v>
      </c>
      <c r="H344" s="67">
        <v>36</v>
      </c>
      <c r="I344" s="68" t="s">
        <v>34</v>
      </c>
      <c r="J344" s="69">
        <f>2376000/36</f>
        <v>66000</v>
      </c>
      <c r="K344" s="65" t="s">
        <v>34</v>
      </c>
      <c r="L344" s="70"/>
      <c r="M344" s="70">
        <v>0.17</v>
      </c>
      <c r="N344" s="64">
        <f>5+3+36+4+10+13+36+36+72+36</f>
        <v>251</v>
      </c>
      <c r="O344" s="68" t="s">
        <v>34</v>
      </c>
      <c r="P344" s="64">
        <f t="shared" si="97"/>
        <v>0</v>
      </c>
      <c r="Q344" s="68" t="s">
        <v>34</v>
      </c>
      <c r="R344" s="69">
        <f t="shared" si="98"/>
        <v>0</v>
      </c>
      <c r="S344" s="69">
        <f t="shared" si="88"/>
        <v>0</v>
      </c>
    </row>
    <row r="345" spans="1:19">
      <c r="A345" s="34" t="s">
        <v>329</v>
      </c>
      <c r="B345" s="2" t="s">
        <v>26</v>
      </c>
      <c r="C345" s="3">
        <v>151</v>
      </c>
      <c r="D345" s="4" t="s">
        <v>34</v>
      </c>
      <c r="E345" s="5">
        <f>1+1</f>
        <v>2</v>
      </c>
      <c r="F345" s="6">
        <v>1</v>
      </c>
      <c r="G345" s="7" t="s">
        <v>21</v>
      </c>
      <c r="H345" s="6">
        <v>36</v>
      </c>
      <c r="I345" s="7" t="s">
        <v>34</v>
      </c>
      <c r="J345" s="8">
        <f>2592000/36</f>
        <v>72000</v>
      </c>
      <c r="K345" s="4" t="s">
        <v>34</v>
      </c>
      <c r="M345" s="9">
        <v>0.17</v>
      </c>
      <c r="N345" s="3">
        <f>3+30+36+36</f>
        <v>105</v>
      </c>
      <c r="O345" s="7" t="s">
        <v>34</v>
      </c>
      <c r="P345" s="3">
        <f t="shared" si="97"/>
        <v>118</v>
      </c>
      <c r="Q345" s="7" t="s">
        <v>34</v>
      </c>
      <c r="R345" s="8">
        <f t="shared" si="98"/>
        <v>7051680</v>
      </c>
      <c r="S345" s="32">
        <f t="shared" si="88"/>
        <v>6352864.8648648644</v>
      </c>
    </row>
    <row r="346" spans="1:19" s="63" customFormat="1">
      <c r="A346" s="72" t="s">
        <v>330</v>
      </c>
      <c r="B346" s="63" t="s">
        <v>26</v>
      </c>
      <c r="C346" s="64"/>
      <c r="D346" s="65" t="s">
        <v>34</v>
      </c>
      <c r="E346" s="66"/>
      <c r="F346" s="67">
        <v>1</v>
      </c>
      <c r="G346" s="68" t="s">
        <v>21</v>
      </c>
      <c r="H346" s="67">
        <v>36</v>
      </c>
      <c r="I346" s="68" t="s">
        <v>34</v>
      </c>
      <c r="J346" s="69">
        <f>2160000/36</f>
        <v>60000</v>
      </c>
      <c r="K346" s="65" t="s">
        <v>34</v>
      </c>
      <c r="L346" s="70"/>
      <c r="M346" s="70">
        <v>0.17</v>
      </c>
      <c r="N346" s="64"/>
      <c r="O346" s="68" t="s">
        <v>34</v>
      </c>
      <c r="P346" s="64">
        <f t="shared" si="97"/>
        <v>0</v>
      </c>
      <c r="Q346" s="68" t="s">
        <v>34</v>
      </c>
      <c r="R346" s="69">
        <f t="shared" si="98"/>
        <v>0</v>
      </c>
      <c r="S346" s="23">
        <f t="shared" si="88"/>
        <v>0</v>
      </c>
    </row>
    <row r="347" spans="1:19">
      <c r="A347" s="15" t="s">
        <v>331</v>
      </c>
      <c r="S347" s="23"/>
    </row>
    <row r="348" spans="1:19" s="63" customFormat="1">
      <c r="A348" s="72" t="s">
        <v>332</v>
      </c>
      <c r="B348" s="63" t="s">
        <v>26</v>
      </c>
      <c r="C348" s="64">
        <v>5</v>
      </c>
      <c r="D348" s="65" t="s">
        <v>108</v>
      </c>
      <c r="E348" s="66"/>
      <c r="F348" s="67">
        <v>1</v>
      </c>
      <c r="G348" s="68" t="s">
        <v>21</v>
      </c>
      <c r="H348" s="67">
        <v>60</v>
      </c>
      <c r="I348" s="68" t="s">
        <v>108</v>
      </c>
      <c r="J348" s="69">
        <v>18600</v>
      </c>
      <c r="K348" s="65" t="s">
        <v>108</v>
      </c>
      <c r="L348" s="70"/>
      <c r="M348" s="70">
        <v>0.17</v>
      </c>
      <c r="N348" s="64">
        <f>3+1+1</f>
        <v>5</v>
      </c>
      <c r="O348" s="68" t="s">
        <v>108</v>
      </c>
      <c r="P348" s="64">
        <f>(C348+(E348*F348*H348))-N348</f>
        <v>0</v>
      </c>
      <c r="Q348" s="68" t="s">
        <v>108</v>
      </c>
      <c r="R348" s="69">
        <f>P348*(J348-(J348*L348)-((J348-(J348*L348))*M348))</f>
        <v>0</v>
      </c>
      <c r="S348" s="23">
        <f t="shared" si="88"/>
        <v>0</v>
      </c>
    </row>
    <row r="349" spans="1:19">
      <c r="A349" s="15" t="s">
        <v>333</v>
      </c>
      <c r="S349" s="23"/>
    </row>
    <row r="350" spans="1:19" s="45" customFormat="1">
      <c r="A350" s="44" t="s">
        <v>334</v>
      </c>
      <c r="B350" s="45" t="s">
        <v>335</v>
      </c>
      <c r="C350" s="46">
        <v>759</v>
      </c>
      <c r="D350" s="47" t="s">
        <v>336</v>
      </c>
      <c r="E350" s="48"/>
      <c r="F350" s="49">
        <v>1</v>
      </c>
      <c r="G350" s="50" t="s">
        <v>21</v>
      </c>
      <c r="H350" s="49">
        <v>25</v>
      </c>
      <c r="I350" s="50" t="s">
        <v>336</v>
      </c>
      <c r="J350" s="51">
        <v>55000</v>
      </c>
      <c r="K350" s="47" t="s">
        <v>336</v>
      </c>
      <c r="L350" s="52"/>
      <c r="M350" s="52"/>
      <c r="N350" s="46">
        <f>25+50</f>
        <v>75</v>
      </c>
      <c r="O350" s="50" t="s">
        <v>336</v>
      </c>
      <c r="P350" s="46">
        <f>(C350+(E350*F350*H350))-N350</f>
        <v>684</v>
      </c>
      <c r="Q350" s="50" t="s">
        <v>336</v>
      </c>
      <c r="R350" s="51">
        <f>P350*(J350-(J350*L350)-((J350-(J350*L350))*M350))</f>
        <v>37620000</v>
      </c>
      <c r="S350" s="32">
        <f t="shared" si="88"/>
        <v>33891891.891891889</v>
      </c>
    </row>
    <row r="351" spans="1:19">
      <c r="S351" s="23"/>
    </row>
    <row r="352" spans="1:19" ht="15.75">
      <c r="A352" s="14" t="s">
        <v>337</v>
      </c>
      <c r="S352" s="23"/>
    </row>
    <row r="353" spans="1:20" s="17" customFormat="1">
      <c r="A353" s="16" t="s">
        <v>338</v>
      </c>
      <c r="B353" s="17" t="s">
        <v>19</v>
      </c>
      <c r="C353" s="18">
        <v>615</v>
      </c>
      <c r="D353" s="19" t="s">
        <v>104</v>
      </c>
      <c r="E353" s="20"/>
      <c r="F353" s="21">
        <v>1</v>
      </c>
      <c r="G353" s="22" t="s">
        <v>21</v>
      </c>
      <c r="H353" s="21">
        <v>192</v>
      </c>
      <c r="I353" s="22" t="s">
        <v>104</v>
      </c>
      <c r="J353" s="23">
        <v>3450</v>
      </c>
      <c r="K353" s="19" t="s">
        <v>104</v>
      </c>
      <c r="L353" s="24">
        <v>0.125</v>
      </c>
      <c r="M353" s="24">
        <v>0.05</v>
      </c>
      <c r="N353" s="18">
        <f>200+50+50+25+192+12+12+50+24</f>
        <v>615</v>
      </c>
      <c r="O353" s="22" t="s">
        <v>104</v>
      </c>
      <c r="P353" s="18">
        <f t="shared" ref="P353:P360" si="99">(C353+(E353*F353*H353))-N353</f>
        <v>0</v>
      </c>
      <c r="Q353" s="22" t="s">
        <v>104</v>
      </c>
      <c r="R353" s="23">
        <f t="shared" ref="R353:R360" si="100">P353*(J353-(J353*L353)-((J353-(J353*L353))*M353))</f>
        <v>0</v>
      </c>
      <c r="S353" s="23">
        <f t="shared" ref="S353:S420" si="101">R353/1.11</f>
        <v>0</v>
      </c>
    </row>
    <row r="354" spans="1:20" s="17" customFormat="1">
      <c r="A354" s="16" t="s">
        <v>339</v>
      </c>
      <c r="B354" s="17" t="s">
        <v>19</v>
      </c>
      <c r="C354" s="18">
        <v>388</v>
      </c>
      <c r="D354" s="19" t="s">
        <v>104</v>
      </c>
      <c r="E354" s="20"/>
      <c r="F354" s="21">
        <v>1</v>
      </c>
      <c r="G354" s="22" t="s">
        <v>21</v>
      </c>
      <c r="H354" s="21">
        <v>160</v>
      </c>
      <c r="I354" s="22" t="s">
        <v>104</v>
      </c>
      <c r="J354" s="23">
        <v>5400</v>
      </c>
      <c r="K354" s="19" t="s">
        <v>104</v>
      </c>
      <c r="L354" s="24">
        <v>0.125</v>
      </c>
      <c r="M354" s="24">
        <v>0.05</v>
      </c>
      <c r="N354" s="18">
        <f>50+30+50+12+12+160+50+24</f>
        <v>388</v>
      </c>
      <c r="O354" s="22" t="s">
        <v>104</v>
      </c>
      <c r="P354" s="18">
        <f t="shared" si="99"/>
        <v>0</v>
      </c>
      <c r="Q354" s="22" t="s">
        <v>104</v>
      </c>
      <c r="R354" s="23">
        <f t="shared" si="100"/>
        <v>0</v>
      </c>
      <c r="S354" s="23">
        <f t="shared" si="101"/>
        <v>0</v>
      </c>
    </row>
    <row r="355" spans="1:20" s="26" customFormat="1">
      <c r="A355" s="25" t="s">
        <v>341</v>
      </c>
      <c r="B355" s="26" t="s">
        <v>19</v>
      </c>
      <c r="C355" s="27">
        <v>47</v>
      </c>
      <c r="D355" s="28" t="s">
        <v>104</v>
      </c>
      <c r="E355" s="29"/>
      <c r="F355" s="30">
        <v>1</v>
      </c>
      <c r="G355" s="31" t="s">
        <v>21</v>
      </c>
      <c r="H355" s="30">
        <v>96</v>
      </c>
      <c r="I355" s="31" t="s">
        <v>104</v>
      </c>
      <c r="J355" s="32">
        <v>6600</v>
      </c>
      <c r="K355" s="28" t="s">
        <v>104</v>
      </c>
      <c r="L355" s="33">
        <v>0.125</v>
      </c>
      <c r="M355" s="33">
        <v>0.05</v>
      </c>
      <c r="N355" s="27">
        <v>4</v>
      </c>
      <c r="O355" s="31" t="s">
        <v>104</v>
      </c>
      <c r="P355" s="27">
        <f t="shared" si="99"/>
        <v>43</v>
      </c>
      <c r="Q355" s="31" t="s">
        <v>104</v>
      </c>
      <c r="R355" s="32">
        <f t="shared" si="100"/>
        <v>235908.75</v>
      </c>
      <c r="S355" s="32">
        <f t="shared" si="101"/>
        <v>212530.40540540538</v>
      </c>
    </row>
    <row r="356" spans="1:20" s="26" customFormat="1">
      <c r="A356" s="25" t="s">
        <v>342</v>
      </c>
      <c r="B356" s="26" t="s">
        <v>19</v>
      </c>
      <c r="C356" s="27">
        <v>523</v>
      </c>
      <c r="D356" s="28" t="s">
        <v>104</v>
      </c>
      <c r="E356" s="29"/>
      <c r="F356" s="30">
        <v>1</v>
      </c>
      <c r="G356" s="31" t="s">
        <v>21</v>
      </c>
      <c r="H356" s="30">
        <v>80</v>
      </c>
      <c r="I356" s="31" t="s">
        <v>104</v>
      </c>
      <c r="J356" s="32">
        <v>10200</v>
      </c>
      <c r="K356" s="28" t="s">
        <v>104</v>
      </c>
      <c r="L356" s="33">
        <v>0.125</v>
      </c>
      <c r="M356" s="33">
        <v>0.05</v>
      </c>
      <c r="N356" s="27">
        <f>50+80</f>
        <v>130</v>
      </c>
      <c r="O356" s="31" t="s">
        <v>104</v>
      </c>
      <c r="P356" s="27">
        <f t="shared" si="99"/>
        <v>393</v>
      </c>
      <c r="Q356" s="31" t="s">
        <v>104</v>
      </c>
      <c r="R356" s="32">
        <f t="shared" si="100"/>
        <v>3332148.75</v>
      </c>
      <c r="S356" s="32">
        <f t="shared" si="101"/>
        <v>3001935.8108108104</v>
      </c>
    </row>
    <row r="357" spans="1:20" s="17" customFormat="1">
      <c r="A357" s="16" t="s">
        <v>343</v>
      </c>
      <c r="B357" s="17" t="s">
        <v>26</v>
      </c>
      <c r="C357" s="18">
        <f>10+1154</f>
        <v>1164</v>
      </c>
      <c r="D357" s="19" t="s">
        <v>104</v>
      </c>
      <c r="E357" s="20"/>
      <c r="F357" s="21">
        <v>1</v>
      </c>
      <c r="G357" s="22" t="s">
        <v>21</v>
      </c>
      <c r="H357" s="21">
        <v>192</v>
      </c>
      <c r="I357" s="22" t="s">
        <v>104</v>
      </c>
      <c r="J357" s="23">
        <f>691200/192</f>
        <v>3600</v>
      </c>
      <c r="K357" s="19" t="s">
        <v>104</v>
      </c>
      <c r="L357" s="24"/>
      <c r="M357" s="24">
        <v>0.17</v>
      </c>
      <c r="N357" s="18">
        <f>960+192+12</f>
        <v>1164</v>
      </c>
      <c r="O357" s="22" t="s">
        <v>104</v>
      </c>
      <c r="P357" s="18">
        <f t="shared" si="99"/>
        <v>0</v>
      </c>
      <c r="Q357" s="22" t="s">
        <v>104</v>
      </c>
      <c r="R357" s="23">
        <f t="shared" si="100"/>
        <v>0</v>
      </c>
      <c r="S357" s="23">
        <f t="shared" si="101"/>
        <v>0</v>
      </c>
    </row>
    <row r="358" spans="1:20" s="45" customFormat="1">
      <c r="A358" s="44" t="s">
        <v>344</v>
      </c>
      <c r="B358" s="45" t="s">
        <v>26</v>
      </c>
      <c r="C358" s="46">
        <v>138</v>
      </c>
      <c r="D358" s="47" t="s">
        <v>104</v>
      </c>
      <c r="E358" s="48">
        <v>2</v>
      </c>
      <c r="F358" s="49">
        <v>1</v>
      </c>
      <c r="G358" s="50" t="s">
        <v>21</v>
      </c>
      <c r="H358" s="49">
        <v>96</v>
      </c>
      <c r="I358" s="50" t="s">
        <v>104</v>
      </c>
      <c r="J358" s="51">
        <f>700800/96</f>
        <v>7300</v>
      </c>
      <c r="K358" s="47" t="s">
        <v>104</v>
      </c>
      <c r="L358" s="52"/>
      <c r="M358" s="52">
        <v>0.17</v>
      </c>
      <c r="N358" s="46">
        <f>192+12</f>
        <v>204</v>
      </c>
      <c r="O358" s="50" t="s">
        <v>104</v>
      </c>
      <c r="P358" s="46">
        <f t="shared" si="99"/>
        <v>126</v>
      </c>
      <c r="Q358" s="50" t="s">
        <v>104</v>
      </c>
      <c r="R358" s="51">
        <f t="shared" si="100"/>
        <v>763434</v>
      </c>
      <c r="S358" s="51">
        <f t="shared" si="101"/>
        <v>687778.37837837834</v>
      </c>
    </row>
    <row r="359" spans="1:20" s="17" customFormat="1">
      <c r="A359" s="16" t="s">
        <v>345</v>
      </c>
      <c r="B359" s="17" t="s">
        <v>26</v>
      </c>
      <c r="C359" s="18">
        <f>90+82</f>
        <v>172</v>
      </c>
      <c r="D359" s="19" t="s">
        <v>104</v>
      </c>
      <c r="E359" s="20"/>
      <c r="F359" s="21">
        <v>1</v>
      </c>
      <c r="G359" s="22" t="s">
        <v>21</v>
      </c>
      <c r="H359" s="21">
        <v>160</v>
      </c>
      <c r="I359" s="22" t="s">
        <v>104</v>
      </c>
      <c r="J359" s="23">
        <f>904000/160</f>
        <v>5650</v>
      </c>
      <c r="K359" s="19" t="s">
        <v>104</v>
      </c>
      <c r="L359" s="24"/>
      <c r="M359" s="24">
        <v>0.17</v>
      </c>
      <c r="N359" s="18">
        <f>160+12</f>
        <v>172</v>
      </c>
      <c r="O359" s="22" t="s">
        <v>104</v>
      </c>
      <c r="P359" s="18">
        <f t="shared" si="99"/>
        <v>0</v>
      </c>
      <c r="Q359" s="22" t="s">
        <v>104</v>
      </c>
      <c r="R359" s="23">
        <f t="shared" si="100"/>
        <v>0</v>
      </c>
      <c r="S359" s="23">
        <f t="shared" si="101"/>
        <v>0</v>
      </c>
    </row>
    <row r="360" spans="1:20">
      <c r="A360" s="159" t="s">
        <v>346</v>
      </c>
      <c r="B360" s="160" t="s">
        <v>26</v>
      </c>
      <c r="C360" s="161">
        <v>196</v>
      </c>
      <c r="D360" s="162" t="s">
        <v>104</v>
      </c>
      <c r="E360" s="163"/>
      <c r="F360" s="164">
        <v>1</v>
      </c>
      <c r="G360" s="165" t="s">
        <v>21</v>
      </c>
      <c r="H360" s="164">
        <v>80</v>
      </c>
      <c r="I360" s="165" t="s">
        <v>104</v>
      </c>
      <c r="J360" s="166">
        <f>852000/80</f>
        <v>10650</v>
      </c>
      <c r="K360" s="162" t="s">
        <v>104</v>
      </c>
      <c r="L360" s="167"/>
      <c r="M360" s="167">
        <v>0.17</v>
      </c>
      <c r="N360" s="161">
        <f>160+32</f>
        <v>192</v>
      </c>
      <c r="O360" s="165" t="s">
        <v>104</v>
      </c>
      <c r="P360" s="161">
        <f t="shared" si="99"/>
        <v>4</v>
      </c>
      <c r="Q360" s="165" t="s">
        <v>104</v>
      </c>
      <c r="R360" s="166">
        <f t="shared" si="100"/>
        <v>35358</v>
      </c>
      <c r="S360" s="42">
        <f t="shared" si="101"/>
        <v>31854.05405405405</v>
      </c>
    </row>
    <row r="361" spans="1:20">
      <c r="A361" s="159" t="s">
        <v>346</v>
      </c>
      <c r="B361" s="160" t="s">
        <v>26</v>
      </c>
      <c r="C361" s="161"/>
      <c r="D361" s="162" t="s">
        <v>104</v>
      </c>
      <c r="E361" s="163">
        <v>2</v>
      </c>
      <c r="F361" s="164">
        <v>1</v>
      </c>
      <c r="G361" s="165" t="s">
        <v>21</v>
      </c>
      <c r="H361" s="164">
        <v>80</v>
      </c>
      <c r="I361" s="165" t="s">
        <v>104</v>
      </c>
      <c r="J361" s="166">
        <f>912000/80</f>
        <v>11400</v>
      </c>
      <c r="K361" s="162" t="s">
        <v>104</v>
      </c>
      <c r="L361" s="167"/>
      <c r="M361" s="167">
        <v>0.17</v>
      </c>
      <c r="N361" s="161"/>
      <c r="O361" s="165" t="s">
        <v>104</v>
      </c>
      <c r="P361" s="161">
        <f t="shared" ref="P361" si="102">(C361+(E361*F361*H361))-N361</f>
        <v>160</v>
      </c>
      <c r="Q361" s="165" t="s">
        <v>104</v>
      </c>
      <c r="R361" s="166">
        <f t="shared" ref="R361" si="103">P361*(J361-(J361*L361)-((J361-(J361*L361))*M361))</f>
        <v>1513920</v>
      </c>
      <c r="S361" s="42">
        <f t="shared" ref="S361" si="104">R361/1.11</f>
        <v>1363891.8918918918</v>
      </c>
    </row>
    <row r="362" spans="1:20">
      <c r="S362" s="23"/>
    </row>
    <row r="363" spans="1:20" ht="15.75">
      <c r="A363" s="14" t="s">
        <v>225</v>
      </c>
      <c r="L363" s="112"/>
      <c r="M363" s="112"/>
      <c r="S363" s="23"/>
    </row>
    <row r="364" spans="1:20">
      <c r="A364" s="15" t="s">
        <v>225</v>
      </c>
      <c r="L364" s="112"/>
      <c r="M364" s="112"/>
      <c r="S364" s="23"/>
    </row>
    <row r="365" spans="1:20" s="26" customFormat="1">
      <c r="A365" s="25" t="s">
        <v>347</v>
      </c>
      <c r="B365" s="26" t="s">
        <v>19</v>
      </c>
      <c r="C365" s="27">
        <v>1</v>
      </c>
      <c r="D365" s="28" t="s">
        <v>20</v>
      </c>
      <c r="E365" s="29"/>
      <c r="F365" s="30">
        <v>1</v>
      </c>
      <c r="G365" s="31" t="s">
        <v>21</v>
      </c>
      <c r="H365" s="30">
        <v>48</v>
      </c>
      <c r="I365" s="31" t="s">
        <v>20</v>
      </c>
      <c r="J365" s="32">
        <v>17000</v>
      </c>
      <c r="K365" s="28" t="s">
        <v>20</v>
      </c>
      <c r="L365" s="33">
        <v>0.125</v>
      </c>
      <c r="M365" s="33">
        <v>0.05</v>
      </c>
      <c r="N365" s="27"/>
      <c r="O365" s="31" t="s">
        <v>20</v>
      </c>
      <c r="P365" s="27">
        <f>(C365+(E365*F365*H365))-N365</f>
        <v>1</v>
      </c>
      <c r="Q365" s="31" t="s">
        <v>20</v>
      </c>
      <c r="R365" s="32">
        <f>P365*(J365-(J365*L365)-((J365-(J365*L365))*M365))</f>
        <v>14131.25</v>
      </c>
      <c r="S365" s="32">
        <f t="shared" si="101"/>
        <v>12730.855855855854</v>
      </c>
      <c r="T365" s="32"/>
    </row>
    <row r="366" spans="1:20">
      <c r="S366" s="32"/>
    </row>
    <row r="367" spans="1:20" ht="15.75">
      <c r="A367" s="14" t="s">
        <v>348</v>
      </c>
      <c r="L367" s="112"/>
      <c r="M367" s="112"/>
      <c r="S367" s="32"/>
    </row>
    <row r="368" spans="1:20">
      <c r="A368" s="15" t="s">
        <v>349</v>
      </c>
      <c r="L368" s="112"/>
      <c r="M368" s="112"/>
      <c r="S368" s="32"/>
    </row>
    <row r="369" spans="1:20" s="17" customFormat="1">
      <c r="A369" s="16" t="s">
        <v>350</v>
      </c>
      <c r="B369" s="17" t="s">
        <v>19</v>
      </c>
      <c r="C369" s="18"/>
      <c r="D369" s="19" t="s">
        <v>20</v>
      </c>
      <c r="E369" s="20"/>
      <c r="F369" s="21">
        <v>1</v>
      </c>
      <c r="G369" s="22" t="s">
        <v>21</v>
      </c>
      <c r="H369" s="21">
        <v>24</v>
      </c>
      <c r="I369" s="22" t="s">
        <v>20</v>
      </c>
      <c r="J369" s="23">
        <v>35000</v>
      </c>
      <c r="K369" s="19" t="s">
        <v>20</v>
      </c>
      <c r="L369" s="24">
        <v>0.125</v>
      </c>
      <c r="M369" s="24">
        <v>0.05</v>
      </c>
      <c r="N369" s="18"/>
      <c r="O369" s="22" t="s">
        <v>20</v>
      </c>
      <c r="P369" s="18">
        <f t="shared" ref="P369:P377" si="105">(C369+(E369*F369*H369))-N369</f>
        <v>0</v>
      </c>
      <c r="Q369" s="22" t="s">
        <v>20</v>
      </c>
      <c r="R369" s="23">
        <f t="shared" ref="R369:R376" si="106">P369*(J369-(J369*L369)-((J369-(J369*L369))*M369))</f>
        <v>0</v>
      </c>
      <c r="S369" s="23">
        <f t="shared" si="101"/>
        <v>0</v>
      </c>
    </row>
    <row r="370" spans="1:20" s="45" customFormat="1">
      <c r="A370" s="44" t="s">
        <v>351</v>
      </c>
      <c r="B370" s="45" t="s">
        <v>19</v>
      </c>
      <c r="C370" s="139"/>
      <c r="D370" s="47" t="s">
        <v>20</v>
      </c>
      <c r="E370" s="48">
        <f>2+(1+1+1+1+1)+(1+1+1+1)</f>
        <v>11</v>
      </c>
      <c r="F370" s="49">
        <v>1</v>
      </c>
      <c r="G370" s="50" t="s">
        <v>21</v>
      </c>
      <c r="H370" s="49">
        <v>72</v>
      </c>
      <c r="I370" s="50" t="s">
        <v>20</v>
      </c>
      <c r="J370" s="51">
        <v>15800</v>
      </c>
      <c r="K370" s="47" t="s">
        <v>20</v>
      </c>
      <c r="L370" s="52">
        <v>0.125</v>
      </c>
      <c r="M370" s="52">
        <v>0.05</v>
      </c>
      <c r="N370" s="46">
        <f>144+72+288</f>
        <v>504</v>
      </c>
      <c r="O370" s="50" t="s">
        <v>20</v>
      </c>
      <c r="P370" s="46">
        <f t="shared" si="105"/>
        <v>288</v>
      </c>
      <c r="Q370" s="50" t="s">
        <v>20</v>
      </c>
      <c r="R370" s="51">
        <f t="shared" si="106"/>
        <v>3782520</v>
      </c>
      <c r="S370" s="51">
        <f t="shared" si="101"/>
        <v>3407675.6756756753</v>
      </c>
      <c r="T370" s="51"/>
    </row>
    <row r="371" spans="1:20" s="26" customFormat="1">
      <c r="A371" s="25" t="s">
        <v>352</v>
      </c>
      <c r="B371" s="26" t="s">
        <v>19</v>
      </c>
      <c r="C371" s="27">
        <v>516</v>
      </c>
      <c r="D371" s="28" t="s">
        <v>20</v>
      </c>
      <c r="E371" s="29"/>
      <c r="F371" s="30">
        <v>1</v>
      </c>
      <c r="G371" s="31" t="s">
        <v>21</v>
      </c>
      <c r="H371" s="30">
        <v>72</v>
      </c>
      <c r="I371" s="31" t="s">
        <v>20</v>
      </c>
      <c r="J371" s="32">
        <v>15500</v>
      </c>
      <c r="K371" s="28" t="s">
        <v>20</v>
      </c>
      <c r="L371" s="33">
        <v>0.125</v>
      </c>
      <c r="M371" s="33">
        <v>0.05</v>
      </c>
      <c r="N371" s="27"/>
      <c r="O371" s="31" t="s">
        <v>20</v>
      </c>
      <c r="P371" s="27">
        <f t="shared" si="105"/>
        <v>516</v>
      </c>
      <c r="Q371" s="31" t="s">
        <v>20</v>
      </c>
      <c r="R371" s="32">
        <f t="shared" si="106"/>
        <v>6648337.5</v>
      </c>
      <c r="S371" s="32">
        <f t="shared" si="101"/>
        <v>5989493.2432432426</v>
      </c>
      <c r="T371" s="32"/>
    </row>
    <row r="372" spans="1:20" s="26" customFormat="1">
      <c r="A372" s="35" t="s">
        <v>353</v>
      </c>
      <c r="B372" s="36" t="s">
        <v>19</v>
      </c>
      <c r="C372" s="37">
        <v>396</v>
      </c>
      <c r="D372" s="38" t="s">
        <v>20</v>
      </c>
      <c r="E372" s="39"/>
      <c r="F372" s="40">
        <v>1</v>
      </c>
      <c r="G372" s="41" t="s">
        <v>21</v>
      </c>
      <c r="H372" s="40">
        <v>72</v>
      </c>
      <c r="I372" s="41" t="s">
        <v>20</v>
      </c>
      <c r="J372" s="42">
        <v>20000</v>
      </c>
      <c r="K372" s="38" t="s">
        <v>20</v>
      </c>
      <c r="L372" s="43">
        <v>0.125</v>
      </c>
      <c r="M372" s="43">
        <v>0.05</v>
      </c>
      <c r="N372" s="37">
        <v>72</v>
      </c>
      <c r="O372" s="41" t="s">
        <v>20</v>
      </c>
      <c r="P372" s="37">
        <f t="shared" si="105"/>
        <v>324</v>
      </c>
      <c r="Q372" s="41" t="s">
        <v>20</v>
      </c>
      <c r="R372" s="42">
        <f t="shared" si="106"/>
        <v>5386500</v>
      </c>
      <c r="S372" s="42">
        <f t="shared" si="101"/>
        <v>4852702.702702702</v>
      </c>
    </row>
    <row r="373" spans="1:20" s="26" customFormat="1">
      <c r="A373" s="35" t="s">
        <v>353</v>
      </c>
      <c r="B373" s="36" t="s">
        <v>19</v>
      </c>
      <c r="C373" s="37">
        <v>144</v>
      </c>
      <c r="D373" s="38" t="s">
        <v>20</v>
      </c>
      <c r="E373" s="39"/>
      <c r="F373" s="40">
        <v>1</v>
      </c>
      <c r="G373" s="41" t="s">
        <v>21</v>
      </c>
      <c r="H373" s="40">
        <v>72</v>
      </c>
      <c r="I373" s="41" t="s">
        <v>20</v>
      </c>
      <c r="J373" s="42">
        <v>20700</v>
      </c>
      <c r="K373" s="38" t="s">
        <v>20</v>
      </c>
      <c r="L373" s="43">
        <v>0.125</v>
      </c>
      <c r="M373" s="43">
        <v>0.05</v>
      </c>
      <c r="N373" s="37"/>
      <c r="O373" s="41" t="s">
        <v>20</v>
      </c>
      <c r="P373" s="37">
        <f t="shared" si="105"/>
        <v>144</v>
      </c>
      <c r="Q373" s="41" t="s">
        <v>20</v>
      </c>
      <c r="R373" s="42">
        <f t="shared" si="106"/>
        <v>2477790</v>
      </c>
      <c r="S373" s="42">
        <f t="shared" si="101"/>
        <v>2232243.2432432431</v>
      </c>
    </row>
    <row r="374" spans="1:20" s="26" customFormat="1">
      <c r="A374" s="25" t="s">
        <v>354</v>
      </c>
      <c r="B374" s="26" t="s">
        <v>19</v>
      </c>
      <c r="C374" s="27">
        <v>120</v>
      </c>
      <c r="D374" s="28" t="s">
        <v>20</v>
      </c>
      <c r="E374" s="29"/>
      <c r="F374" s="30">
        <v>1</v>
      </c>
      <c r="G374" s="31" t="s">
        <v>21</v>
      </c>
      <c r="H374" s="30">
        <v>72</v>
      </c>
      <c r="I374" s="31" t="s">
        <v>20</v>
      </c>
      <c r="J374" s="32">
        <v>20000</v>
      </c>
      <c r="K374" s="28" t="s">
        <v>20</v>
      </c>
      <c r="L374" s="33">
        <v>0.125</v>
      </c>
      <c r="M374" s="33">
        <v>0.05</v>
      </c>
      <c r="N374" s="27"/>
      <c r="O374" s="31" t="s">
        <v>20</v>
      </c>
      <c r="P374" s="27">
        <f t="shared" si="105"/>
        <v>120</v>
      </c>
      <c r="Q374" s="31" t="s">
        <v>20</v>
      </c>
      <c r="R374" s="32">
        <f t="shared" si="106"/>
        <v>1995000</v>
      </c>
      <c r="S374" s="32">
        <f t="shared" si="101"/>
        <v>1797297.297297297</v>
      </c>
    </row>
    <row r="375" spans="1:20" s="17" customFormat="1">
      <c r="A375" s="16" t="s">
        <v>355</v>
      </c>
      <c r="B375" s="17" t="s">
        <v>26</v>
      </c>
      <c r="C375" s="18">
        <f>36+36</f>
        <v>72</v>
      </c>
      <c r="D375" s="19" t="s">
        <v>20</v>
      </c>
      <c r="E375" s="20"/>
      <c r="F375" s="21">
        <v>1</v>
      </c>
      <c r="G375" s="22" t="s">
        <v>21</v>
      </c>
      <c r="H375" s="21">
        <v>72</v>
      </c>
      <c r="I375" s="22" t="s">
        <v>20</v>
      </c>
      <c r="J375" s="23">
        <f>1224000/72</f>
        <v>17000</v>
      </c>
      <c r="K375" s="19" t="s">
        <v>20</v>
      </c>
      <c r="L375" s="24"/>
      <c r="M375" s="24">
        <v>0.17</v>
      </c>
      <c r="N375" s="18">
        <v>72</v>
      </c>
      <c r="O375" s="22" t="s">
        <v>20</v>
      </c>
      <c r="P375" s="18">
        <f t="shared" si="105"/>
        <v>0</v>
      </c>
      <c r="Q375" s="22" t="s">
        <v>20</v>
      </c>
      <c r="R375" s="23">
        <f t="shared" si="106"/>
        <v>0</v>
      </c>
      <c r="S375" s="23">
        <f t="shared" si="101"/>
        <v>0</v>
      </c>
    </row>
    <row r="376" spans="1:20" s="26" customFormat="1">
      <c r="A376" s="25" t="s">
        <v>356</v>
      </c>
      <c r="B376" s="2" t="s">
        <v>26</v>
      </c>
      <c r="C376" s="27">
        <v>12</v>
      </c>
      <c r="D376" s="28" t="s">
        <v>20</v>
      </c>
      <c r="E376" s="29"/>
      <c r="F376" s="30">
        <v>1</v>
      </c>
      <c r="G376" s="31" t="s">
        <v>21</v>
      </c>
      <c r="H376" s="30">
        <v>72</v>
      </c>
      <c r="I376" s="31" t="s">
        <v>20</v>
      </c>
      <c r="J376" s="32">
        <f>1512000/72</f>
        <v>21000</v>
      </c>
      <c r="K376" s="28" t="s">
        <v>20</v>
      </c>
      <c r="L376" s="33">
        <v>0.125</v>
      </c>
      <c r="M376" s="33">
        <v>0.05</v>
      </c>
      <c r="N376" s="27"/>
      <c r="O376" s="31" t="s">
        <v>20</v>
      </c>
      <c r="P376" s="27">
        <f t="shared" si="105"/>
        <v>12</v>
      </c>
      <c r="Q376" s="31" t="s">
        <v>20</v>
      </c>
      <c r="R376" s="32">
        <f t="shared" si="106"/>
        <v>209475</v>
      </c>
      <c r="S376" s="32">
        <f t="shared" si="101"/>
        <v>188716.21621621621</v>
      </c>
    </row>
    <row r="377" spans="1:20" s="63" customFormat="1">
      <c r="A377" s="72" t="s">
        <v>357</v>
      </c>
      <c r="B377" s="63" t="s">
        <v>26</v>
      </c>
      <c r="C377" s="64"/>
      <c r="D377" s="65" t="s">
        <v>20</v>
      </c>
      <c r="E377" s="66"/>
      <c r="F377" s="67">
        <v>1</v>
      </c>
      <c r="G377" s="68" t="s">
        <v>21</v>
      </c>
      <c r="H377" s="67">
        <v>120</v>
      </c>
      <c r="I377" s="68" t="s">
        <v>20</v>
      </c>
      <c r="J377" s="69">
        <v>9000</v>
      </c>
      <c r="K377" s="65" t="s">
        <v>20</v>
      </c>
      <c r="L377" s="70"/>
      <c r="M377" s="70">
        <v>0.17</v>
      </c>
      <c r="N377" s="64"/>
      <c r="O377" s="68" t="s">
        <v>20</v>
      </c>
      <c r="P377" s="64">
        <f t="shared" si="105"/>
        <v>0</v>
      </c>
      <c r="Q377" s="68" t="s">
        <v>20</v>
      </c>
      <c r="R377" s="69">
        <f>P377*(J377-(J377*L377)-((J377-(J377*L377))*M377))</f>
        <v>0</v>
      </c>
      <c r="S377" s="23">
        <f t="shared" si="101"/>
        <v>0</v>
      </c>
    </row>
    <row r="378" spans="1:20">
      <c r="A378" s="15" t="s">
        <v>358</v>
      </c>
      <c r="S378" s="23"/>
    </row>
    <row r="379" spans="1:20" s="17" customFormat="1">
      <c r="A379" s="16" t="s">
        <v>359</v>
      </c>
      <c r="B379" s="17" t="s">
        <v>19</v>
      </c>
      <c r="C379" s="18"/>
      <c r="D379" s="19" t="s">
        <v>20</v>
      </c>
      <c r="E379" s="20"/>
      <c r="F379" s="21">
        <v>2</v>
      </c>
      <c r="G379" s="22" t="s">
        <v>34</v>
      </c>
      <c r="H379" s="21">
        <v>24</v>
      </c>
      <c r="I379" s="22" t="s">
        <v>20</v>
      </c>
      <c r="J379" s="23">
        <v>8000</v>
      </c>
      <c r="K379" s="19" t="s">
        <v>20</v>
      </c>
      <c r="L379" s="24">
        <v>0.125</v>
      </c>
      <c r="M379" s="24">
        <v>0.05</v>
      </c>
      <c r="N379" s="18"/>
      <c r="O379" s="22" t="s">
        <v>20</v>
      </c>
      <c r="P379" s="18">
        <f t="shared" ref="P379" si="107">(C379+(E379*F379*H379))-N379</f>
        <v>0</v>
      </c>
      <c r="Q379" s="22" t="s">
        <v>20</v>
      </c>
      <c r="R379" s="23">
        <f t="shared" ref="R379" si="108">P379*(J379-(J379*L379)-((J379-(J379*L379))*M379))</f>
        <v>0</v>
      </c>
      <c r="S379" s="23">
        <f t="shared" si="101"/>
        <v>0</v>
      </c>
    </row>
    <row r="380" spans="1:20" s="63" customFormat="1">
      <c r="A380" s="72" t="s">
        <v>360</v>
      </c>
      <c r="B380" s="63" t="s">
        <v>26</v>
      </c>
      <c r="C380" s="64">
        <v>2</v>
      </c>
      <c r="D380" s="65" t="s">
        <v>43</v>
      </c>
      <c r="E380" s="66"/>
      <c r="F380" s="67">
        <v>1</v>
      </c>
      <c r="G380" s="68" t="s">
        <v>21</v>
      </c>
      <c r="H380" s="67">
        <v>12</v>
      </c>
      <c r="I380" s="68" t="s">
        <v>43</v>
      </c>
      <c r="J380" s="69">
        <f>669600/12</f>
        <v>55800</v>
      </c>
      <c r="K380" s="65" t="s">
        <v>43</v>
      </c>
      <c r="L380" s="70"/>
      <c r="M380" s="70">
        <v>0.17</v>
      </c>
      <c r="N380" s="64">
        <v>2</v>
      </c>
      <c r="O380" s="68" t="s">
        <v>43</v>
      </c>
      <c r="P380" s="64">
        <f>(C380+(E380*F380*H380))-N380</f>
        <v>0</v>
      </c>
      <c r="Q380" s="68" t="s">
        <v>43</v>
      </c>
      <c r="R380" s="69">
        <f>P380*(J380-(J380*L380)-((J380-(J380*L380))*M380))</f>
        <v>0</v>
      </c>
      <c r="S380" s="69">
        <f t="shared" si="101"/>
        <v>0</v>
      </c>
    </row>
    <row r="381" spans="1:20" s="45" customFormat="1">
      <c r="A381" s="44" t="s">
        <v>361</v>
      </c>
      <c r="B381" s="45" t="s">
        <v>26</v>
      </c>
      <c r="C381" s="46">
        <v>114</v>
      </c>
      <c r="D381" s="47" t="s">
        <v>43</v>
      </c>
      <c r="E381" s="48"/>
      <c r="F381" s="49">
        <v>1</v>
      </c>
      <c r="G381" s="50" t="s">
        <v>21</v>
      </c>
      <c r="H381" s="49">
        <v>20</v>
      </c>
      <c r="I381" s="50" t="s">
        <v>43</v>
      </c>
      <c r="J381" s="51">
        <f>684000/20</f>
        <v>34200</v>
      </c>
      <c r="K381" s="47" t="s">
        <v>43</v>
      </c>
      <c r="L381" s="52"/>
      <c r="M381" s="52">
        <v>0.17</v>
      </c>
      <c r="N381" s="46">
        <f>10+1+1+12+1</f>
        <v>25</v>
      </c>
      <c r="O381" s="50" t="s">
        <v>43</v>
      </c>
      <c r="P381" s="46">
        <f>(C381+(E381*F381*H381))-N381</f>
        <v>89</v>
      </c>
      <c r="Q381" s="50" t="s">
        <v>43</v>
      </c>
      <c r="R381" s="51">
        <f>P381*(J381-(J381*L381)-((J381-(J381*L381))*M381))</f>
        <v>2526354</v>
      </c>
      <c r="S381" s="32">
        <f t="shared" si="101"/>
        <v>2275994.5945945946</v>
      </c>
    </row>
    <row r="382" spans="1:20" s="17" customFormat="1">
      <c r="A382" s="95" t="s">
        <v>362</v>
      </c>
      <c r="B382" s="96" t="s">
        <v>26</v>
      </c>
      <c r="C382" s="97">
        <v>2</v>
      </c>
      <c r="D382" s="98" t="s">
        <v>43</v>
      </c>
      <c r="E382" s="105"/>
      <c r="F382" s="100">
        <v>1</v>
      </c>
      <c r="G382" s="101" t="s">
        <v>21</v>
      </c>
      <c r="H382" s="100">
        <v>6</v>
      </c>
      <c r="I382" s="101" t="s">
        <v>43</v>
      </c>
      <c r="J382" s="102">
        <f>666000/6</f>
        <v>111000</v>
      </c>
      <c r="K382" s="98" t="s">
        <v>43</v>
      </c>
      <c r="L382" s="103"/>
      <c r="M382" s="103">
        <v>0.17</v>
      </c>
      <c r="N382" s="114">
        <v>2</v>
      </c>
      <c r="O382" s="101" t="s">
        <v>43</v>
      </c>
      <c r="P382" s="114">
        <f>(C382+(E382*F382*H382))-N382</f>
        <v>0</v>
      </c>
      <c r="Q382" s="101" t="s">
        <v>43</v>
      </c>
      <c r="R382" s="102">
        <f>P382*(J382-(J382*L382)-((J382-(J382*L382))*M382))</f>
        <v>0</v>
      </c>
      <c r="S382" s="102">
        <f t="shared" si="101"/>
        <v>0</v>
      </c>
    </row>
    <row r="383" spans="1:20" s="17" customFormat="1">
      <c r="A383" s="95" t="s">
        <v>362</v>
      </c>
      <c r="B383" s="96" t="s">
        <v>26</v>
      </c>
      <c r="C383" s="97"/>
      <c r="D383" s="98" t="s">
        <v>43</v>
      </c>
      <c r="E383" s="105"/>
      <c r="F383" s="100">
        <v>1</v>
      </c>
      <c r="G383" s="101" t="s">
        <v>21</v>
      </c>
      <c r="H383" s="100">
        <v>6</v>
      </c>
      <c r="I383" s="101" t="s">
        <v>43</v>
      </c>
      <c r="J383" s="102">
        <f>720000/6</f>
        <v>120000</v>
      </c>
      <c r="K383" s="98" t="s">
        <v>43</v>
      </c>
      <c r="L383" s="103"/>
      <c r="M383" s="103">
        <v>0.17</v>
      </c>
      <c r="N383" s="114"/>
      <c r="O383" s="101" t="s">
        <v>43</v>
      </c>
      <c r="P383" s="114">
        <f>(C383+(E383*F383*H383))-N383</f>
        <v>0</v>
      </c>
      <c r="Q383" s="101" t="s">
        <v>43</v>
      </c>
      <c r="R383" s="102">
        <f>P383*(J383-(J383*L383)-((J383-(J383*L383))*M383))</f>
        <v>0</v>
      </c>
      <c r="S383" s="102">
        <f t="shared" si="101"/>
        <v>0</v>
      </c>
    </row>
    <row r="384" spans="1:20">
      <c r="A384" s="15" t="s">
        <v>363</v>
      </c>
      <c r="L384" s="112"/>
      <c r="M384" s="112"/>
      <c r="S384" s="23"/>
    </row>
    <row r="385" spans="1:20" s="17" customFormat="1">
      <c r="A385" s="16" t="s">
        <v>364</v>
      </c>
      <c r="B385" s="17" t="s">
        <v>19</v>
      </c>
      <c r="C385" s="18"/>
      <c r="D385" s="19" t="s">
        <v>162</v>
      </c>
      <c r="E385" s="20"/>
      <c r="F385" s="21">
        <v>36</v>
      </c>
      <c r="G385" s="22" t="s">
        <v>34</v>
      </c>
      <c r="H385" s="21">
        <v>30</v>
      </c>
      <c r="I385" s="22" t="s">
        <v>162</v>
      </c>
      <c r="J385" s="23">
        <v>3200</v>
      </c>
      <c r="K385" s="19" t="s">
        <v>162</v>
      </c>
      <c r="L385" s="24">
        <v>0.125</v>
      </c>
      <c r="M385" s="24">
        <v>0.05</v>
      </c>
      <c r="N385" s="18"/>
      <c r="O385" s="22" t="s">
        <v>162</v>
      </c>
      <c r="P385" s="18">
        <f>(C385+(E385*F385*H385))-N385</f>
        <v>0</v>
      </c>
      <c r="Q385" s="22" t="s">
        <v>162</v>
      </c>
      <c r="R385" s="23">
        <f>P385*(J385-(J385*L385)-((J385-(J385*L385))*M385))</f>
        <v>0</v>
      </c>
      <c r="S385" s="23">
        <f t="shared" si="101"/>
        <v>0</v>
      </c>
      <c r="T385" s="23"/>
    </row>
    <row r="386" spans="1:20" s="17" customFormat="1">
      <c r="A386" s="16" t="s">
        <v>365</v>
      </c>
      <c r="B386" s="17" t="s">
        <v>19</v>
      </c>
      <c r="C386" s="18"/>
      <c r="D386" s="19" t="s">
        <v>162</v>
      </c>
      <c r="E386" s="20"/>
      <c r="F386" s="21">
        <v>36</v>
      </c>
      <c r="G386" s="22" t="s">
        <v>34</v>
      </c>
      <c r="H386" s="21">
        <v>30</v>
      </c>
      <c r="I386" s="22" t="s">
        <v>162</v>
      </c>
      <c r="J386" s="23">
        <v>2900</v>
      </c>
      <c r="K386" s="19" t="s">
        <v>162</v>
      </c>
      <c r="L386" s="24">
        <v>0.125</v>
      </c>
      <c r="M386" s="24">
        <v>0.05</v>
      </c>
      <c r="N386" s="18"/>
      <c r="O386" s="22" t="s">
        <v>162</v>
      </c>
      <c r="P386" s="18">
        <f>(C386+(E386*F386*H386))-N386</f>
        <v>0</v>
      </c>
      <c r="Q386" s="22" t="s">
        <v>162</v>
      </c>
      <c r="R386" s="23">
        <f>P386*(J386-(J386*L386)-((J386-(J386*L386))*M386))</f>
        <v>0</v>
      </c>
      <c r="S386" s="23">
        <f t="shared" si="101"/>
        <v>0</v>
      </c>
      <c r="T386" s="23"/>
    </row>
    <row r="387" spans="1:20">
      <c r="S387" s="23"/>
    </row>
    <row r="388" spans="1:20" ht="15.75">
      <c r="A388" s="14" t="s">
        <v>366</v>
      </c>
      <c r="S388" s="23"/>
    </row>
    <row r="389" spans="1:20" s="17" customFormat="1">
      <c r="A389" s="93" t="s">
        <v>367</v>
      </c>
      <c r="B389" s="17" t="s">
        <v>26</v>
      </c>
      <c r="C389" s="18"/>
      <c r="D389" s="19" t="s">
        <v>34</v>
      </c>
      <c r="E389" s="20"/>
      <c r="F389" s="21">
        <v>10</v>
      </c>
      <c r="G389" s="22" t="s">
        <v>104</v>
      </c>
      <c r="H389" s="21">
        <v>10</v>
      </c>
      <c r="I389" s="22" t="s">
        <v>34</v>
      </c>
      <c r="J389" s="23">
        <f>925000/100</f>
        <v>9250</v>
      </c>
      <c r="K389" s="19" t="s">
        <v>34</v>
      </c>
      <c r="L389" s="24"/>
      <c r="M389" s="24">
        <v>0.17</v>
      </c>
      <c r="N389" s="18"/>
      <c r="O389" s="22" t="s">
        <v>34</v>
      </c>
      <c r="P389" s="18">
        <f>(C389+(E389*F389*H389))-N389</f>
        <v>0</v>
      </c>
      <c r="Q389" s="22" t="s">
        <v>34</v>
      </c>
      <c r="R389" s="23">
        <f>P389*(J389-(J389*L389)-((J389-(J389*L389))*M389))</f>
        <v>0</v>
      </c>
      <c r="S389" s="23">
        <f t="shared" si="101"/>
        <v>0</v>
      </c>
    </row>
    <row r="390" spans="1:20" s="17" customFormat="1">
      <c r="A390" s="93" t="s">
        <v>368</v>
      </c>
      <c r="B390" s="17" t="s">
        <v>26</v>
      </c>
      <c r="C390" s="18"/>
      <c r="D390" s="19" t="s">
        <v>34</v>
      </c>
      <c r="E390" s="20"/>
      <c r="F390" s="21">
        <v>10</v>
      </c>
      <c r="G390" s="22" t="s">
        <v>104</v>
      </c>
      <c r="H390" s="21">
        <v>10</v>
      </c>
      <c r="I390" s="22" t="s">
        <v>34</v>
      </c>
      <c r="J390" s="23">
        <v>8350</v>
      </c>
      <c r="K390" s="19" t="s">
        <v>34</v>
      </c>
      <c r="L390" s="24"/>
      <c r="M390" s="24">
        <v>0.17</v>
      </c>
      <c r="N390" s="18"/>
      <c r="O390" s="22" t="s">
        <v>34</v>
      </c>
      <c r="P390" s="18">
        <f>(C390+(E390*F390*H390))-N390</f>
        <v>0</v>
      </c>
      <c r="Q390" s="22" t="s">
        <v>34</v>
      </c>
      <c r="R390" s="23">
        <f>P390*(J390-(J390*L390)-((J390-(J390*L390))*M390))</f>
        <v>0</v>
      </c>
      <c r="S390" s="23">
        <f t="shared" si="101"/>
        <v>0</v>
      </c>
    </row>
    <row r="391" spans="1:20" s="17" customFormat="1">
      <c r="A391" s="93" t="s">
        <v>369</v>
      </c>
      <c r="B391" s="17" t="s">
        <v>19</v>
      </c>
      <c r="C391" s="18"/>
      <c r="D391" s="19" t="s">
        <v>104</v>
      </c>
      <c r="E391" s="20"/>
      <c r="F391" s="21">
        <v>1</v>
      </c>
      <c r="G391" s="22" t="s">
        <v>21</v>
      </c>
      <c r="H391" s="21">
        <v>100</v>
      </c>
      <c r="I391" s="22" t="s">
        <v>104</v>
      </c>
      <c r="J391" s="23">
        <v>7800</v>
      </c>
      <c r="K391" s="19" t="s">
        <v>104</v>
      </c>
      <c r="L391" s="24">
        <v>0.125</v>
      </c>
      <c r="M391" s="24">
        <v>0.05</v>
      </c>
      <c r="N391" s="18"/>
      <c r="O391" s="22" t="s">
        <v>104</v>
      </c>
      <c r="P391" s="18">
        <f>(C391+(E391*F391*H391))-N391</f>
        <v>0</v>
      </c>
      <c r="Q391" s="22" t="s">
        <v>104</v>
      </c>
      <c r="R391" s="23">
        <f>P391*(J391-(J391*L391)-((J391-(J391*L391))*M391))</f>
        <v>0</v>
      </c>
      <c r="S391" s="23">
        <f t="shared" si="101"/>
        <v>0</v>
      </c>
      <c r="T391" s="23"/>
    </row>
    <row r="392" spans="1:20" s="17" customFormat="1">
      <c r="A392" s="93" t="s">
        <v>370</v>
      </c>
      <c r="B392" s="17" t="s">
        <v>19</v>
      </c>
      <c r="C392" s="18"/>
      <c r="D392" s="19" t="s">
        <v>104</v>
      </c>
      <c r="E392" s="20"/>
      <c r="F392" s="21">
        <v>1</v>
      </c>
      <c r="G392" s="22" t="s">
        <v>21</v>
      </c>
      <c r="H392" s="21">
        <v>100</v>
      </c>
      <c r="I392" s="22" t="s">
        <v>104</v>
      </c>
      <c r="J392" s="23">
        <v>7800</v>
      </c>
      <c r="K392" s="19" t="s">
        <v>104</v>
      </c>
      <c r="L392" s="24">
        <v>0.125</v>
      </c>
      <c r="M392" s="24">
        <v>0.05</v>
      </c>
      <c r="N392" s="18"/>
      <c r="O392" s="22" t="s">
        <v>104</v>
      </c>
      <c r="P392" s="18">
        <f>(C392+(E392*F392*H392))-N392</f>
        <v>0</v>
      </c>
      <c r="Q392" s="22" t="s">
        <v>104</v>
      </c>
      <c r="R392" s="23">
        <f>P392*(J392-(J392*L392)-((J392-(J392*L392))*M392))</f>
        <v>0</v>
      </c>
      <c r="S392" s="23">
        <f t="shared" si="101"/>
        <v>0</v>
      </c>
      <c r="T392" s="23"/>
    </row>
    <row r="393" spans="1:20">
      <c r="S393" s="23"/>
    </row>
    <row r="394" spans="1:20" ht="15.75">
      <c r="A394" s="14" t="s">
        <v>371</v>
      </c>
      <c r="S394" s="23"/>
    </row>
    <row r="395" spans="1:20">
      <c r="A395" s="15" t="s">
        <v>372</v>
      </c>
      <c r="S395" s="23"/>
    </row>
    <row r="396" spans="1:20" s="17" customFormat="1">
      <c r="A396" s="16" t="s">
        <v>373</v>
      </c>
      <c r="B396" s="17" t="s">
        <v>19</v>
      </c>
      <c r="C396" s="18"/>
      <c r="D396" s="19" t="s">
        <v>43</v>
      </c>
      <c r="E396" s="20"/>
      <c r="F396" s="21">
        <v>1</v>
      </c>
      <c r="G396" s="22" t="s">
        <v>21</v>
      </c>
      <c r="H396" s="21">
        <v>144</v>
      </c>
      <c r="I396" s="22" t="s">
        <v>43</v>
      </c>
      <c r="J396" s="23">
        <v>28200</v>
      </c>
      <c r="K396" s="19" t="s">
        <v>43</v>
      </c>
      <c r="L396" s="24">
        <v>0.125</v>
      </c>
      <c r="M396" s="24">
        <v>0.05</v>
      </c>
      <c r="N396" s="18"/>
      <c r="O396" s="22" t="s">
        <v>43</v>
      </c>
      <c r="P396" s="18">
        <f t="shared" ref="P396:P411" si="109">(C396+(E396*F396*H396))-N396</f>
        <v>0</v>
      </c>
      <c r="Q396" s="22" t="s">
        <v>43</v>
      </c>
      <c r="R396" s="23">
        <f t="shared" ref="R396:R411" si="110">P396*(J396-(J396*L396)-((J396-(J396*L396))*M396))</f>
        <v>0</v>
      </c>
      <c r="S396" s="69">
        <f t="shared" si="101"/>
        <v>0</v>
      </c>
    </row>
    <row r="397" spans="1:20" s="63" customFormat="1">
      <c r="A397" s="72" t="s">
        <v>374</v>
      </c>
      <c r="B397" s="63" t="s">
        <v>19</v>
      </c>
      <c r="C397" s="64">
        <v>6</v>
      </c>
      <c r="D397" s="65" t="s">
        <v>43</v>
      </c>
      <c r="E397" s="66"/>
      <c r="F397" s="67">
        <v>1</v>
      </c>
      <c r="G397" s="68" t="s">
        <v>21</v>
      </c>
      <c r="H397" s="67">
        <v>144</v>
      </c>
      <c r="I397" s="68" t="s">
        <v>43</v>
      </c>
      <c r="J397" s="69">
        <v>7800</v>
      </c>
      <c r="K397" s="65" t="s">
        <v>43</v>
      </c>
      <c r="L397" s="70">
        <v>0.1</v>
      </c>
      <c r="M397" s="70">
        <v>0.05</v>
      </c>
      <c r="N397" s="64">
        <v>6</v>
      </c>
      <c r="O397" s="68" t="s">
        <v>43</v>
      </c>
      <c r="P397" s="64">
        <f t="shared" si="109"/>
        <v>0</v>
      </c>
      <c r="Q397" s="68" t="s">
        <v>43</v>
      </c>
      <c r="R397" s="69">
        <f t="shared" si="110"/>
        <v>0</v>
      </c>
      <c r="S397" s="69">
        <f t="shared" si="101"/>
        <v>0</v>
      </c>
    </row>
    <row r="398" spans="1:20" s="63" customFormat="1">
      <c r="A398" s="95" t="s">
        <v>733</v>
      </c>
      <c r="B398" s="96" t="s">
        <v>19</v>
      </c>
      <c r="C398" s="97">
        <v>48</v>
      </c>
      <c r="D398" s="98" t="s">
        <v>43</v>
      </c>
      <c r="E398" s="105"/>
      <c r="F398" s="100">
        <v>1</v>
      </c>
      <c r="G398" s="101" t="s">
        <v>21</v>
      </c>
      <c r="H398" s="100">
        <v>144</v>
      </c>
      <c r="I398" s="101" t="s">
        <v>43</v>
      </c>
      <c r="J398" s="102"/>
      <c r="K398" s="98" t="s">
        <v>43</v>
      </c>
      <c r="L398" s="103">
        <v>0.1</v>
      </c>
      <c r="M398" s="103">
        <v>0.05</v>
      </c>
      <c r="N398" s="97">
        <v>48</v>
      </c>
      <c r="O398" s="101" t="s">
        <v>43</v>
      </c>
      <c r="P398" s="97">
        <f t="shared" si="109"/>
        <v>0</v>
      </c>
      <c r="Q398" s="101" t="s">
        <v>43</v>
      </c>
      <c r="R398" s="102">
        <f t="shared" si="110"/>
        <v>0</v>
      </c>
      <c r="S398" s="102">
        <f t="shared" si="101"/>
        <v>0</v>
      </c>
    </row>
    <row r="399" spans="1:20" s="45" customFormat="1">
      <c r="A399" s="35" t="s">
        <v>376</v>
      </c>
      <c r="B399" s="36" t="s">
        <v>19</v>
      </c>
      <c r="C399" s="37">
        <v>156</v>
      </c>
      <c r="D399" s="38" t="s">
        <v>43</v>
      </c>
      <c r="E399" s="39"/>
      <c r="F399" s="40">
        <v>1</v>
      </c>
      <c r="G399" s="41" t="s">
        <v>21</v>
      </c>
      <c r="H399" s="40">
        <v>144</v>
      </c>
      <c r="I399" s="41" t="s">
        <v>43</v>
      </c>
      <c r="J399" s="42">
        <v>6900</v>
      </c>
      <c r="K399" s="38" t="s">
        <v>43</v>
      </c>
      <c r="L399" s="43">
        <v>0.125</v>
      </c>
      <c r="M399" s="43">
        <v>0.05</v>
      </c>
      <c r="N399" s="37">
        <v>3</v>
      </c>
      <c r="O399" s="41" t="s">
        <v>43</v>
      </c>
      <c r="P399" s="37">
        <f t="shared" si="109"/>
        <v>153</v>
      </c>
      <c r="Q399" s="41" t="s">
        <v>43</v>
      </c>
      <c r="R399" s="42">
        <f t="shared" si="110"/>
        <v>877550.625</v>
      </c>
      <c r="S399" s="42">
        <f t="shared" si="101"/>
        <v>790586.14864864852</v>
      </c>
    </row>
    <row r="400" spans="1:20" s="17" customFormat="1">
      <c r="A400" s="16" t="s">
        <v>377</v>
      </c>
      <c r="B400" s="17" t="s">
        <v>19</v>
      </c>
      <c r="C400" s="18"/>
      <c r="D400" s="19" t="s">
        <v>43</v>
      </c>
      <c r="E400" s="20"/>
      <c r="F400" s="21">
        <v>1</v>
      </c>
      <c r="G400" s="22" t="s">
        <v>21</v>
      </c>
      <c r="H400" s="21">
        <v>144</v>
      </c>
      <c r="I400" s="22" t="s">
        <v>43</v>
      </c>
      <c r="J400" s="23">
        <v>7020</v>
      </c>
      <c r="K400" s="19" t="s">
        <v>43</v>
      </c>
      <c r="L400" s="24">
        <v>0.125</v>
      </c>
      <c r="M400" s="24">
        <v>0.05</v>
      </c>
      <c r="N400" s="18"/>
      <c r="O400" s="22" t="s">
        <v>43</v>
      </c>
      <c r="P400" s="18">
        <f t="shared" si="109"/>
        <v>0</v>
      </c>
      <c r="Q400" s="22" t="s">
        <v>43</v>
      </c>
      <c r="R400" s="23">
        <f t="shared" si="110"/>
        <v>0</v>
      </c>
      <c r="S400" s="23">
        <f t="shared" si="101"/>
        <v>0</v>
      </c>
    </row>
    <row r="401" spans="1:19" s="17" customFormat="1">
      <c r="A401" s="16" t="s">
        <v>721</v>
      </c>
      <c r="B401" s="17" t="s">
        <v>19</v>
      </c>
      <c r="C401" s="18"/>
      <c r="D401" s="19" t="s">
        <v>43</v>
      </c>
      <c r="E401" s="20">
        <v>1</v>
      </c>
      <c r="F401" s="21">
        <v>1</v>
      </c>
      <c r="G401" s="22" t="s">
        <v>21</v>
      </c>
      <c r="H401" s="21">
        <v>144</v>
      </c>
      <c r="I401" s="22" t="s">
        <v>43</v>
      </c>
      <c r="J401" s="23">
        <v>6000</v>
      </c>
      <c r="K401" s="19" t="s">
        <v>43</v>
      </c>
      <c r="L401" s="24">
        <v>0.125</v>
      </c>
      <c r="M401" s="24">
        <v>0.05</v>
      </c>
      <c r="N401" s="18">
        <v>144</v>
      </c>
      <c r="O401" s="22" t="s">
        <v>43</v>
      </c>
      <c r="P401" s="18">
        <f t="shared" ref="P401" si="111">(C401+(E401*F401*H401))-N401</f>
        <v>0</v>
      </c>
      <c r="Q401" s="22" t="s">
        <v>43</v>
      </c>
      <c r="R401" s="23">
        <f t="shared" ref="R401" si="112">P401*(J401-(J401*L401)-((J401-(J401*L401))*M401))</f>
        <v>0</v>
      </c>
      <c r="S401" s="23">
        <f t="shared" ref="S401" si="113">R401/1.11</f>
        <v>0</v>
      </c>
    </row>
    <row r="402" spans="1:19" s="26" customFormat="1">
      <c r="A402" s="25" t="s">
        <v>378</v>
      </c>
      <c r="B402" s="26" t="s">
        <v>19</v>
      </c>
      <c r="C402" s="27">
        <v>864</v>
      </c>
      <c r="D402" s="28" t="s">
        <v>43</v>
      </c>
      <c r="E402" s="29"/>
      <c r="F402" s="30">
        <v>1</v>
      </c>
      <c r="G402" s="31" t="s">
        <v>21</v>
      </c>
      <c r="H402" s="30">
        <v>144</v>
      </c>
      <c r="I402" s="31" t="s">
        <v>43</v>
      </c>
      <c r="J402" s="32">
        <v>5100</v>
      </c>
      <c r="K402" s="28" t="s">
        <v>43</v>
      </c>
      <c r="L402" s="33">
        <v>0.125</v>
      </c>
      <c r="M402" s="33">
        <v>0.05</v>
      </c>
      <c r="N402" s="27"/>
      <c r="O402" s="31" t="s">
        <v>43</v>
      </c>
      <c r="P402" s="27">
        <f t="shared" si="109"/>
        <v>864</v>
      </c>
      <c r="Q402" s="31" t="s">
        <v>43</v>
      </c>
      <c r="R402" s="32">
        <f t="shared" si="110"/>
        <v>3662820</v>
      </c>
      <c r="S402" s="32">
        <f t="shared" si="101"/>
        <v>3299837.8378378376</v>
      </c>
    </row>
    <row r="403" spans="1:19" s="26" customFormat="1">
      <c r="A403" s="35" t="s">
        <v>379</v>
      </c>
      <c r="B403" s="36" t="s">
        <v>19</v>
      </c>
      <c r="C403" s="198">
        <f>258+(12+12+12)+36+12+12+12+24</f>
        <v>390</v>
      </c>
      <c r="D403" s="38" t="s">
        <v>43</v>
      </c>
      <c r="E403" s="39"/>
      <c r="F403" s="40">
        <v>1</v>
      </c>
      <c r="G403" s="41" t="s">
        <v>21</v>
      </c>
      <c r="H403" s="40">
        <v>144</v>
      </c>
      <c r="I403" s="41" t="s">
        <v>43</v>
      </c>
      <c r="J403" s="42">
        <v>12000</v>
      </c>
      <c r="K403" s="38" t="s">
        <v>43</v>
      </c>
      <c r="L403" s="43">
        <v>0.1</v>
      </c>
      <c r="M403" s="43">
        <v>0.05</v>
      </c>
      <c r="N403" s="37">
        <f>12+12+36+3</f>
        <v>63</v>
      </c>
      <c r="O403" s="41" t="s">
        <v>43</v>
      </c>
      <c r="P403" s="37">
        <f t="shared" si="109"/>
        <v>327</v>
      </c>
      <c r="Q403" s="41" t="s">
        <v>43</v>
      </c>
      <c r="R403" s="42">
        <f t="shared" si="110"/>
        <v>3355020</v>
      </c>
      <c r="S403" s="42">
        <f t="shared" si="101"/>
        <v>3022540.5405405401</v>
      </c>
    </row>
    <row r="404" spans="1:19" s="26" customFormat="1">
      <c r="A404" s="35" t="s">
        <v>379</v>
      </c>
      <c r="B404" s="36" t="s">
        <v>19</v>
      </c>
      <c r="C404" s="198">
        <f>72+72+132+24+12+12+120+372+324+(24+60)+12</f>
        <v>1236</v>
      </c>
      <c r="D404" s="38" t="s">
        <v>43</v>
      </c>
      <c r="E404" s="39"/>
      <c r="F404" s="40">
        <v>1</v>
      </c>
      <c r="G404" s="41" t="s">
        <v>21</v>
      </c>
      <c r="H404" s="40">
        <v>144</v>
      </c>
      <c r="I404" s="41" t="s">
        <v>43</v>
      </c>
      <c r="J404" s="42">
        <v>12000</v>
      </c>
      <c r="K404" s="38" t="s">
        <v>43</v>
      </c>
      <c r="L404" s="43">
        <v>0.125</v>
      </c>
      <c r="M404" s="43">
        <v>0.05</v>
      </c>
      <c r="N404" s="37"/>
      <c r="O404" s="41" t="s">
        <v>43</v>
      </c>
      <c r="P404" s="37">
        <f t="shared" ref="P404" si="114">(C404+(E404*F404*H404))-N404</f>
        <v>1236</v>
      </c>
      <c r="Q404" s="41" t="s">
        <v>43</v>
      </c>
      <c r="R404" s="42">
        <f t="shared" ref="R404" si="115">P404*(J404-(J404*L404)-((J404-(J404*L404))*M404))</f>
        <v>12329100</v>
      </c>
      <c r="S404" s="42">
        <f t="shared" ref="S404" si="116">R404/1.11</f>
        <v>11107297.297297297</v>
      </c>
    </row>
    <row r="405" spans="1:19" s="17" customFormat="1">
      <c r="A405" s="93" t="s">
        <v>380</v>
      </c>
      <c r="B405" s="17" t="s">
        <v>26</v>
      </c>
      <c r="C405" s="18">
        <v>60</v>
      </c>
      <c r="D405" s="19" t="s">
        <v>43</v>
      </c>
      <c r="E405" s="20"/>
      <c r="F405" s="21">
        <v>1</v>
      </c>
      <c r="G405" s="22" t="s">
        <v>21</v>
      </c>
      <c r="H405" s="21">
        <v>144</v>
      </c>
      <c r="I405" s="22" t="s">
        <v>43</v>
      </c>
      <c r="J405" s="23">
        <v>22200</v>
      </c>
      <c r="K405" s="19" t="s">
        <v>43</v>
      </c>
      <c r="L405" s="24"/>
      <c r="M405" s="24">
        <v>0.17</v>
      </c>
      <c r="N405" s="18">
        <f>48+12</f>
        <v>60</v>
      </c>
      <c r="O405" s="22" t="s">
        <v>43</v>
      </c>
      <c r="P405" s="18">
        <f t="shared" si="109"/>
        <v>0</v>
      </c>
      <c r="Q405" s="22" t="s">
        <v>43</v>
      </c>
      <c r="R405" s="23">
        <f t="shared" si="110"/>
        <v>0</v>
      </c>
      <c r="S405" s="23">
        <f t="shared" si="101"/>
        <v>0</v>
      </c>
    </row>
    <row r="406" spans="1:19" s="17" customFormat="1">
      <c r="A406" s="93" t="s">
        <v>381</v>
      </c>
      <c r="B406" s="17" t="s">
        <v>26</v>
      </c>
      <c r="C406" s="18"/>
      <c r="D406" s="19" t="s">
        <v>43</v>
      </c>
      <c r="E406" s="20"/>
      <c r="F406" s="21">
        <v>1</v>
      </c>
      <c r="G406" s="22" t="s">
        <v>21</v>
      </c>
      <c r="H406" s="21">
        <v>144</v>
      </c>
      <c r="I406" s="22" t="s">
        <v>43</v>
      </c>
      <c r="J406" s="23">
        <v>13800</v>
      </c>
      <c r="K406" s="19" t="s">
        <v>43</v>
      </c>
      <c r="L406" s="24"/>
      <c r="M406" s="24">
        <v>0.17</v>
      </c>
      <c r="N406" s="18"/>
      <c r="O406" s="22" t="s">
        <v>43</v>
      </c>
      <c r="P406" s="18">
        <f t="shared" si="109"/>
        <v>0</v>
      </c>
      <c r="Q406" s="22" t="s">
        <v>43</v>
      </c>
      <c r="R406" s="23">
        <f t="shared" si="110"/>
        <v>0</v>
      </c>
      <c r="S406" s="23">
        <f t="shared" si="101"/>
        <v>0</v>
      </c>
    </row>
    <row r="407" spans="1:19" s="17" customFormat="1">
      <c r="A407" s="93" t="s">
        <v>382</v>
      </c>
      <c r="B407" s="17" t="s">
        <v>26</v>
      </c>
      <c r="C407" s="18"/>
      <c r="D407" s="19" t="s">
        <v>43</v>
      </c>
      <c r="E407" s="20"/>
      <c r="F407" s="21">
        <v>1</v>
      </c>
      <c r="G407" s="22" t="s">
        <v>21</v>
      </c>
      <c r="H407" s="21">
        <v>144</v>
      </c>
      <c r="I407" s="22" t="s">
        <v>43</v>
      </c>
      <c r="J407" s="23">
        <v>13800</v>
      </c>
      <c r="K407" s="19" t="s">
        <v>43</v>
      </c>
      <c r="L407" s="24"/>
      <c r="M407" s="24">
        <v>0.17</v>
      </c>
      <c r="N407" s="18"/>
      <c r="O407" s="22" t="s">
        <v>43</v>
      </c>
      <c r="P407" s="18">
        <f t="shared" si="109"/>
        <v>0</v>
      </c>
      <c r="Q407" s="22" t="s">
        <v>43</v>
      </c>
      <c r="R407" s="23">
        <f t="shared" si="110"/>
        <v>0</v>
      </c>
      <c r="S407" s="23">
        <f t="shared" si="101"/>
        <v>0</v>
      </c>
    </row>
    <row r="408" spans="1:19" s="17" customFormat="1">
      <c r="A408" s="93" t="s">
        <v>383</v>
      </c>
      <c r="B408" s="17" t="s">
        <v>26</v>
      </c>
      <c r="C408" s="18">
        <v>12</v>
      </c>
      <c r="D408" s="19" t="s">
        <v>43</v>
      </c>
      <c r="E408" s="20"/>
      <c r="F408" s="21">
        <v>1</v>
      </c>
      <c r="G408" s="22" t="s">
        <v>21</v>
      </c>
      <c r="H408" s="21">
        <v>144</v>
      </c>
      <c r="I408" s="22" t="s">
        <v>43</v>
      </c>
      <c r="J408" s="23">
        <v>13800</v>
      </c>
      <c r="K408" s="19" t="s">
        <v>43</v>
      </c>
      <c r="L408" s="24"/>
      <c r="M408" s="24">
        <v>0.17</v>
      </c>
      <c r="N408" s="18">
        <v>12</v>
      </c>
      <c r="O408" s="22" t="s">
        <v>43</v>
      </c>
      <c r="P408" s="18">
        <f t="shared" si="109"/>
        <v>0</v>
      </c>
      <c r="Q408" s="22" t="s">
        <v>43</v>
      </c>
      <c r="R408" s="23">
        <f t="shared" si="110"/>
        <v>0</v>
      </c>
      <c r="S408" s="23">
        <f t="shared" si="101"/>
        <v>0</v>
      </c>
    </row>
    <row r="409" spans="1:19" s="17" customFormat="1">
      <c r="A409" s="93" t="s">
        <v>384</v>
      </c>
      <c r="B409" s="17" t="s">
        <v>26</v>
      </c>
      <c r="C409" s="18"/>
      <c r="D409" s="19" t="s">
        <v>43</v>
      </c>
      <c r="E409" s="20"/>
      <c r="F409" s="21">
        <v>1</v>
      </c>
      <c r="G409" s="22" t="s">
        <v>21</v>
      </c>
      <c r="H409" s="21">
        <v>144</v>
      </c>
      <c r="I409" s="22" t="s">
        <v>43</v>
      </c>
      <c r="J409" s="23">
        <v>13800</v>
      </c>
      <c r="K409" s="19" t="s">
        <v>43</v>
      </c>
      <c r="L409" s="24"/>
      <c r="M409" s="24">
        <v>0.17</v>
      </c>
      <c r="N409" s="18"/>
      <c r="O409" s="22" t="s">
        <v>43</v>
      </c>
      <c r="P409" s="18">
        <f t="shared" si="109"/>
        <v>0</v>
      </c>
      <c r="Q409" s="22" t="s">
        <v>43</v>
      </c>
      <c r="R409" s="23">
        <f t="shared" si="110"/>
        <v>0</v>
      </c>
      <c r="S409" s="23">
        <f t="shared" si="101"/>
        <v>0</v>
      </c>
    </row>
    <row r="410" spans="1:19" s="17" customFormat="1">
      <c r="A410" s="93" t="s">
        <v>385</v>
      </c>
      <c r="B410" s="17" t="s">
        <v>26</v>
      </c>
      <c r="C410" s="18"/>
      <c r="D410" s="19" t="s">
        <v>43</v>
      </c>
      <c r="E410" s="20"/>
      <c r="F410" s="21">
        <v>1</v>
      </c>
      <c r="G410" s="22" t="s">
        <v>21</v>
      </c>
      <c r="H410" s="21">
        <v>144</v>
      </c>
      <c r="I410" s="22" t="s">
        <v>43</v>
      </c>
      <c r="J410" s="23">
        <f>1987200/144</f>
        <v>13800</v>
      </c>
      <c r="K410" s="19" t="s">
        <v>43</v>
      </c>
      <c r="L410" s="24"/>
      <c r="M410" s="24">
        <v>0.17</v>
      </c>
      <c r="N410" s="18"/>
      <c r="O410" s="22" t="s">
        <v>43</v>
      </c>
      <c r="P410" s="18">
        <f t="shared" si="109"/>
        <v>0</v>
      </c>
      <c r="Q410" s="22" t="s">
        <v>43</v>
      </c>
      <c r="R410" s="23">
        <f t="shared" si="110"/>
        <v>0</v>
      </c>
      <c r="S410" s="23">
        <f t="shared" si="101"/>
        <v>0</v>
      </c>
    </row>
    <row r="411" spans="1:19" s="17" customFormat="1">
      <c r="A411" s="93" t="s">
        <v>386</v>
      </c>
      <c r="B411" s="17" t="s">
        <v>26</v>
      </c>
      <c r="C411" s="18"/>
      <c r="D411" s="19" t="s">
        <v>43</v>
      </c>
      <c r="E411" s="20"/>
      <c r="F411" s="21">
        <v>1</v>
      </c>
      <c r="G411" s="22" t="s">
        <v>21</v>
      </c>
      <c r="H411" s="21">
        <v>144</v>
      </c>
      <c r="I411" s="22" t="s">
        <v>43</v>
      </c>
      <c r="J411" s="23">
        <f>2073600/12/12</f>
        <v>14400</v>
      </c>
      <c r="K411" s="19" t="s">
        <v>43</v>
      </c>
      <c r="L411" s="24"/>
      <c r="M411" s="24">
        <v>0.17</v>
      </c>
      <c r="N411" s="18"/>
      <c r="O411" s="22" t="s">
        <v>43</v>
      </c>
      <c r="P411" s="18">
        <f t="shared" si="109"/>
        <v>0</v>
      </c>
      <c r="Q411" s="22" t="s">
        <v>43</v>
      </c>
      <c r="R411" s="23">
        <f t="shared" si="110"/>
        <v>0</v>
      </c>
      <c r="S411" s="23">
        <f t="shared" si="101"/>
        <v>0</v>
      </c>
    </row>
    <row r="412" spans="1:19">
      <c r="A412" s="15" t="s">
        <v>387</v>
      </c>
      <c r="S412" s="23"/>
    </row>
    <row r="413" spans="1:19">
      <c r="A413" s="34" t="s">
        <v>388</v>
      </c>
      <c r="B413" s="2" t="s">
        <v>192</v>
      </c>
      <c r="C413" s="3">
        <v>2285</v>
      </c>
      <c r="D413" s="4" t="s">
        <v>43</v>
      </c>
      <c r="F413" s="6">
        <v>1</v>
      </c>
      <c r="G413" s="7" t="s">
        <v>21</v>
      </c>
      <c r="H413" s="6">
        <v>240</v>
      </c>
      <c r="I413" s="7" t="s">
        <v>43</v>
      </c>
      <c r="J413" s="8">
        <v>10000</v>
      </c>
      <c r="K413" s="4" t="s">
        <v>43</v>
      </c>
      <c r="N413" s="3">
        <f>3+12+36+12+3</f>
        <v>66</v>
      </c>
      <c r="O413" s="7" t="s">
        <v>43</v>
      </c>
      <c r="P413" s="3">
        <f t="shared" ref="P413:P446" si="117">(C413+(E413*F413*H413))-N413</f>
        <v>2219</v>
      </c>
      <c r="Q413" s="7" t="s">
        <v>43</v>
      </c>
      <c r="R413" s="8">
        <f t="shared" ref="R413:R446" si="118">P413*(J413-(J413*L413)-((J413-(J413*L413))*M413))</f>
        <v>22190000</v>
      </c>
      <c r="S413" s="32">
        <f t="shared" si="101"/>
        <v>19990990.990990989</v>
      </c>
    </row>
    <row r="414" spans="1:19" s="26" customFormat="1">
      <c r="A414" s="25" t="s">
        <v>389</v>
      </c>
      <c r="B414" s="26" t="s">
        <v>192</v>
      </c>
      <c r="C414" s="27">
        <v>1901</v>
      </c>
      <c r="D414" s="28" t="s">
        <v>43</v>
      </c>
      <c r="E414" s="29"/>
      <c r="F414" s="30">
        <v>1</v>
      </c>
      <c r="G414" s="31" t="s">
        <v>21</v>
      </c>
      <c r="H414" s="30">
        <v>240</v>
      </c>
      <c r="I414" s="31" t="s">
        <v>43</v>
      </c>
      <c r="J414" s="32">
        <v>10000</v>
      </c>
      <c r="K414" s="28" t="s">
        <v>43</v>
      </c>
      <c r="L414" s="33"/>
      <c r="M414" s="33"/>
      <c r="N414" s="27">
        <f>11+3+3+240+36+12+3</f>
        <v>308</v>
      </c>
      <c r="O414" s="31" t="s">
        <v>43</v>
      </c>
      <c r="P414" s="27">
        <f t="shared" si="117"/>
        <v>1593</v>
      </c>
      <c r="Q414" s="31" t="s">
        <v>43</v>
      </c>
      <c r="R414" s="32">
        <f t="shared" si="118"/>
        <v>15930000</v>
      </c>
      <c r="S414" s="32">
        <f t="shared" si="101"/>
        <v>14351351.351351351</v>
      </c>
    </row>
    <row r="415" spans="1:19" s="26" customFormat="1">
      <c r="A415" s="25" t="s">
        <v>390</v>
      </c>
      <c r="B415" s="26" t="s">
        <v>192</v>
      </c>
      <c r="C415" s="27">
        <v>1840</v>
      </c>
      <c r="D415" s="28" t="s">
        <v>43</v>
      </c>
      <c r="E415" s="29"/>
      <c r="F415" s="30">
        <v>1</v>
      </c>
      <c r="G415" s="31" t="s">
        <v>21</v>
      </c>
      <c r="H415" s="30">
        <v>240</v>
      </c>
      <c r="I415" s="31" t="s">
        <v>43</v>
      </c>
      <c r="J415" s="32">
        <v>10000</v>
      </c>
      <c r="K415" s="28" t="s">
        <v>43</v>
      </c>
      <c r="L415" s="33"/>
      <c r="M415" s="33"/>
      <c r="N415" s="27">
        <f>240+3+3+240+36+3</f>
        <v>525</v>
      </c>
      <c r="O415" s="31" t="s">
        <v>43</v>
      </c>
      <c r="P415" s="27">
        <f t="shared" si="117"/>
        <v>1315</v>
      </c>
      <c r="Q415" s="31" t="s">
        <v>43</v>
      </c>
      <c r="R415" s="32">
        <f t="shared" si="118"/>
        <v>13150000</v>
      </c>
      <c r="S415" s="32">
        <f t="shared" si="101"/>
        <v>11846846.846846845</v>
      </c>
    </row>
    <row r="416" spans="1:19" s="26" customFormat="1">
      <c r="A416" s="25" t="s">
        <v>391</v>
      </c>
      <c r="B416" s="26" t="s">
        <v>192</v>
      </c>
      <c r="C416" s="27">
        <v>248</v>
      </c>
      <c r="D416" s="28" t="s">
        <v>43</v>
      </c>
      <c r="E416" s="29"/>
      <c r="F416" s="30">
        <v>1</v>
      </c>
      <c r="G416" s="31" t="s">
        <v>21</v>
      </c>
      <c r="H416" s="30">
        <v>240</v>
      </c>
      <c r="I416" s="31" t="s">
        <v>43</v>
      </c>
      <c r="J416" s="32">
        <v>10000</v>
      </c>
      <c r="K416" s="28" t="s">
        <v>43</v>
      </c>
      <c r="L416" s="33"/>
      <c r="M416" s="33"/>
      <c r="N416" s="27">
        <v>229</v>
      </c>
      <c r="O416" s="31" t="s">
        <v>43</v>
      </c>
      <c r="P416" s="27">
        <f t="shared" si="117"/>
        <v>19</v>
      </c>
      <c r="Q416" s="31" t="s">
        <v>43</v>
      </c>
      <c r="R416" s="32">
        <f t="shared" si="118"/>
        <v>190000</v>
      </c>
      <c r="S416" s="32">
        <f t="shared" si="101"/>
        <v>171171.17117117115</v>
      </c>
    </row>
    <row r="417" spans="1:20" s="17" customFormat="1">
      <c r="A417" s="16" t="s">
        <v>392</v>
      </c>
      <c r="B417" s="17" t="s">
        <v>19</v>
      </c>
      <c r="C417" s="18"/>
      <c r="D417" s="19" t="s">
        <v>43</v>
      </c>
      <c r="E417" s="20"/>
      <c r="F417" s="21">
        <v>1</v>
      </c>
      <c r="G417" s="22" t="s">
        <v>21</v>
      </c>
      <c r="H417" s="21">
        <v>144</v>
      </c>
      <c r="I417" s="22" t="s">
        <v>43</v>
      </c>
      <c r="J417" s="23">
        <v>19800</v>
      </c>
      <c r="K417" s="19" t="s">
        <v>43</v>
      </c>
      <c r="L417" s="24">
        <v>0.125</v>
      </c>
      <c r="M417" s="24">
        <v>0.05</v>
      </c>
      <c r="N417" s="18"/>
      <c r="O417" s="22" t="s">
        <v>43</v>
      </c>
      <c r="P417" s="18">
        <f t="shared" si="117"/>
        <v>0</v>
      </c>
      <c r="Q417" s="22" t="s">
        <v>43</v>
      </c>
      <c r="R417" s="23">
        <f t="shared" si="118"/>
        <v>0</v>
      </c>
      <c r="S417" s="23">
        <f t="shared" si="101"/>
        <v>0</v>
      </c>
    </row>
    <row r="418" spans="1:20" s="26" customFormat="1">
      <c r="A418" s="25" t="s">
        <v>393</v>
      </c>
      <c r="B418" s="26" t="s">
        <v>19</v>
      </c>
      <c r="C418" s="27">
        <v>2</v>
      </c>
      <c r="D418" s="28" t="s">
        <v>43</v>
      </c>
      <c r="E418" s="29"/>
      <c r="F418" s="30">
        <v>1</v>
      </c>
      <c r="G418" s="31" t="s">
        <v>21</v>
      </c>
      <c r="H418" s="30">
        <v>144</v>
      </c>
      <c r="I418" s="31" t="s">
        <v>43</v>
      </c>
      <c r="J418" s="32">
        <v>20400</v>
      </c>
      <c r="K418" s="28" t="s">
        <v>43</v>
      </c>
      <c r="L418" s="33">
        <v>0.125</v>
      </c>
      <c r="M418" s="33">
        <v>0.05</v>
      </c>
      <c r="N418" s="27"/>
      <c r="O418" s="31" t="s">
        <v>43</v>
      </c>
      <c r="P418" s="27">
        <f t="shared" si="117"/>
        <v>2</v>
      </c>
      <c r="Q418" s="31" t="s">
        <v>43</v>
      </c>
      <c r="R418" s="32">
        <f t="shared" si="118"/>
        <v>33915</v>
      </c>
      <c r="S418" s="32">
        <f t="shared" si="101"/>
        <v>30554.05405405405</v>
      </c>
    </row>
    <row r="419" spans="1:20" s="17" customFormat="1">
      <c r="A419" s="93" t="s">
        <v>732</v>
      </c>
      <c r="B419" s="17" t="s">
        <v>19</v>
      </c>
      <c r="C419" s="18">
        <v>1</v>
      </c>
      <c r="D419" s="19" t="s">
        <v>43</v>
      </c>
      <c r="E419" s="20"/>
      <c r="F419" s="21">
        <v>1</v>
      </c>
      <c r="G419" s="22" t="s">
        <v>21</v>
      </c>
      <c r="H419" s="21">
        <v>144</v>
      </c>
      <c r="I419" s="22" t="s">
        <v>43</v>
      </c>
      <c r="J419" s="23">
        <v>69600</v>
      </c>
      <c r="K419" s="19" t="s">
        <v>43</v>
      </c>
      <c r="L419" s="24">
        <v>0.125</v>
      </c>
      <c r="M419" s="24">
        <v>0.05</v>
      </c>
      <c r="N419" s="18">
        <v>1</v>
      </c>
      <c r="O419" s="22" t="s">
        <v>43</v>
      </c>
      <c r="P419" s="18">
        <f t="shared" ref="P419" si="119">(C419+(E419*F419*H419))-N419</f>
        <v>0</v>
      </c>
      <c r="Q419" s="22" t="s">
        <v>43</v>
      </c>
      <c r="R419" s="23">
        <f t="shared" ref="R419" si="120">P419*(J419-(J419*L419)-((J419-(J419*L419))*M419))</f>
        <v>0</v>
      </c>
      <c r="S419" s="23">
        <f t="shared" ref="S419" si="121">R419/1.11</f>
        <v>0</v>
      </c>
    </row>
    <row r="420" spans="1:20" s="17" customFormat="1">
      <c r="A420" s="93" t="s">
        <v>394</v>
      </c>
      <c r="B420" s="17" t="s">
        <v>19</v>
      </c>
      <c r="C420" s="18"/>
      <c r="D420" s="19" t="s">
        <v>43</v>
      </c>
      <c r="E420" s="20"/>
      <c r="F420" s="21">
        <v>1</v>
      </c>
      <c r="G420" s="22" t="s">
        <v>21</v>
      </c>
      <c r="H420" s="21">
        <v>144</v>
      </c>
      <c r="I420" s="22" t="s">
        <v>43</v>
      </c>
      <c r="J420" s="23">
        <v>27000</v>
      </c>
      <c r="K420" s="19" t="s">
        <v>43</v>
      </c>
      <c r="L420" s="24">
        <v>0.125</v>
      </c>
      <c r="M420" s="24">
        <v>0.05</v>
      </c>
      <c r="N420" s="18"/>
      <c r="O420" s="22" t="s">
        <v>43</v>
      </c>
      <c r="P420" s="18">
        <f t="shared" si="117"/>
        <v>0</v>
      </c>
      <c r="Q420" s="22" t="s">
        <v>43</v>
      </c>
      <c r="R420" s="23">
        <f t="shared" si="118"/>
        <v>0</v>
      </c>
      <c r="S420" s="23">
        <f t="shared" si="101"/>
        <v>0</v>
      </c>
    </row>
    <row r="421" spans="1:20" s="17" customFormat="1">
      <c r="A421" s="93" t="s">
        <v>395</v>
      </c>
      <c r="B421" s="17" t="s">
        <v>19</v>
      </c>
      <c r="C421" s="18"/>
      <c r="D421" s="19" t="s">
        <v>43</v>
      </c>
      <c r="E421" s="20"/>
      <c r="F421" s="21">
        <v>1</v>
      </c>
      <c r="G421" s="22" t="s">
        <v>21</v>
      </c>
      <c r="H421" s="21">
        <v>144</v>
      </c>
      <c r="I421" s="22" t="s">
        <v>43</v>
      </c>
      <c r="J421" s="23">
        <v>43200</v>
      </c>
      <c r="K421" s="19" t="s">
        <v>43</v>
      </c>
      <c r="L421" s="24">
        <v>0.125</v>
      </c>
      <c r="M421" s="24">
        <v>0.05</v>
      </c>
      <c r="N421" s="18"/>
      <c r="O421" s="22" t="s">
        <v>43</v>
      </c>
      <c r="P421" s="18">
        <f t="shared" si="117"/>
        <v>0</v>
      </c>
      <c r="Q421" s="22" t="s">
        <v>43</v>
      </c>
      <c r="R421" s="23">
        <f t="shared" si="118"/>
        <v>0</v>
      </c>
      <c r="S421" s="23">
        <f t="shared" ref="S421:S487" si="122">R421/1.11</f>
        <v>0</v>
      </c>
    </row>
    <row r="422" spans="1:20" s="17" customFormat="1">
      <c r="A422" s="93" t="s">
        <v>396</v>
      </c>
      <c r="B422" s="17" t="s">
        <v>19</v>
      </c>
      <c r="C422" s="18">
        <v>17</v>
      </c>
      <c r="D422" s="19" t="s">
        <v>43</v>
      </c>
      <c r="E422" s="20"/>
      <c r="F422" s="21">
        <v>1</v>
      </c>
      <c r="G422" s="22" t="s">
        <v>21</v>
      </c>
      <c r="H422" s="21">
        <v>144</v>
      </c>
      <c r="I422" s="22" t="s">
        <v>43</v>
      </c>
      <c r="J422" s="23">
        <v>22800</v>
      </c>
      <c r="K422" s="19" t="s">
        <v>43</v>
      </c>
      <c r="L422" s="24">
        <v>0.125</v>
      </c>
      <c r="M422" s="24">
        <v>0.05</v>
      </c>
      <c r="N422" s="18">
        <f>12+2+3</f>
        <v>17</v>
      </c>
      <c r="O422" s="22" t="s">
        <v>43</v>
      </c>
      <c r="P422" s="18">
        <f t="shared" si="117"/>
        <v>0</v>
      </c>
      <c r="Q422" s="22" t="s">
        <v>43</v>
      </c>
      <c r="R422" s="23">
        <f t="shared" si="118"/>
        <v>0</v>
      </c>
      <c r="S422" s="23">
        <f t="shared" si="122"/>
        <v>0</v>
      </c>
    </row>
    <row r="423" spans="1:20" s="45" customFormat="1">
      <c r="A423" s="94" t="s">
        <v>397</v>
      </c>
      <c r="B423" s="45" t="s">
        <v>19</v>
      </c>
      <c r="C423" s="46">
        <v>148</v>
      </c>
      <c r="D423" s="47" t="s">
        <v>43</v>
      </c>
      <c r="E423" s="48">
        <v>10</v>
      </c>
      <c r="F423" s="49">
        <v>1</v>
      </c>
      <c r="G423" s="50" t="s">
        <v>21</v>
      </c>
      <c r="H423" s="49">
        <v>144</v>
      </c>
      <c r="I423" s="50" t="s">
        <v>43</v>
      </c>
      <c r="J423" s="51">
        <v>26400</v>
      </c>
      <c r="K423" s="47" t="s">
        <v>43</v>
      </c>
      <c r="L423" s="52">
        <v>0.125</v>
      </c>
      <c r="M423" s="52">
        <v>0.05</v>
      </c>
      <c r="N423" s="82">
        <f>12+12</f>
        <v>24</v>
      </c>
      <c r="O423" s="116" t="s">
        <v>43</v>
      </c>
      <c r="P423" s="82">
        <f t="shared" si="117"/>
        <v>1564</v>
      </c>
      <c r="Q423" s="50" t="s">
        <v>43</v>
      </c>
      <c r="R423" s="51">
        <f t="shared" si="118"/>
        <v>34321980</v>
      </c>
      <c r="S423" s="51">
        <f t="shared" si="122"/>
        <v>30920702.702702701</v>
      </c>
    </row>
    <row r="424" spans="1:20" s="26" customFormat="1">
      <c r="A424" s="94" t="s">
        <v>398</v>
      </c>
      <c r="B424" s="26" t="s">
        <v>19</v>
      </c>
      <c r="C424" s="27"/>
      <c r="D424" s="28" t="s">
        <v>43</v>
      </c>
      <c r="E424" s="29">
        <v>10</v>
      </c>
      <c r="F424" s="30">
        <v>1</v>
      </c>
      <c r="G424" s="31" t="s">
        <v>21</v>
      </c>
      <c r="H424" s="30">
        <v>144</v>
      </c>
      <c r="I424" s="31" t="s">
        <v>43</v>
      </c>
      <c r="J424" s="32">
        <v>27000</v>
      </c>
      <c r="K424" s="28" t="s">
        <v>43</v>
      </c>
      <c r="L424" s="33">
        <v>0.125</v>
      </c>
      <c r="M424" s="33">
        <v>0.05</v>
      </c>
      <c r="N424" s="27"/>
      <c r="O424" s="31" t="s">
        <v>43</v>
      </c>
      <c r="P424" s="27">
        <f t="shared" si="117"/>
        <v>1440</v>
      </c>
      <c r="Q424" s="31" t="s">
        <v>43</v>
      </c>
      <c r="R424" s="32">
        <f t="shared" si="118"/>
        <v>32319000</v>
      </c>
      <c r="S424" s="32">
        <f t="shared" si="122"/>
        <v>29116216.216216214</v>
      </c>
    </row>
    <row r="425" spans="1:20" s="17" customFormat="1">
      <c r="A425" s="93" t="s">
        <v>399</v>
      </c>
      <c r="B425" s="17" t="s">
        <v>19</v>
      </c>
      <c r="C425" s="18"/>
      <c r="D425" s="19" t="s">
        <v>43</v>
      </c>
      <c r="E425" s="20"/>
      <c r="F425" s="21">
        <v>1</v>
      </c>
      <c r="G425" s="22" t="s">
        <v>21</v>
      </c>
      <c r="H425" s="21">
        <v>144</v>
      </c>
      <c r="I425" s="22" t="s">
        <v>43</v>
      </c>
      <c r="J425" s="23">
        <v>25800</v>
      </c>
      <c r="K425" s="19" t="s">
        <v>43</v>
      </c>
      <c r="L425" s="24">
        <v>0.125</v>
      </c>
      <c r="M425" s="24">
        <v>0.05</v>
      </c>
      <c r="N425" s="18"/>
      <c r="O425" s="22" t="s">
        <v>43</v>
      </c>
      <c r="P425" s="18">
        <f t="shared" si="117"/>
        <v>0</v>
      </c>
      <c r="Q425" s="22" t="s">
        <v>43</v>
      </c>
      <c r="R425" s="23">
        <f t="shared" si="118"/>
        <v>0</v>
      </c>
      <c r="S425" s="23">
        <f t="shared" si="122"/>
        <v>0</v>
      </c>
    </row>
    <row r="426" spans="1:20" s="17" customFormat="1">
      <c r="A426" s="16" t="s">
        <v>400</v>
      </c>
      <c r="B426" s="17" t="s">
        <v>19</v>
      </c>
      <c r="C426" s="18"/>
      <c r="D426" s="19" t="s">
        <v>43</v>
      </c>
      <c r="E426" s="20"/>
      <c r="F426" s="21">
        <v>1</v>
      </c>
      <c r="G426" s="22" t="s">
        <v>21</v>
      </c>
      <c r="H426" s="21">
        <v>144</v>
      </c>
      <c r="I426" s="22" t="s">
        <v>43</v>
      </c>
      <c r="J426" s="23">
        <v>14100</v>
      </c>
      <c r="K426" s="19" t="s">
        <v>43</v>
      </c>
      <c r="L426" s="24">
        <v>0.125</v>
      </c>
      <c r="M426" s="24">
        <v>0.05</v>
      </c>
      <c r="N426" s="18"/>
      <c r="O426" s="22" t="s">
        <v>43</v>
      </c>
      <c r="P426" s="18">
        <f t="shared" si="117"/>
        <v>0</v>
      </c>
      <c r="Q426" s="22" t="s">
        <v>43</v>
      </c>
      <c r="R426" s="23">
        <f t="shared" si="118"/>
        <v>0</v>
      </c>
      <c r="S426" s="23">
        <f t="shared" si="122"/>
        <v>0</v>
      </c>
    </row>
    <row r="427" spans="1:20" s="26" customFormat="1">
      <c r="A427" s="25" t="s">
        <v>401</v>
      </c>
      <c r="B427" s="26" t="s">
        <v>19</v>
      </c>
      <c r="C427" s="27">
        <v>288</v>
      </c>
      <c r="D427" s="28" t="s">
        <v>43</v>
      </c>
      <c r="E427" s="29"/>
      <c r="F427" s="30">
        <v>1</v>
      </c>
      <c r="G427" s="31" t="s">
        <v>21</v>
      </c>
      <c r="H427" s="30">
        <v>144</v>
      </c>
      <c r="I427" s="31" t="s">
        <v>43</v>
      </c>
      <c r="J427" s="32">
        <v>20400</v>
      </c>
      <c r="K427" s="28" t="s">
        <v>43</v>
      </c>
      <c r="L427" s="33">
        <v>0.125</v>
      </c>
      <c r="M427" s="33">
        <v>0.05</v>
      </c>
      <c r="N427" s="27"/>
      <c r="O427" s="31" t="s">
        <v>43</v>
      </c>
      <c r="P427" s="27">
        <f t="shared" si="117"/>
        <v>288</v>
      </c>
      <c r="Q427" s="31" t="s">
        <v>43</v>
      </c>
      <c r="R427" s="32">
        <f t="shared" si="118"/>
        <v>4883760</v>
      </c>
      <c r="S427" s="32">
        <f t="shared" si="122"/>
        <v>4399783.7837837832</v>
      </c>
    </row>
    <row r="428" spans="1:20" s="17" customFormat="1">
      <c r="A428" s="16" t="s">
        <v>402</v>
      </c>
      <c r="B428" s="17" t="s">
        <v>26</v>
      </c>
      <c r="C428" s="18">
        <v>144</v>
      </c>
      <c r="D428" s="19" t="s">
        <v>43</v>
      </c>
      <c r="E428" s="20"/>
      <c r="F428" s="21">
        <v>1</v>
      </c>
      <c r="G428" s="22" t="s">
        <v>21</v>
      </c>
      <c r="H428" s="21">
        <v>144</v>
      </c>
      <c r="I428" s="22" t="s">
        <v>43</v>
      </c>
      <c r="J428" s="23">
        <v>25200</v>
      </c>
      <c r="K428" s="19" t="s">
        <v>43</v>
      </c>
      <c r="L428" s="24"/>
      <c r="M428" s="24">
        <v>0.17</v>
      </c>
      <c r="N428" s="18">
        <v>144</v>
      </c>
      <c r="O428" s="22" t="s">
        <v>43</v>
      </c>
      <c r="P428" s="18">
        <f t="shared" si="117"/>
        <v>0</v>
      </c>
      <c r="Q428" s="22" t="s">
        <v>43</v>
      </c>
      <c r="R428" s="23">
        <f t="shared" si="118"/>
        <v>0</v>
      </c>
      <c r="S428" s="23">
        <f t="shared" si="122"/>
        <v>0</v>
      </c>
    </row>
    <row r="429" spans="1:20" s="26" customFormat="1">
      <c r="A429" s="25" t="s">
        <v>403</v>
      </c>
      <c r="B429" s="26" t="s">
        <v>26</v>
      </c>
      <c r="C429" s="27">
        <v>132</v>
      </c>
      <c r="D429" s="28" t="s">
        <v>43</v>
      </c>
      <c r="E429" s="29"/>
      <c r="F429" s="30">
        <v>1</v>
      </c>
      <c r="G429" s="31" t="s">
        <v>21</v>
      </c>
      <c r="H429" s="30">
        <v>144</v>
      </c>
      <c r="I429" s="31" t="s">
        <v>43</v>
      </c>
      <c r="J429" s="32">
        <f>3715200/144</f>
        <v>25800</v>
      </c>
      <c r="K429" s="28" t="s">
        <v>43</v>
      </c>
      <c r="L429" s="33"/>
      <c r="M429" s="33">
        <v>0.17</v>
      </c>
      <c r="N429" s="27"/>
      <c r="O429" s="31" t="s">
        <v>43</v>
      </c>
      <c r="P429" s="27">
        <f t="shared" si="117"/>
        <v>132</v>
      </c>
      <c r="Q429" s="31" t="s">
        <v>43</v>
      </c>
      <c r="R429" s="32">
        <f t="shared" si="118"/>
        <v>2826648</v>
      </c>
      <c r="S429" s="32">
        <f t="shared" si="122"/>
        <v>2546529.7297297297</v>
      </c>
    </row>
    <row r="430" spans="1:20" s="17" customFormat="1">
      <c r="A430" s="93" t="s">
        <v>404</v>
      </c>
      <c r="B430" s="17" t="s">
        <v>26</v>
      </c>
      <c r="C430" s="18">
        <f>149+340</f>
        <v>489</v>
      </c>
      <c r="D430" s="19" t="s">
        <v>43</v>
      </c>
      <c r="E430" s="20">
        <f>4+2</f>
        <v>6</v>
      </c>
      <c r="F430" s="21">
        <v>1</v>
      </c>
      <c r="G430" s="22" t="s">
        <v>21</v>
      </c>
      <c r="H430" s="21">
        <v>144</v>
      </c>
      <c r="I430" s="22" t="s">
        <v>43</v>
      </c>
      <c r="J430" s="23">
        <f>3628800/144</f>
        <v>25200</v>
      </c>
      <c r="K430" s="19" t="s">
        <v>43</v>
      </c>
      <c r="L430" s="24"/>
      <c r="M430" s="24">
        <v>0.17</v>
      </c>
      <c r="N430" s="18">
        <f>12+144+144+72+48+144+24+60+36+(2+2)+36+144+144+144+53+144</f>
        <v>1353</v>
      </c>
      <c r="O430" s="22" t="s">
        <v>43</v>
      </c>
      <c r="P430" s="18">
        <f t="shared" si="117"/>
        <v>0</v>
      </c>
      <c r="Q430" s="22" t="s">
        <v>43</v>
      </c>
      <c r="R430" s="23">
        <f t="shared" si="118"/>
        <v>0</v>
      </c>
      <c r="S430" s="23">
        <f t="shared" si="122"/>
        <v>0</v>
      </c>
    </row>
    <row r="431" spans="1:20">
      <c r="A431" s="93" t="s">
        <v>405</v>
      </c>
      <c r="B431" s="17" t="s">
        <v>26</v>
      </c>
      <c r="C431" s="18">
        <v>102</v>
      </c>
      <c r="D431" s="19" t="s">
        <v>43</v>
      </c>
      <c r="E431" s="20"/>
      <c r="F431" s="21">
        <v>1</v>
      </c>
      <c r="G431" s="22" t="s">
        <v>21</v>
      </c>
      <c r="H431" s="21">
        <v>144</v>
      </c>
      <c r="I431" s="22" t="s">
        <v>43</v>
      </c>
      <c r="J431" s="23">
        <f>3628800/144</f>
        <v>25200</v>
      </c>
      <c r="K431" s="19" t="s">
        <v>43</v>
      </c>
      <c r="L431" s="24"/>
      <c r="M431" s="24">
        <v>0.17</v>
      </c>
      <c r="N431" s="18">
        <f>48+3+24+3+24</f>
        <v>102</v>
      </c>
      <c r="O431" s="22" t="s">
        <v>43</v>
      </c>
      <c r="P431" s="18">
        <f t="shared" si="117"/>
        <v>0</v>
      </c>
      <c r="Q431" s="22" t="s">
        <v>43</v>
      </c>
      <c r="R431" s="23">
        <f t="shared" si="118"/>
        <v>0</v>
      </c>
      <c r="S431" s="23">
        <f t="shared" si="122"/>
        <v>0</v>
      </c>
      <c r="T431" s="17"/>
    </row>
    <row r="432" spans="1:20" s="17" customFormat="1">
      <c r="A432" s="93" t="s">
        <v>406</v>
      </c>
      <c r="B432" s="17" t="s">
        <v>26</v>
      </c>
      <c r="C432" s="18"/>
      <c r="D432" s="19" t="s">
        <v>43</v>
      </c>
      <c r="E432" s="20"/>
      <c r="F432" s="21">
        <v>1</v>
      </c>
      <c r="G432" s="22" t="s">
        <v>21</v>
      </c>
      <c r="H432" s="21">
        <v>144</v>
      </c>
      <c r="I432" s="22" t="s">
        <v>43</v>
      </c>
      <c r="J432" s="23">
        <f>3628800/144</f>
        <v>25200</v>
      </c>
      <c r="K432" s="19" t="s">
        <v>43</v>
      </c>
      <c r="L432" s="24"/>
      <c r="M432" s="24">
        <v>0.17</v>
      </c>
      <c r="N432" s="18"/>
      <c r="O432" s="22" t="s">
        <v>43</v>
      </c>
      <c r="P432" s="18">
        <f t="shared" si="117"/>
        <v>0</v>
      </c>
      <c r="Q432" s="22" t="s">
        <v>43</v>
      </c>
      <c r="R432" s="23">
        <f t="shared" si="118"/>
        <v>0</v>
      </c>
      <c r="S432" s="23">
        <f t="shared" si="122"/>
        <v>0</v>
      </c>
    </row>
    <row r="433" spans="1:20" s="45" customFormat="1">
      <c r="A433" s="44" t="s">
        <v>407</v>
      </c>
      <c r="B433" s="45" t="s">
        <v>26</v>
      </c>
      <c r="C433" s="46">
        <v>1295</v>
      </c>
      <c r="D433" s="47" t="s">
        <v>43</v>
      </c>
      <c r="E433" s="48">
        <f>(12+2)+2</f>
        <v>16</v>
      </c>
      <c r="F433" s="49">
        <v>1</v>
      </c>
      <c r="G433" s="50" t="s">
        <v>21</v>
      </c>
      <c r="H433" s="49">
        <v>144</v>
      </c>
      <c r="I433" s="50" t="s">
        <v>43</v>
      </c>
      <c r="J433" s="51">
        <f>5356800/144</f>
        <v>37200</v>
      </c>
      <c r="K433" s="47" t="s">
        <v>43</v>
      </c>
      <c r="L433" s="52"/>
      <c r="M433" s="52">
        <v>0.17</v>
      </c>
      <c r="N433" s="46">
        <f>(144+72)+144+72+36+36+36+6+24+24+144+18+36+(36+36)+144+36+12+36+72+36+6+(36+36)+36+72+72+36+72+36+36+36+36+72+36+24+144+36+36+36+36+144+72+144+36+36+12+36+36+(10+10)</f>
        <v>2666</v>
      </c>
      <c r="O433" s="50" t="s">
        <v>43</v>
      </c>
      <c r="P433" s="46">
        <f t="shared" si="117"/>
        <v>933</v>
      </c>
      <c r="Q433" s="50" t="s">
        <v>43</v>
      </c>
      <c r="R433" s="51">
        <f t="shared" si="118"/>
        <v>28807308</v>
      </c>
      <c r="S433" s="51">
        <f t="shared" si="122"/>
        <v>25952529.729729727</v>
      </c>
    </row>
    <row r="434" spans="1:20" s="17" customFormat="1">
      <c r="A434" s="16" t="s">
        <v>408</v>
      </c>
      <c r="B434" s="17" t="s">
        <v>26</v>
      </c>
      <c r="C434" s="158">
        <f>72+216</f>
        <v>288</v>
      </c>
      <c r="D434" s="19" t="s">
        <v>43</v>
      </c>
      <c r="E434" s="20"/>
      <c r="F434" s="21">
        <v>1</v>
      </c>
      <c r="G434" s="22" t="s">
        <v>21</v>
      </c>
      <c r="H434" s="21">
        <v>144</v>
      </c>
      <c r="I434" s="22" t="s">
        <v>43</v>
      </c>
      <c r="J434" s="23">
        <f>5356800/144</f>
        <v>37200</v>
      </c>
      <c r="K434" s="19" t="s">
        <v>43</v>
      </c>
      <c r="L434" s="24"/>
      <c r="M434" s="24">
        <v>0.17</v>
      </c>
      <c r="N434" s="18">
        <f>144+144</f>
        <v>288</v>
      </c>
      <c r="O434" s="22" t="s">
        <v>43</v>
      </c>
      <c r="P434" s="18">
        <f t="shared" si="117"/>
        <v>0</v>
      </c>
      <c r="Q434" s="22" t="s">
        <v>43</v>
      </c>
      <c r="R434" s="23">
        <f t="shared" si="118"/>
        <v>0</v>
      </c>
      <c r="S434" s="23">
        <f t="shared" si="122"/>
        <v>0</v>
      </c>
    </row>
    <row r="435" spans="1:20" s="26" customFormat="1">
      <c r="A435" s="25" t="s">
        <v>409</v>
      </c>
      <c r="B435" s="26" t="s">
        <v>26</v>
      </c>
      <c r="C435" s="27">
        <v>311</v>
      </c>
      <c r="D435" s="28" t="s">
        <v>43</v>
      </c>
      <c r="E435" s="29"/>
      <c r="F435" s="30">
        <v>1</v>
      </c>
      <c r="G435" s="31" t="s">
        <v>21</v>
      </c>
      <c r="H435" s="30">
        <v>144</v>
      </c>
      <c r="I435" s="31" t="s">
        <v>43</v>
      </c>
      <c r="J435" s="32">
        <f>5184000/144</f>
        <v>36000</v>
      </c>
      <c r="K435" s="28" t="s">
        <v>43</v>
      </c>
      <c r="L435" s="33"/>
      <c r="M435" s="33">
        <v>0.17</v>
      </c>
      <c r="N435" s="27">
        <f>(36+36+36)+60</f>
        <v>168</v>
      </c>
      <c r="O435" s="31" t="s">
        <v>43</v>
      </c>
      <c r="P435" s="27">
        <f t="shared" si="117"/>
        <v>143</v>
      </c>
      <c r="Q435" s="31" t="s">
        <v>43</v>
      </c>
      <c r="R435" s="32">
        <f t="shared" si="118"/>
        <v>4272840</v>
      </c>
      <c r="S435" s="32">
        <f t="shared" si="122"/>
        <v>3849405.405405405</v>
      </c>
    </row>
    <row r="436" spans="1:20" s="45" customFormat="1">
      <c r="A436" s="44" t="s">
        <v>410</v>
      </c>
      <c r="B436" s="45" t="s">
        <v>26</v>
      </c>
      <c r="C436" s="46">
        <v>14</v>
      </c>
      <c r="D436" s="47" t="s">
        <v>43</v>
      </c>
      <c r="E436" s="48">
        <f>(2+1)+1</f>
        <v>4</v>
      </c>
      <c r="F436" s="49">
        <v>1</v>
      </c>
      <c r="G436" s="50" t="s">
        <v>21</v>
      </c>
      <c r="H436" s="49">
        <v>144</v>
      </c>
      <c r="I436" s="50" t="s">
        <v>43</v>
      </c>
      <c r="J436" s="51">
        <f>5443200/144</f>
        <v>37800</v>
      </c>
      <c r="K436" s="47" t="s">
        <v>43</v>
      </c>
      <c r="L436" s="52"/>
      <c r="M436" s="52">
        <v>0.17</v>
      </c>
      <c r="N436" s="46">
        <f>144+24+36+144+12</f>
        <v>360</v>
      </c>
      <c r="O436" s="50" t="s">
        <v>43</v>
      </c>
      <c r="P436" s="46">
        <f t="shared" si="117"/>
        <v>230</v>
      </c>
      <c r="Q436" s="50" t="s">
        <v>43</v>
      </c>
      <c r="R436" s="51">
        <f t="shared" si="118"/>
        <v>7216020</v>
      </c>
      <c r="S436" s="51">
        <f t="shared" si="122"/>
        <v>6500918.9189189179</v>
      </c>
    </row>
    <row r="437" spans="1:20" s="17" customFormat="1">
      <c r="A437" s="25" t="s">
        <v>411</v>
      </c>
      <c r="B437" s="26" t="s">
        <v>26</v>
      </c>
      <c r="C437" s="27">
        <v>172</v>
      </c>
      <c r="D437" s="28" t="s">
        <v>43</v>
      </c>
      <c r="E437" s="29">
        <f>1+1+1</f>
        <v>3</v>
      </c>
      <c r="F437" s="30">
        <v>1</v>
      </c>
      <c r="G437" s="31" t="s">
        <v>21</v>
      </c>
      <c r="H437" s="30">
        <v>144</v>
      </c>
      <c r="I437" s="31" t="s">
        <v>43</v>
      </c>
      <c r="J437" s="32">
        <f>2764800/144</f>
        <v>19200</v>
      </c>
      <c r="K437" s="28" t="s">
        <v>43</v>
      </c>
      <c r="L437" s="33"/>
      <c r="M437" s="33">
        <v>0.17</v>
      </c>
      <c r="N437" s="27">
        <f>72+144+6+144+48+6+2</f>
        <v>422</v>
      </c>
      <c r="O437" s="31" t="s">
        <v>43</v>
      </c>
      <c r="P437" s="27">
        <f t="shared" si="117"/>
        <v>182</v>
      </c>
      <c r="Q437" s="31" t="s">
        <v>43</v>
      </c>
      <c r="R437" s="32">
        <f t="shared" si="118"/>
        <v>2900352</v>
      </c>
      <c r="S437" s="32">
        <f t="shared" si="122"/>
        <v>2612929.7297297297</v>
      </c>
      <c r="T437" s="26"/>
    </row>
    <row r="438" spans="1:20" s="26" customFormat="1">
      <c r="A438" s="16" t="s">
        <v>412</v>
      </c>
      <c r="B438" s="17" t="s">
        <v>26</v>
      </c>
      <c r="C438" s="18"/>
      <c r="D438" s="19" t="s">
        <v>43</v>
      </c>
      <c r="E438" s="20"/>
      <c r="F438" s="21">
        <v>1</v>
      </c>
      <c r="G438" s="22" t="s">
        <v>21</v>
      </c>
      <c r="H438" s="21">
        <v>144</v>
      </c>
      <c r="I438" s="22" t="s">
        <v>43</v>
      </c>
      <c r="J438" s="23">
        <f>2764800/144</f>
        <v>19200</v>
      </c>
      <c r="K438" s="19" t="s">
        <v>43</v>
      </c>
      <c r="L438" s="24"/>
      <c r="M438" s="24">
        <v>0.17</v>
      </c>
      <c r="N438" s="18"/>
      <c r="O438" s="22" t="s">
        <v>43</v>
      </c>
      <c r="P438" s="18">
        <f t="shared" si="117"/>
        <v>0</v>
      </c>
      <c r="Q438" s="22" t="s">
        <v>43</v>
      </c>
      <c r="R438" s="23">
        <f t="shared" si="118"/>
        <v>0</v>
      </c>
      <c r="S438" s="23">
        <f t="shared" si="122"/>
        <v>0</v>
      </c>
      <c r="T438" s="17"/>
    </row>
    <row r="439" spans="1:20" s="26" customFormat="1">
      <c r="A439" s="16" t="s">
        <v>413</v>
      </c>
      <c r="B439" s="17" t="s">
        <v>26</v>
      </c>
      <c r="C439" s="18">
        <v>3</v>
      </c>
      <c r="D439" s="19" t="s">
        <v>43</v>
      </c>
      <c r="E439" s="20"/>
      <c r="F439" s="21">
        <v>1</v>
      </c>
      <c r="G439" s="22" t="s">
        <v>21</v>
      </c>
      <c r="H439" s="21">
        <v>144</v>
      </c>
      <c r="I439" s="22" t="s">
        <v>43</v>
      </c>
      <c r="J439" s="23">
        <v>23400</v>
      </c>
      <c r="K439" s="19" t="s">
        <v>43</v>
      </c>
      <c r="L439" s="24"/>
      <c r="M439" s="24">
        <v>0.17</v>
      </c>
      <c r="N439" s="18">
        <v>3</v>
      </c>
      <c r="O439" s="22" t="s">
        <v>43</v>
      </c>
      <c r="P439" s="18">
        <f t="shared" si="117"/>
        <v>0</v>
      </c>
      <c r="Q439" s="22" t="s">
        <v>43</v>
      </c>
      <c r="R439" s="23">
        <f t="shared" si="118"/>
        <v>0</v>
      </c>
      <c r="S439" s="23">
        <f t="shared" si="122"/>
        <v>0</v>
      </c>
      <c r="T439" s="17"/>
    </row>
    <row r="440" spans="1:20" s="17" customFormat="1">
      <c r="A440" s="16" t="s">
        <v>414</v>
      </c>
      <c r="B440" s="17" t="s">
        <v>26</v>
      </c>
      <c r="C440" s="18"/>
      <c r="D440" s="19" t="s">
        <v>43</v>
      </c>
      <c r="E440" s="20"/>
      <c r="F440" s="21">
        <v>1</v>
      </c>
      <c r="G440" s="22" t="s">
        <v>21</v>
      </c>
      <c r="H440" s="21">
        <v>144</v>
      </c>
      <c r="I440" s="22" t="s">
        <v>43</v>
      </c>
      <c r="J440" s="23">
        <v>25800</v>
      </c>
      <c r="K440" s="19" t="s">
        <v>43</v>
      </c>
      <c r="L440" s="24"/>
      <c r="M440" s="24">
        <v>0.17</v>
      </c>
      <c r="N440" s="18"/>
      <c r="O440" s="22" t="s">
        <v>43</v>
      </c>
      <c r="P440" s="18">
        <f t="shared" si="117"/>
        <v>0</v>
      </c>
      <c r="Q440" s="22" t="s">
        <v>43</v>
      </c>
      <c r="R440" s="23">
        <f t="shared" si="118"/>
        <v>0</v>
      </c>
      <c r="S440" s="23">
        <f t="shared" si="122"/>
        <v>0</v>
      </c>
    </row>
    <row r="441" spans="1:20" s="45" customFormat="1">
      <c r="A441" s="44" t="s">
        <v>415</v>
      </c>
      <c r="B441" s="45" t="s">
        <v>26</v>
      </c>
      <c r="C441" s="46">
        <v>324</v>
      </c>
      <c r="D441" s="47" t="s">
        <v>43</v>
      </c>
      <c r="E441" s="48">
        <v>1</v>
      </c>
      <c r="F441" s="49">
        <v>1</v>
      </c>
      <c r="G441" s="50" t="s">
        <v>21</v>
      </c>
      <c r="H441" s="49">
        <v>144</v>
      </c>
      <c r="I441" s="50" t="s">
        <v>43</v>
      </c>
      <c r="J441" s="51">
        <f>3369600/144</f>
        <v>23400</v>
      </c>
      <c r="K441" s="47" t="s">
        <v>43</v>
      </c>
      <c r="L441" s="52"/>
      <c r="M441" s="52">
        <v>0.17</v>
      </c>
      <c r="N441" s="46">
        <v>60</v>
      </c>
      <c r="O441" s="50" t="s">
        <v>43</v>
      </c>
      <c r="P441" s="46">
        <f t="shared" si="117"/>
        <v>408</v>
      </c>
      <c r="Q441" s="50" t="s">
        <v>43</v>
      </c>
      <c r="R441" s="51">
        <f t="shared" si="118"/>
        <v>7924176</v>
      </c>
      <c r="S441" s="51">
        <f t="shared" si="122"/>
        <v>7138897.297297297</v>
      </c>
    </row>
    <row r="442" spans="1:20" s="45" customFormat="1">
      <c r="A442" s="44" t="s">
        <v>416</v>
      </c>
      <c r="B442" s="45" t="s">
        <v>26</v>
      </c>
      <c r="C442" s="46">
        <v>2748</v>
      </c>
      <c r="D442" s="47" t="s">
        <v>43</v>
      </c>
      <c r="E442" s="48">
        <v>2</v>
      </c>
      <c r="F442" s="49">
        <v>1</v>
      </c>
      <c r="G442" s="50" t="s">
        <v>21</v>
      </c>
      <c r="H442" s="49">
        <v>144</v>
      </c>
      <c r="I442" s="50" t="s">
        <v>43</v>
      </c>
      <c r="J442" s="51">
        <f>3110400/144</f>
        <v>21600</v>
      </c>
      <c r="K442" s="47" t="s">
        <v>43</v>
      </c>
      <c r="L442" s="52"/>
      <c r="M442" s="52">
        <v>0.17</v>
      </c>
      <c r="N442" s="46">
        <f>144+144+24+144+288+84+144+144+12</f>
        <v>1128</v>
      </c>
      <c r="O442" s="50" t="s">
        <v>43</v>
      </c>
      <c r="P442" s="46">
        <f t="shared" si="117"/>
        <v>1908</v>
      </c>
      <c r="Q442" s="50" t="s">
        <v>43</v>
      </c>
      <c r="R442" s="51">
        <f t="shared" si="118"/>
        <v>34206624</v>
      </c>
      <c r="S442" s="51">
        <f t="shared" si="122"/>
        <v>30816778.378378376</v>
      </c>
    </row>
    <row r="443" spans="1:20" s="63" customFormat="1">
      <c r="A443" s="72" t="s">
        <v>417</v>
      </c>
      <c r="B443" s="63" t="s">
        <v>26</v>
      </c>
      <c r="C443" s="64">
        <f>144+168</f>
        <v>312</v>
      </c>
      <c r="D443" s="65" t="s">
        <v>43</v>
      </c>
      <c r="E443" s="66"/>
      <c r="F443" s="67">
        <v>1</v>
      </c>
      <c r="G443" s="68" t="s">
        <v>21</v>
      </c>
      <c r="H443" s="67">
        <v>144</v>
      </c>
      <c r="I443" s="68" t="s">
        <v>43</v>
      </c>
      <c r="J443" s="69">
        <f>3628800/144</f>
        <v>25200</v>
      </c>
      <c r="K443" s="65" t="s">
        <v>43</v>
      </c>
      <c r="L443" s="70"/>
      <c r="M443" s="70">
        <v>0.17</v>
      </c>
      <c r="N443" s="64">
        <f>144+144+24</f>
        <v>312</v>
      </c>
      <c r="O443" s="68" t="s">
        <v>43</v>
      </c>
      <c r="P443" s="64">
        <f t="shared" si="117"/>
        <v>0</v>
      </c>
      <c r="Q443" s="68" t="s">
        <v>43</v>
      </c>
      <c r="R443" s="69">
        <f t="shared" si="118"/>
        <v>0</v>
      </c>
      <c r="S443" s="69">
        <f t="shared" si="122"/>
        <v>0</v>
      </c>
    </row>
    <row r="444" spans="1:20" s="26" customFormat="1">
      <c r="A444" s="34" t="s">
        <v>418</v>
      </c>
      <c r="B444" s="2" t="s">
        <v>26</v>
      </c>
      <c r="C444" s="3">
        <v>99</v>
      </c>
      <c r="D444" s="4" t="s">
        <v>43</v>
      </c>
      <c r="E444" s="5"/>
      <c r="F444" s="6">
        <v>1</v>
      </c>
      <c r="G444" s="7" t="s">
        <v>21</v>
      </c>
      <c r="H444" s="6">
        <v>144</v>
      </c>
      <c r="I444" s="7" t="s">
        <v>43</v>
      </c>
      <c r="J444" s="8">
        <f>5270400/144</f>
        <v>36600</v>
      </c>
      <c r="K444" s="4" t="s">
        <v>43</v>
      </c>
      <c r="L444" s="9">
        <v>0.05</v>
      </c>
      <c r="M444" s="9">
        <v>0.17</v>
      </c>
      <c r="N444" s="3">
        <f>12+(2+6+6)+12</f>
        <v>38</v>
      </c>
      <c r="O444" s="7" t="s">
        <v>43</v>
      </c>
      <c r="P444" s="3">
        <f t="shared" si="117"/>
        <v>61</v>
      </c>
      <c r="Q444" s="7" t="s">
        <v>43</v>
      </c>
      <c r="R444" s="8">
        <f t="shared" si="118"/>
        <v>1760405.0999999999</v>
      </c>
      <c r="S444" s="32">
        <f t="shared" si="122"/>
        <v>1585950.5405405404</v>
      </c>
      <c r="T444" s="2"/>
    </row>
    <row r="445" spans="1:20" s="26" customFormat="1">
      <c r="A445" s="34" t="s">
        <v>419</v>
      </c>
      <c r="B445" s="2" t="s">
        <v>26</v>
      </c>
      <c r="C445" s="3">
        <v>135</v>
      </c>
      <c r="D445" s="4" t="s">
        <v>43</v>
      </c>
      <c r="E445" s="5"/>
      <c r="F445" s="6">
        <v>1</v>
      </c>
      <c r="G445" s="7" t="s">
        <v>21</v>
      </c>
      <c r="H445" s="6">
        <v>144</v>
      </c>
      <c r="I445" s="7" t="s">
        <v>43</v>
      </c>
      <c r="J445" s="8">
        <f>5616000/144</f>
        <v>39000</v>
      </c>
      <c r="K445" s="4" t="s">
        <v>43</v>
      </c>
      <c r="L445" s="9">
        <v>0.05</v>
      </c>
      <c r="M445" s="9">
        <v>0.17</v>
      </c>
      <c r="N445" s="3">
        <f>3+36+1+1</f>
        <v>41</v>
      </c>
      <c r="O445" s="7" t="s">
        <v>43</v>
      </c>
      <c r="P445" s="3">
        <f t="shared" si="117"/>
        <v>94</v>
      </c>
      <c r="Q445" s="7" t="s">
        <v>43</v>
      </c>
      <c r="R445" s="8">
        <f t="shared" si="118"/>
        <v>2890641</v>
      </c>
      <c r="S445" s="32">
        <f t="shared" si="122"/>
        <v>2604181.0810810807</v>
      </c>
      <c r="T445" s="2"/>
    </row>
    <row r="446" spans="1:20" s="17" customFormat="1">
      <c r="A446" s="16" t="s">
        <v>420</v>
      </c>
      <c r="B446" s="17" t="s">
        <v>26</v>
      </c>
      <c r="C446" s="18">
        <f>20+16</f>
        <v>36</v>
      </c>
      <c r="D446" s="19" t="s">
        <v>43</v>
      </c>
      <c r="E446" s="20"/>
      <c r="F446" s="21">
        <v>1</v>
      </c>
      <c r="G446" s="22" t="s">
        <v>21</v>
      </c>
      <c r="H446" s="21">
        <v>144</v>
      </c>
      <c r="I446" s="22" t="s">
        <v>43</v>
      </c>
      <c r="J446" s="23">
        <f>5616000/144</f>
        <v>39000</v>
      </c>
      <c r="K446" s="19" t="s">
        <v>43</v>
      </c>
      <c r="L446" s="24">
        <v>0.05</v>
      </c>
      <c r="M446" s="24">
        <v>0.17</v>
      </c>
      <c r="N446" s="18">
        <f>3+24+9</f>
        <v>36</v>
      </c>
      <c r="O446" s="22" t="s">
        <v>43</v>
      </c>
      <c r="P446" s="18">
        <f t="shared" si="117"/>
        <v>0</v>
      </c>
      <c r="Q446" s="22" t="s">
        <v>43</v>
      </c>
      <c r="R446" s="23">
        <f t="shared" si="118"/>
        <v>0</v>
      </c>
      <c r="S446" s="23">
        <f t="shared" si="122"/>
        <v>0</v>
      </c>
    </row>
    <row r="447" spans="1:20" s="17" customFormat="1">
      <c r="A447" s="16" t="s">
        <v>421</v>
      </c>
      <c r="B447" s="17" t="s">
        <v>275</v>
      </c>
      <c r="C447" s="18"/>
      <c r="D447" s="19" t="s">
        <v>43</v>
      </c>
      <c r="E447" s="20"/>
      <c r="F447" s="21">
        <v>1</v>
      </c>
      <c r="G447" s="22" t="s">
        <v>21</v>
      </c>
      <c r="H447" s="21">
        <v>120</v>
      </c>
      <c r="I447" s="22" t="s">
        <v>43</v>
      </c>
      <c r="J447" s="23">
        <v>25500</v>
      </c>
      <c r="K447" s="19" t="s">
        <v>43</v>
      </c>
      <c r="L447" s="24"/>
      <c r="M447" s="24"/>
      <c r="N447" s="18"/>
      <c r="O447" s="22" t="s">
        <v>43</v>
      </c>
      <c r="P447" s="18">
        <f>(C447+(E447*F447*H447))-N447</f>
        <v>0</v>
      </c>
      <c r="Q447" s="22" t="s">
        <v>43</v>
      </c>
      <c r="R447" s="23">
        <f>P447*(J447-(J447*L447)-((J447-(J447*L447))*M447))</f>
        <v>0</v>
      </c>
      <c r="S447" s="23">
        <f t="shared" si="122"/>
        <v>0</v>
      </c>
    </row>
    <row r="448" spans="1:20" s="17" customFormat="1">
      <c r="A448" s="25" t="s">
        <v>422</v>
      </c>
      <c r="B448" s="26" t="s">
        <v>275</v>
      </c>
      <c r="C448" s="27">
        <v>288</v>
      </c>
      <c r="D448" s="28" t="s">
        <v>43</v>
      </c>
      <c r="E448" s="29"/>
      <c r="F448" s="30">
        <v>1</v>
      </c>
      <c r="G448" s="31" t="s">
        <v>21</v>
      </c>
      <c r="H448" s="30">
        <v>144</v>
      </c>
      <c r="I448" s="31" t="s">
        <v>43</v>
      </c>
      <c r="J448" s="32">
        <v>21000</v>
      </c>
      <c r="K448" s="28" t="s">
        <v>43</v>
      </c>
      <c r="L448" s="33"/>
      <c r="M448" s="33"/>
      <c r="N448" s="27"/>
      <c r="O448" s="31" t="s">
        <v>43</v>
      </c>
      <c r="P448" s="27">
        <f>(C448+(E448*F448*H448))-N448</f>
        <v>288</v>
      </c>
      <c r="Q448" s="31" t="s">
        <v>43</v>
      </c>
      <c r="R448" s="32">
        <f>P448*(J448-(J448*L448)-((J448-(J448*L448))*M448))</f>
        <v>6048000</v>
      </c>
      <c r="S448" s="32">
        <f t="shared" si="122"/>
        <v>5448648.6486486485</v>
      </c>
      <c r="T448" s="26"/>
    </row>
    <row r="449" spans="1:20" s="17" customFormat="1">
      <c r="A449" s="16" t="s">
        <v>423</v>
      </c>
      <c r="B449" s="17" t="s">
        <v>275</v>
      </c>
      <c r="C449" s="18"/>
      <c r="D449" s="19" t="s">
        <v>43</v>
      </c>
      <c r="E449" s="20"/>
      <c r="F449" s="21">
        <v>1</v>
      </c>
      <c r="G449" s="22" t="s">
        <v>21</v>
      </c>
      <c r="H449" s="21">
        <v>144</v>
      </c>
      <c r="I449" s="22" t="s">
        <v>43</v>
      </c>
      <c r="J449" s="23">
        <v>26000</v>
      </c>
      <c r="K449" s="19" t="s">
        <v>43</v>
      </c>
      <c r="L449" s="24"/>
      <c r="M449" s="24"/>
      <c r="N449" s="18"/>
      <c r="O449" s="22" t="s">
        <v>43</v>
      </c>
      <c r="P449" s="18">
        <f t="shared" ref="P449:P476" si="123">(C449+(E449*F449*H449))-N449</f>
        <v>0</v>
      </c>
      <c r="Q449" s="22" t="s">
        <v>43</v>
      </c>
      <c r="R449" s="23">
        <f t="shared" ref="R449:R476" si="124">P449*(J449-(J449*L449)-((J449-(J449*L449))*M449))</f>
        <v>0</v>
      </c>
      <c r="S449" s="23">
        <f t="shared" si="122"/>
        <v>0</v>
      </c>
    </row>
    <row r="450" spans="1:20" s="26" customFormat="1">
      <c r="A450" s="25" t="s">
        <v>424</v>
      </c>
      <c r="B450" s="26" t="s">
        <v>275</v>
      </c>
      <c r="C450" s="27">
        <v>804</v>
      </c>
      <c r="D450" s="28" t="s">
        <v>43</v>
      </c>
      <c r="E450" s="29"/>
      <c r="F450" s="30">
        <v>1</v>
      </c>
      <c r="G450" s="31" t="s">
        <v>21</v>
      </c>
      <c r="H450" s="30">
        <v>96</v>
      </c>
      <c r="I450" s="31" t="s">
        <v>43</v>
      </c>
      <c r="J450" s="32">
        <v>29500</v>
      </c>
      <c r="K450" s="28" t="s">
        <v>43</v>
      </c>
      <c r="L450" s="33"/>
      <c r="M450" s="33"/>
      <c r="N450" s="27">
        <f>192+24+96+96+6+24+12+12+24+12</f>
        <v>498</v>
      </c>
      <c r="O450" s="31" t="s">
        <v>43</v>
      </c>
      <c r="P450" s="27">
        <f t="shared" si="123"/>
        <v>306</v>
      </c>
      <c r="Q450" s="31" t="s">
        <v>43</v>
      </c>
      <c r="R450" s="32">
        <f t="shared" si="124"/>
        <v>9027000</v>
      </c>
      <c r="S450" s="32">
        <f t="shared" si="122"/>
        <v>8132432.4324324317</v>
      </c>
    </row>
    <row r="451" spans="1:20" s="17" customFormat="1">
      <c r="A451" s="16" t="s">
        <v>425</v>
      </c>
      <c r="B451" s="17" t="s">
        <v>275</v>
      </c>
      <c r="C451" s="18"/>
      <c r="D451" s="19" t="s">
        <v>43</v>
      </c>
      <c r="E451" s="20"/>
      <c r="F451" s="21">
        <v>1</v>
      </c>
      <c r="G451" s="22" t="s">
        <v>21</v>
      </c>
      <c r="H451" s="21">
        <v>144</v>
      </c>
      <c r="I451" s="22" t="s">
        <v>43</v>
      </c>
      <c r="J451" s="23">
        <f>31818+(31818*10%)</f>
        <v>34999.800000000003</v>
      </c>
      <c r="K451" s="19" t="s">
        <v>43</v>
      </c>
      <c r="L451" s="24"/>
      <c r="M451" s="24"/>
      <c r="N451" s="18"/>
      <c r="O451" s="22" t="s">
        <v>43</v>
      </c>
      <c r="P451" s="18">
        <f t="shared" si="123"/>
        <v>0</v>
      </c>
      <c r="Q451" s="22" t="s">
        <v>43</v>
      </c>
      <c r="R451" s="23">
        <f t="shared" si="124"/>
        <v>0</v>
      </c>
      <c r="S451" s="23">
        <f t="shared" si="122"/>
        <v>0</v>
      </c>
    </row>
    <row r="452" spans="1:20" s="17" customFormat="1">
      <c r="A452" s="16" t="s">
        <v>426</v>
      </c>
      <c r="B452" s="17" t="s">
        <v>275</v>
      </c>
      <c r="C452" s="18"/>
      <c r="D452" s="19" t="s">
        <v>43</v>
      </c>
      <c r="E452" s="20"/>
      <c r="F452" s="21">
        <v>1</v>
      </c>
      <c r="G452" s="22" t="s">
        <v>21</v>
      </c>
      <c r="H452" s="21">
        <v>144</v>
      </c>
      <c r="I452" s="22" t="s">
        <v>43</v>
      </c>
      <c r="J452" s="23">
        <v>16175</v>
      </c>
      <c r="K452" s="19" t="s">
        <v>43</v>
      </c>
      <c r="L452" s="24"/>
      <c r="M452" s="24"/>
      <c r="N452" s="18"/>
      <c r="O452" s="22" t="s">
        <v>43</v>
      </c>
      <c r="P452" s="18">
        <f t="shared" si="123"/>
        <v>0</v>
      </c>
      <c r="Q452" s="22" t="s">
        <v>43</v>
      </c>
      <c r="R452" s="23">
        <f t="shared" si="124"/>
        <v>0</v>
      </c>
      <c r="S452" s="23">
        <f t="shared" si="122"/>
        <v>0</v>
      </c>
    </row>
    <row r="453" spans="1:20" s="17" customFormat="1">
      <c r="A453" s="16" t="s">
        <v>427</v>
      </c>
      <c r="B453" s="17" t="s">
        <v>275</v>
      </c>
      <c r="C453" s="18"/>
      <c r="D453" s="19" t="s">
        <v>43</v>
      </c>
      <c r="E453" s="20"/>
      <c r="F453" s="21">
        <v>1</v>
      </c>
      <c r="G453" s="22" t="s">
        <v>21</v>
      </c>
      <c r="H453" s="21">
        <v>144</v>
      </c>
      <c r="I453" s="22" t="s">
        <v>43</v>
      </c>
      <c r="J453" s="23">
        <v>16175</v>
      </c>
      <c r="K453" s="19" t="s">
        <v>43</v>
      </c>
      <c r="L453" s="24"/>
      <c r="M453" s="24"/>
      <c r="N453" s="18"/>
      <c r="O453" s="22" t="s">
        <v>43</v>
      </c>
      <c r="P453" s="18">
        <f t="shared" si="123"/>
        <v>0</v>
      </c>
      <c r="Q453" s="22" t="s">
        <v>43</v>
      </c>
      <c r="R453" s="23">
        <f t="shared" si="124"/>
        <v>0</v>
      </c>
      <c r="S453" s="23">
        <f t="shared" si="122"/>
        <v>0</v>
      </c>
    </row>
    <row r="454" spans="1:20" s="17" customFormat="1">
      <c r="A454" s="16" t="s">
        <v>428</v>
      </c>
      <c r="B454" s="17" t="s">
        <v>275</v>
      </c>
      <c r="C454" s="18"/>
      <c r="D454" s="19" t="s">
        <v>43</v>
      </c>
      <c r="E454" s="20"/>
      <c r="F454" s="21">
        <v>1</v>
      </c>
      <c r="G454" s="22" t="s">
        <v>21</v>
      </c>
      <c r="H454" s="21">
        <v>144</v>
      </c>
      <c r="I454" s="22" t="s">
        <v>43</v>
      </c>
      <c r="J454" s="23">
        <v>16175</v>
      </c>
      <c r="K454" s="19" t="s">
        <v>43</v>
      </c>
      <c r="L454" s="24"/>
      <c r="M454" s="24"/>
      <c r="N454" s="18"/>
      <c r="O454" s="22" t="s">
        <v>43</v>
      </c>
      <c r="P454" s="18">
        <f t="shared" si="123"/>
        <v>0</v>
      </c>
      <c r="Q454" s="22" t="s">
        <v>43</v>
      </c>
      <c r="R454" s="23">
        <f t="shared" si="124"/>
        <v>0</v>
      </c>
      <c r="S454" s="23">
        <f t="shared" si="122"/>
        <v>0</v>
      </c>
    </row>
    <row r="455" spans="1:20" s="17" customFormat="1">
      <c r="A455" s="16" t="s">
        <v>429</v>
      </c>
      <c r="B455" s="17" t="s">
        <v>275</v>
      </c>
      <c r="C455" s="18"/>
      <c r="D455" s="19" t="s">
        <v>43</v>
      </c>
      <c r="E455" s="20"/>
      <c r="F455" s="21">
        <v>1</v>
      </c>
      <c r="G455" s="22" t="s">
        <v>21</v>
      </c>
      <c r="H455" s="21">
        <v>144</v>
      </c>
      <c r="I455" s="22" t="s">
        <v>43</v>
      </c>
      <c r="J455" s="23">
        <v>16175</v>
      </c>
      <c r="K455" s="19" t="s">
        <v>43</v>
      </c>
      <c r="L455" s="24"/>
      <c r="M455" s="24"/>
      <c r="N455" s="18"/>
      <c r="O455" s="22" t="s">
        <v>43</v>
      </c>
      <c r="P455" s="18">
        <f t="shared" si="123"/>
        <v>0</v>
      </c>
      <c r="Q455" s="22" t="s">
        <v>43</v>
      </c>
      <c r="R455" s="23">
        <f t="shared" si="124"/>
        <v>0</v>
      </c>
      <c r="S455" s="23">
        <f t="shared" si="122"/>
        <v>0</v>
      </c>
    </row>
    <row r="456" spans="1:20" s="17" customFormat="1">
      <c r="A456" s="16" t="s">
        <v>430</v>
      </c>
      <c r="B456" s="17" t="s">
        <v>275</v>
      </c>
      <c r="C456" s="18"/>
      <c r="D456" s="19" t="s">
        <v>43</v>
      </c>
      <c r="E456" s="20"/>
      <c r="F456" s="21">
        <v>1</v>
      </c>
      <c r="G456" s="22" t="s">
        <v>21</v>
      </c>
      <c r="H456" s="21">
        <v>144</v>
      </c>
      <c r="I456" s="22" t="s">
        <v>43</v>
      </c>
      <c r="J456" s="23">
        <v>16175</v>
      </c>
      <c r="K456" s="19" t="s">
        <v>43</v>
      </c>
      <c r="L456" s="24"/>
      <c r="M456" s="24"/>
      <c r="N456" s="18"/>
      <c r="O456" s="22" t="s">
        <v>43</v>
      </c>
      <c r="P456" s="18">
        <f t="shared" si="123"/>
        <v>0</v>
      </c>
      <c r="Q456" s="22" t="s">
        <v>43</v>
      </c>
      <c r="R456" s="23">
        <f t="shared" si="124"/>
        <v>0</v>
      </c>
      <c r="S456" s="23">
        <f t="shared" si="122"/>
        <v>0</v>
      </c>
    </row>
    <row r="457" spans="1:20" s="17" customFormat="1">
      <c r="A457" s="16" t="s">
        <v>431</v>
      </c>
      <c r="B457" s="17" t="s">
        <v>275</v>
      </c>
      <c r="C457" s="18"/>
      <c r="D457" s="19" t="s">
        <v>43</v>
      </c>
      <c r="E457" s="20"/>
      <c r="F457" s="21">
        <v>1</v>
      </c>
      <c r="G457" s="22" t="s">
        <v>21</v>
      </c>
      <c r="H457" s="21">
        <v>144</v>
      </c>
      <c r="I457" s="22" t="s">
        <v>43</v>
      </c>
      <c r="J457" s="23">
        <v>16175</v>
      </c>
      <c r="K457" s="19" t="s">
        <v>43</v>
      </c>
      <c r="L457" s="24"/>
      <c r="M457" s="24"/>
      <c r="N457" s="18"/>
      <c r="O457" s="22" t="s">
        <v>43</v>
      </c>
      <c r="P457" s="18">
        <f t="shared" si="123"/>
        <v>0</v>
      </c>
      <c r="Q457" s="22" t="s">
        <v>43</v>
      </c>
      <c r="R457" s="23">
        <f t="shared" si="124"/>
        <v>0</v>
      </c>
      <c r="S457" s="23">
        <f t="shared" si="122"/>
        <v>0</v>
      </c>
    </row>
    <row r="458" spans="1:20" s="17" customFormat="1">
      <c r="A458" s="16" t="s">
        <v>432</v>
      </c>
      <c r="B458" s="17" t="s">
        <v>275</v>
      </c>
      <c r="C458" s="18"/>
      <c r="D458" s="19" t="s">
        <v>43</v>
      </c>
      <c r="E458" s="20"/>
      <c r="F458" s="21">
        <v>1</v>
      </c>
      <c r="G458" s="22" t="s">
        <v>21</v>
      </c>
      <c r="H458" s="21">
        <v>144</v>
      </c>
      <c r="I458" s="22" t="s">
        <v>43</v>
      </c>
      <c r="J458" s="23">
        <v>16175</v>
      </c>
      <c r="K458" s="19" t="s">
        <v>43</v>
      </c>
      <c r="L458" s="24"/>
      <c r="M458" s="24"/>
      <c r="N458" s="18"/>
      <c r="O458" s="22" t="s">
        <v>43</v>
      </c>
      <c r="P458" s="18">
        <f t="shared" si="123"/>
        <v>0</v>
      </c>
      <c r="Q458" s="22" t="s">
        <v>43</v>
      </c>
      <c r="R458" s="23">
        <f t="shared" si="124"/>
        <v>0</v>
      </c>
      <c r="S458" s="23">
        <f t="shared" si="122"/>
        <v>0</v>
      </c>
    </row>
    <row r="459" spans="1:20" s="26" customFormat="1">
      <c r="A459" s="25" t="s">
        <v>729</v>
      </c>
      <c r="B459" s="26" t="s">
        <v>275</v>
      </c>
      <c r="C459" s="27"/>
      <c r="D459" s="28" t="s">
        <v>43</v>
      </c>
      <c r="E459" s="29">
        <v>2</v>
      </c>
      <c r="F459" s="30">
        <v>1</v>
      </c>
      <c r="G459" s="31" t="s">
        <v>21</v>
      </c>
      <c r="H459" s="30">
        <v>144</v>
      </c>
      <c r="I459" s="31" t="s">
        <v>43</v>
      </c>
      <c r="J459" s="32">
        <v>16175</v>
      </c>
      <c r="K459" s="28" t="s">
        <v>43</v>
      </c>
      <c r="L459" s="33"/>
      <c r="M459" s="33"/>
      <c r="N459" s="27"/>
      <c r="O459" s="31" t="s">
        <v>43</v>
      </c>
      <c r="P459" s="27">
        <f t="shared" ref="P459" si="125">(C459+(E459*F459*H459))-N459</f>
        <v>288</v>
      </c>
      <c r="Q459" s="31" t="s">
        <v>43</v>
      </c>
      <c r="R459" s="32">
        <f t="shared" ref="R459" si="126">P459*(J459-(J459*L459)-((J459-(J459*L459))*M459))</f>
        <v>4658400</v>
      </c>
      <c r="S459" s="32">
        <f t="shared" ref="S459" si="127">R459/1.11</f>
        <v>4196756.7567567565</v>
      </c>
    </row>
    <row r="460" spans="1:20" s="17" customFormat="1">
      <c r="A460" s="16" t="s">
        <v>433</v>
      </c>
      <c r="B460" s="17" t="s">
        <v>275</v>
      </c>
      <c r="C460" s="18"/>
      <c r="D460" s="19" t="s">
        <v>43</v>
      </c>
      <c r="E460" s="20"/>
      <c r="F460" s="21">
        <v>1</v>
      </c>
      <c r="G460" s="22" t="s">
        <v>21</v>
      </c>
      <c r="H460" s="21">
        <v>144</v>
      </c>
      <c r="I460" s="22" t="s">
        <v>43</v>
      </c>
      <c r="J460" s="23">
        <v>16175</v>
      </c>
      <c r="K460" s="19" t="s">
        <v>43</v>
      </c>
      <c r="L460" s="24"/>
      <c r="M460" s="24"/>
      <c r="N460" s="18"/>
      <c r="O460" s="22" t="s">
        <v>43</v>
      </c>
      <c r="P460" s="18">
        <f t="shared" si="123"/>
        <v>0</v>
      </c>
      <c r="Q460" s="22" t="s">
        <v>43</v>
      </c>
      <c r="R460" s="23">
        <f t="shared" si="124"/>
        <v>0</v>
      </c>
      <c r="S460" s="23">
        <f t="shared" si="122"/>
        <v>0</v>
      </c>
    </row>
    <row r="461" spans="1:20" s="26" customFormat="1">
      <c r="A461" s="16" t="s">
        <v>434</v>
      </c>
      <c r="B461" s="17" t="s">
        <v>275</v>
      </c>
      <c r="C461" s="18"/>
      <c r="D461" s="19" t="s">
        <v>43</v>
      </c>
      <c r="E461" s="20"/>
      <c r="F461" s="21">
        <v>1</v>
      </c>
      <c r="G461" s="22" t="s">
        <v>21</v>
      </c>
      <c r="H461" s="21">
        <v>144</v>
      </c>
      <c r="I461" s="22" t="s">
        <v>43</v>
      </c>
      <c r="J461" s="23">
        <v>16175</v>
      </c>
      <c r="K461" s="19" t="s">
        <v>43</v>
      </c>
      <c r="L461" s="24"/>
      <c r="M461" s="24"/>
      <c r="N461" s="18"/>
      <c r="O461" s="22" t="s">
        <v>43</v>
      </c>
      <c r="P461" s="18">
        <f t="shared" si="123"/>
        <v>0</v>
      </c>
      <c r="Q461" s="22" t="s">
        <v>43</v>
      </c>
      <c r="R461" s="23">
        <f t="shared" si="124"/>
        <v>0</v>
      </c>
      <c r="S461" s="23">
        <f t="shared" si="122"/>
        <v>0</v>
      </c>
      <c r="T461" s="17"/>
    </row>
    <row r="462" spans="1:20" s="26" customFormat="1">
      <c r="A462" s="16" t="s">
        <v>435</v>
      </c>
      <c r="B462" s="17" t="s">
        <v>275</v>
      </c>
      <c r="C462" s="18">
        <v>12</v>
      </c>
      <c r="D462" s="19" t="s">
        <v>43</v>
      </c>
      <c r="E462" s="20"/>
      <c r="F462" s="21">
        <v>1</v>
      </c>
      <c r="G462" s="22" t="s">
        <v>21</v>
      </c>
      <c r="H462" s="21">
        <v>144</v>
      </c>
      <c r="I462" s="22" t="s">
        <v>43</v>
      </c>
      <c r="J462" s="23">
        <v>16175</v>
      </c>
      <c r="K462" s="19" t="s">
        <v>43</v>
      </c>
      <c r="L462" s="24"/>
      <c r="M462" s="24"/>
      <c r="N462" s="18">
        <v>12</v>
      </c>
      <c r="O462" s="22" t="s">
        <v>43</v>
      </c>
      <c r="P462" s="18">
        <f t="shared" si="123"/>
        <v>0</v>
      </c>
      <c r="Q462" s="22" t="s">
        <v>43</v>
      </c>
      <c r="R462" s="23">
        <f t="shared" si="124"/>
        <v>0</v>
      </c>
      <c r="S462" s="23">
        <f t="shared" si="122"/>
        <v>0</v>
      </c>
      <c r="T462" s="17"/>
    </row>
    <row r="463" spans="1:20" s="26" customFormat="1">
      <c r="A463" s="25" t="s">
        <v>436</v>
      </c>
      <c r="B463" s="26" t="s">
        <v>275</v>
      </c>
      <c r="C463" s="27"/>
      <c r="D463" s="28" t="s">
        <v>43</v>
      </c>
      <c r="E463" s="29">
        <f>(3+1)</f>
        <v>4</v>
      </c>
      <c r="F463" s="30">
        <v>1</v>
      </c>
      <c r="G463" s="31" t="s">
        <v>21</v>
      </c>
      <c r="H463" s="30">
        <v>144</v>
      </c>
      <c r="I463" s="31" t="s">
        <v>43</v>
      </c>
      <c r="J463" s="32">
        <v>16175</v>
      </c>
      <c r="K463" s="28" t="s">
        <v>43</v>
      </c>
      <c r="L463" s="33"/>
      <c r="M463" s="33"/>
      <c r="N463" s="27"/>
      <c r="O463" s="31" t="s">
        <v>43</v>
      </c>
      <c r="P463" s="27">
        <f t="shared" si="123"/>
        <v>576</v>
      </c>
      <c r="Q463" s="31" t="s">
        <v>43</v>
      </c>
      <c r="R463" s="32">
        <f t="shared" si="124"/>
        <v>9316800</v>
      </c>
      <c r="S463" s="32">
        <f t="shared" si="122"/>
        <v>8393513.5135135129</v>
      </c>
    </row>
    <row r="464" spans="1:20" s="17" customFormat="1">
      <c r="A464" s="16" t="s">
        <v>437</v>
      </c>
      <c r="B464" s="17" t="s">
        <v>275</v>
      </c>
      <c r="C464" s="18"/>
      <c r="D464" s="19" t="s">
        <v>43</v>
      </c>
      <c r="E464" s="20"/>
      <c r="F464" s="21">
        <v>1</v>
      </c>
      <c r="G464" s="22" t="s">
        <v>21</v>
      </c>
      <c r="H464" s="21">
        <v>144</v>
      </c>
      <c r="I464" s="22" t="s">
        <v>43</v>
      </c>
      <c r="J464" s="23">
        <v>16175</v>
      </c>
      <c r="K464" s="19" t="s">
        <v>43</v>
      </c>
      <c r="L464" s="24"/>
      <c r="M464" s="24"/>
      <c r="N464" s="18"/>
      <c r="O464" s="22" t="s">
        <v>43</v>
      </c>
      <c r="P464" s="18">
        <f t="shared" si="123"/>
        <v>0</v>
      </c>
      <c r="Q464" s="22" t="s">
        <v>43</v>
      </c>
      <c r="R464" s="23">
        <f t="shared" si="124"/>
        <v>0</v>
      </c>
      <c r="S464" s="23">
        <f t="shared" si="122"/>
        <v>0</v>
      </c>
    </row>
    <row r="465" spans="1:19" s="17" customFormat="1">
      <c r="A465" s="16" t="s">
        <v>438</v>
      </c>
      <c r="B465" s="17" t="s">
        <v>275</v>
      </c>
      <c r="C465" s="18"/>
      <c r="D465" s="19" t="s">
        <v>43</v>
      </c>
      <c r="E465" s="20"/>
      <c r="F465" s="21">
        <v>1</v>
      </c>
      <c r="G465" s="22" t="s">
        <v>21</v>
      </c>
      <c r="H465" s="21">
        <v>144</v>
      </c>
      <c r="I465" s="22" t="s">
        <v>43</v>
      </c>
      <c r="J465" s="23">
        <v>16175</v>
      </c>
      <c r="K465" s="19" t="s">
        <v>43</v>
      </c>
      <c r="L465" s="24"/>
      <c r="M465" s="24"/>
      <c r="N465" s="18"/>
      <c r="O465" s="22" t="s">
        <v>43</v>
      </c>
      <c r="P465" s="18">
        <f t="shared" si="123"/>
        <v>0</v>
      </c>
      <c r="Q465" s="22" t="s">
        <v>43</v>
      </c>
      <c r="R465" s="23">
        <f t="shared" si="124"/>
        <v>0</v>
      </c>
      <c r="S465" s="23">
        <f t="shared" si="122"/>
        <v>0</v>
      </c>
    </row>
    <row r="466" spans="1:19" s="26" customFormat="1">
      <c r="A466" s="25" t="s">
        <v>439</v>
      </c>
      <c r="B466" s="26" t="s">
        <v>275</v>
      </c>
      <c r="C466" s="27"/>
      <c r="D466" s="28" t="s">
        <v>43</v>
      </c>
      <c r="E466" s="29">
        <v>3</v>
      </c>
      <c r="F466" s="30">
        <v>1</v>
      </c>
      <c r="G466" s="31" t="s">
        <v>21</v>
      </c>
      <c r="H466" s="30">
        <v>144</v>
      </c>
      <c r="I466" s="31" t="s">
        <v>43</v>
      </c>
      <c r="J466" s="32">
        <v>16175</v>
      </c>
      <c r="K466" s="28" t="s">
        <v>43</v>
      </c>
      <c r="L466" s="33"/>
      <c r="M466" s="33"/>
      <c r="N466" s="27"/>
      <c r="O466" s="31" t="s">
        <v>43</v>
      </c>
      <c r="P466" s="27">
        <f t="shared" si="123"/>
        <v>432</v>
      </c>
      <c r="Q466" s="31" t="s">
        <v>43</v>
      </c>
      <c r="R466" s="32">
        <f t="shared" si="124"/>
        <v>6987600</v>
      </c>
      <c r="S466" s="32">
        <f t="shared" si="122"/>
        <v>6295135.1351351347</v>
      </c>
    </row>
    <row r="467" spans="1:19" s="17" customFormat="1">
      <c r="A467" s="16" t="s">
        <v>440</v>
      </c>
      <c r="B467" s="17" t="s">
        <v>275</v>
      </c>
      <c r="C467" s="18"/>
      <c r="D467" s="19" t="s">
        <v>43</v>
      </c>
      <c r="E467" s="20"/>
      <c r="F467" s="21">
        <v>1</v>
      </c>
      <c r="G467" s="22" t="s">
        <v>21</v>
      </c>
      <c r="H467" s="21">
        <v>144</v>
      </c>
      <c r="I467" s="22" t="s">
        <v>43</v>
      </c>
      <c r="J467" s="23">
        <v>16175</v>
      </c>
      <c r="K467" s="19" t="s">
        <v>43</v>
      </c>
      <c r="L467" s="24"/>
      <c r="M467" s="24"/>
      <c r="N467" s="18"/>
      <c r="O467" s="22" t="s">
        <v>43</v>
      </c>
      <c r="P467" s="18">
        <f t="shared" si="123"/>
        <v>0</v>
      </c>
      <c r="Q467" s="22" t="s">
        <v>43</v>
      </c>
      <c r="R467" s="23">
        <f t="shared" si="124"/>
        <v>0</v>
      </c>
      <c r="S467" s="23">
        <f t="shared" si="122"/>
        <v>0</v>
      </c>
    </row>
    <row r="468" spans="1:19" s="17" customFormat="1">
      <c r="A468" s="16" t="s">
        <v>441</v>
      </c>
      <c r="B468" s="17" t="s">
        <v>275</v>
      </c>
      <c r="C468" s="18"/>
      <c r="D468" s="19" t="s">
        <v>43</v>
      </c>
      <c r="E468" s="20"/>
      <c r="F468" s="21">
        <v>1</v>
      </c>
      <c r="G468" s="22" t="s">
        <v>21</v>
      </c>
      <c r="H468" s="21">
        <v>144</v>
      </c>
      <c r="I468" s="22" t="s">
        <v>43</v>
      </c>
      <c r="J468" s="23">
        <v>16175</v>
      </c>
      <c r="K468" s="19" t="s">
        <v>43</v>
      </c>
      <c r="L468" s="24"/>
      <c r="M468" s="24"/>
      <c r="N468" s="18"/>
      <c r="O468" s="22" t="s">
        <v>43</v>
      </c>
      <c r="P468" s="18">
        <f t="shared" si="123"/>
        <v>0</v>
      </c>
      <c r="Q468" s="22" t="s">
        <v>43</v>
      </c>
      <c r="R468" s="23">
        <f t="shared" si="124"/>
        <v>0</v>
      </c>
      <c r="S468" s="23">
        <f t="shared" si="122"/>
        <v>0</v>
      </c>
    </row>
    <row r="469" spans="1:19" s="45" customFormat="1">
      <c r="A469" s="44" t="s">
        <v>443</v>
      </c>
      <c r="B469" s="45" t="s">
        <v>275</v>
      </c>
      <c r="C469" s="46"/>
      <c r="D469" s="47" t="s">
        <v>43</v>
      </c>
      <c r="E469" s="48">
        <v>3</v>
      </c>
      <c r="F469" s="49">
        <v>1</v>
      </c>
      <c r="G469" s="50" t="s">
        <v>21</v>
      </c>
      <c r="H469" s="49">
        <v>144</v>
      </c>
      <c r="I469" s="50" t="s">
        <v>43</v>
      </c>
      <c r="J469" s="51">
        <v>16175</v>
      </c>
      <c r="K469" s="47" t="s">
        <v>43</v>
      </c>
      <c r="L469" s="52"/>
      <c r="M469" s="52"/>
      <c r="N469" s="46"/>
      <c r="O469" s="50" t="s">
        <v>43</v>
      </c>
      <c r="P469" s="46">
        <f t="shared" si="123"/>
        <v>432</v>
      </c>
      <c r="Q469" s="50" t="s">
        <v>43</v>
      </c>
      <c r="R469" s="51">
        <f t="shared" si="124"/>
        <v>6987600</v>
      </c>
      <c r="S469" s="51">
        <f t="shared" si="122"/>
        <v>6295135.1351351347</v>
      </c>
    </row>
    <row r="470" spans="1:19" s="17" customFormat="1">
      <c r="A470" s="16" t="s">
        <v>444</v>
      </c>
      <c r="B470" s="17" t="s">
        <v>275</v>
      </c>
      <c r="C470" s="18"/>
      <c r="D470" s="19" t="s">
        <v>43</v>
      </c>
      <c r="E470" s="20"/>
      <c r="F470" s="21">
        <v>1</v>
      </c>
      <c r="G470" s="22" t="s">
        <v>21</v>
      </c>
      <c r="H470" s="21">
        <v>144</v>
      </c>
      <c r="I470" s="22" t="s">
        <v>43</v>
      </c>
      <c r="J470" s="23">
        <v>16175</v>
      </c>
      <c r="K470" s="19" t="s">
        <v>43</v>
      </c>
      <c r="L470" s="24"/>
      <c r="M470" s="24"/>
      <c r="N470" s="18"/>
      <c r="O470" s="22" t="s">
        <v>43</v>
      </c>
      <c r="P470" s="18">
        <f t="shared" si="123"/>
        <v>0</v>
      </c>
      <c r="Q470" s="22" t="s">
        <v>43</v>
      </c>
      <c r="R470" s="23">
        <f t="shared" si="124"/>
        <v>0</v>
      </c>
      <c r="S470" s="23">
        <f t="shared" si="122"/>
        <v>0</v>
      </c>
    </row>
    <row r="471" spans="1:19" s="26" customFormat="1">
      <c r="A471" s="25" t="s">
        <v>445</v>
      </c>
      <c r="B471" s="26" t="s">
        <v>275</v>
      </c>
      <c r="C471" s="27"/>
      <c r="D471" s="28" t="s">
        <v>43</v>
      </c>
      <c r="E471" s="29">
        <v>2</v>
      </c>
      <c r="F471" s="30">
        <v>1</v>
      </c>
      <c r="G471" s="31" t="s">
        <v>21</v>
      </c>
      <c r="H471" s="30">
        <v>144</v>
      </c>
      <c r="I471" s="31" t="s">
        <v>43</v>
      </c>
      <c r="J471" s="32">
        <v>16175</v>
      </c>
      <c r="K471" s="28" t="s">
        <v>43</v>
      </c>
      <c r="L471" s="33"/>
      <c r="M471" s="33"/>
      <c r="N471" s="27"/>
      <c r="O471" s="31" t="s">
        <v>43</v>
      </c>
      <c r="P471" s="27">
        <f t="shared" si="123"/>
        <v>288</v>
      </c>
      <c r="Q471" s="31" t="s">
        <v>43</v>
      </c>
      <c r="R471" s="32">
        <f t="shared" si="124"/>
        <v>4658400</v>
      </c>
      <c r="S471" s="32">
        <f t="shared" si="122"/>
        <v>4196756.7567567565</v>
      </c>
    </row>
    <row r="472" spans="1:19" s="17" customFormat="1">
      <c r="A472" s="16" t="s">
        <v>446</v>
      </c>
      <c r="B472" s="17" t="s">
        <v>275</v>
      </c>
      <c r="C472" s="18"/>
      <c r="D472" s="19" t="s">
        <v>43</v>
      </c>
      <c r="E472" s="20"/>
      <c r="F472" s="21">
        <v>1</v>
      </c>
      <c r="G472" s="22" t="s">
        <v>21</v>
      </c>
      <c r="H472" s="21">
        <v>144</v>
      </c>
      <c r="I472" s="22" t="s">
        <v>43</v>
      </c>
      <c r="J472" s="23">
        <v>16175</v>
      </c>
      <c r="K472" s="19" t="s">
        <v>43</v>
      </c>
      <c r="L472" s="24"/>
      <c r="M472" s="24"/>
      <c r="N472" s="18"/>
      <c r="O472" s="22" t="s">
        <v>43</v>
      </c>
      <c r="P472" s="18">
        <f t="shared" si="123"/>
        <v>0</v>
      </c>
      <c r="Q472" s="22" t="s">
        <v>43</v>
      </c>
      <c r="R472" s="23">
        <f t="shared" si="124"/>
        <v>0</v>
      </c>
      <c r="S472" s="23">
        <f t="shared" si="122"/>
        <v>0</v>
      </c>
    </row>
    <row r="473" spans="1:19" s="17" customFormat="1">
      <c r="A473" s="16" t="s">
        <v>447</v>
      </c>
      <c r="B473" s="17" t="s">
        <v>275</v>
      </c>
      <c r="C473" s="18"/>
      <c r="D473" s="19" t="s">
        <v>43</v>
      </c>
      <c r="E473" s="20"/>
      <c r="F473" s="21">
        <v>1</v>
      </c>
      <c r="G473" s="22" t="s">
        <v>21</v>
      </c>
      <c r="H473" s="21">
        <v>144</v>
      </c>
      <c r="I473" s="22" t="s">
        <v>43</v>
      </c>
      <c r="J473" s="23">
        <v>16175</v>
      </c>
      <c r="K473" s="19" t="s">
        <v>43</v>
      </c>
      <c r="L473" s="24"/>
      <c r="M473" s="24"/>
      <c r="N473" s="18"/>
      <c r="O473" s="22" t="s">
        <v>43</v>
      </c>
      <c r="P473" s="18">
        <f t="shared" si="123"/>
        <v>0</v>
      </c>
      <c r="Q473" s="22" t="s">
        <v>43</v>
      </c>
      <c r="R473" s="23">
        <f t="shared" si="124"/>
        <v>0</v>
      </c>
      <c r="S473" s="23">
        <f t="shared" si="122"/>
        <v>0</v>
      </c>
    </row>
    <row r="474" spans="1:19" s="26" customFormat="1">
      <c r="A474" s="25" t="s">
        <v>448</v>
      </c>
      <c r="B474" s="26" t="s">
        <v>275</v>
      </c>
      <c r="C474" s="27"/>
      <c r="D474" s="28" t="s">
        <v>43</v>
      </c>
      <c r="E474" s="29">
        <v>2</v>
      </c>
      <c r="F474" s="30">
        <v>1</v>
      </c>
      <c r="G474" s="31" t="s">
        <v>21</v>
      </c>
      <c r="H474" s="30">
        <v>144</v>
      </c>
      <c r="I474" s="31" t="s">
        <v>43</v>
      </c>
      <c r="J474" s="32">
        <v>16175</v>
      </c>
      <c r="K474" s="28" t="s">
        <v>43</v>
      </c>
      <c r="L474" s="33"/>
      <c r="M474" s="33"/>
      <c r="N474" s="27"/>
      <c r="O474" s="31" t="s">
        <v>43</v>
      </c>
      <c r="P474" s="27">
        <f t="shared" si="123"/>
        <v>288</v>
      </c>
      <c r="Q474" s="31" t="s">
        <v>43</v>
      </c>
      <c r="R474" s="32">
        <f t="shared" si="124"/>
        <v>4658400</v>
      </c>
      <c r="S474" s="32">
        <f t="shared" si="122"/>
        <v>4196756.7567567565</v>
      </c>
    </row>
    <row r="475" spans="1:19" s="17" customFormat="1">
      <c r="A475" s="16" t="s">
        <v>449</v>
      </c>
      <c r="B475" s="17" t="s">
        <v>275</v>
      </c>
      <c r="C475" s="18"/>
      <c r="D475" s="19" t="s">
        <v>43</v>
      </c>
      <c r="E475" s="20"/>
      <c r="F475" s="21">
        <v>1</v>
      </c>
      <c r="G475" s="22" t="s">
        <v>21</v>
      </c>
      <c r="H475" s="21">
        <v>144</v>
      </c>
      <c r="I475" s="22" t="s">
        <v>43</v>
      </c>
      <c r="J475" s="23">
        <v>16175</v>
      </c>
      <c r="K475" s="19" t="s">
        <v>43</v>
      </c>
      <c r="L475" s="24"/>
      <c r="M475" s="24"/>
      <c r="N475" s="18"/>
      <c r="O475" s="22" t="s">
        <v>43</v>
      </c>
      <c r="P475" s="18">
        <f t="shared" si="123"/>
        <v>0</v>
      </c>
      <c r="Q475" s="22" t="s">
        <v>43</v>
      </c>
      <c r="R475" s="23">
        <f t="shared" si="124"/>
        <v>0</v>
      </c>
      <c r="S475" s="23">
        <f t="shared" si="122"/>
        <v>0</v>
      </c>
    </row>
    <row r="476" spans="1:19" s="26" customFormat="1">
      <c r="A476" s="25" t="s">
        <v>450</v>
      </c>
      <c r="B476" s="26" t="s">
        <v>182</v>
      </c>
      <c r="C476" s="27">
        <v>384</v>
      </c>
      <c r="D476" s="28" t="s">
        <v>43</v>
      </c>
      <c r="E476" s="29"/>
      <c r="F476" s="30">
        <v>1</v>
      </c>
      <c r="G476" s="31" t="s">
        <v>21</v>
      </c>
      <c r="H476" s="30">
        <v>192</v>
      </c>
      <c r="I476" s="31" t="s">
        <v>43</v>
      </c>
      <c r="J476" s="32">
        <v>12750</v>
      </c>
      <c r="K476" s="28" t="s">
        <v>43</v>
      </c>
      <c r="L476" s="33">
        <v>0.05</v>
      </c>
      <c r="M476" s="33"/>
      <c r="N476" s="27"/>
      <c r="O476" s="31" t="s">
        <v>43</v>
      </c>
      <c r="P476" s="27">
        <f t="shared" si="123"/>
        <v>384</v>
      </c>
      <c r="Q476" s="31" t="s">
        <v>43</v>
      </c>
      <c r="R476" s="32">
        <f t="shared" si="124"/>
        <v>4651200</v>
      </c>
      <c r="S476" s="32">
        <f t="shared" si="122"/>
        <v>4190270.2702702698</v>
      </c>
    </row>
    <row r="477" spans="1:19">
      <c r="A477" s="15" t="s">
        <v>451</v>
      </c>
      <c r="S477" s="23"/>
    </row>
    <row r="478" spans="1:19" s="17" customFormat="1">
      <c r="A478" s="118" t="s">
        <v>452</v>
      </c>
      <c r="B478" s="96" t="s">
        <v>19</v>
      </c>
      <c r="C478" s="97"/>
      <c r="D478" s="98" t="s">
        <v>162</v>
      </c>
      <c r="E478" s="105"/>
      <c r="F478" s="100">
        <v>8</v>
      </c>
      <c r="G478" s="101" t="s">
        <v>34</v>
      </c>
      <c r="H478" s="100">
        <v>24</v>
      </c>
      <c r="I478" s="101" t="s">
        <v>162</v>
      </c>
      <c r="J478" s="102">
        <v>16500</v>
      </c>
      <c r="K478" s="98" t="s">
        <v>162</v>
      </c>
      <c r="L478" s="103">
        <v>0.125</v>
      </c>
      <c r="M478" s="103">
        <v>0.05</v>
      </c>
      <c r="N478" s="97"/>
      <c r="O478" s="101" t="s">
        <v>162</v>
      </c>
      <c r="P478" s="97">
        <f t="shared" ref="P478:P484" si="128">(C478+(E478*F478*H478))-N478</f>
        <v>0</v>
      </c>
      <c r="Q478" s="101" t="s">
        <v>162</v>
      </c>
      <c r="R478" s="102">
        <f t="shared" ref="R478:R484" si="129">P478*(J478-(J478*L478)-((J478-(J478*L478))*M478))</f>
        <v>0</v>
      </c>
      <c r="S478" s="102">
        <f t="shared" si="122"/>
        <v>0</v>
      </c>
    </row>
    <row r="479" spans="1:19" s="26" customFormat="1">
      <c r="A479" s="119" t="s">
        <v>453</v>
      </c>
      <c r="B479" s="36" t="s">
        <v>19</v>
      </c>
      <c r="C479" s="37">
        <v>48</v>
      </c>
      <c r="D479" s="38" t="s">
        <v>162</v>
      </c>
      <c r="E479" s="39"/>
      <c r="F479" s="40">
        <v>8</v>
      </c>
      <c r="G479" s="41" t="s">
        <v>34</v>
      </c>
      <c r="H479" s="40">
        <v>24</v>
      </c>
      <c r="I479" s="41" t="s">
        <v>162</v>
      </c>
      <c r="J479" s="42"/>
      <c r="K479" s="38" t="s">
        <v>162</v>
      </c>
      <c r="L479" s="43">
        <v>0.1</v>
      </c>
      <c r="M479" s="43">
        <v>0.05</v>
      </c>
      <c r="N479" s="37"/>
      <c r="O479" s="41" t="s">
        <v>162</v>
      </c>
      <c r="P479" s="37">
        <f t="shared" si="128"/>
        <v>48</v>
      </c>
      <c r="Q479" s="41" t="s">
        <v>162</v>
      </c>
      <c r="R479" s="42">
        <f t="shared" si="129"/>
        <v>0</v>
      </c>
      <c r="S479" s="42">
        <f t="shared" si="122"/>
        <v>0</v>
      </c>
    </row>
    <row r="480" spans="1:19" s="26" customFormat="1">
      <c r="A480" s="120" t="s">
        <v>454</v>
      </c>
      <c r="B480" s="26" t="s">
        <v>19</v>
      </c>
      <c r="C480" s="27">
        <v>21</v>
      </c>
      <c r="D480" s="28" t="s">
        <v>162</v>
      </c>
      <c r="E480" s="29"/>
      <c r="F480" s="30">
        <v>8</v>
      </c>
      <c r="G480" s="31" t="s">
        <v>34</v>
      </c>
      <c r="H480" s="30">
        <v>30</v>
      </c>
      <c r="I480" s="31" t="s">
        <v>162</v>
      </c>
      <c r="J480" s="32"/>
      <c r="K480" s="28" t="s">
        <v>162</v>
      </c>
      <c r="L480" s="33">
        <v>0.1</v>
      </c>
      <c r="M480" s="33">
        <v>0.05</v>
      </c>
      <c r="N480" s="27">
        <v>14</v>
      </c>
      <c r="O480" s="31" t="s">
        <v>162</v>
      </c>
      <c r="P480" s="27">
        <f t="shared" si="128"/>
        <v>7</v>
      </c>
      <c r="Q480" s="31" t="s">
        <v>162</v>
      </c>
      <c r="R480" s="32">
        <f t="shared" si="129"/>
        <v>0</v>
      </c>
      <c r="S480" s="32">
        <f t="shared" si="122"/>
        <v>0</v>
      </c>
    </row>
    <row r="481" spans="1:19" s="17" customFormat="1">
      <c r="A481" s="121" t="s">
        <v>455</v>
      </c>
      <c r="B481" s="17" t="s">
        <v>19</v>
      </c>
      <c r="C481" s="18"/>
      <c r="D481" s="19" t="s">
        <v>162</v>
      </c>
      <c r="E481" s="20"/>
      <c r="F481" s="21">
        <v>8</v>
      </c>
      <c r="G481" s="22" t="s">
        <v>34</v>
      </c>
      <c r="H481" s="21">
        <v>24</v>
      </c>
      <c r="I481" s="22" t="s">
        <v>162</v>
      </c>
      <c r="J481" s="23">
        <v>21000</v>
      </c>
      <c r="K481" s="19" t="s">
        <v>162</v>
      </c>
      <c r="L481" s="24">
        <v>0.125</v>
      </c>
      <c r="M481" s="24">
        <v>0.05</v>
      </c>
      <c r="N481" s="18"/>
      <c r="O481" s="22" t="s">
        <v>162</v>
      </c>
      <c r="P481" s="18">
        <f t="shared" si="128"/>
        <v>0</v>
      </c>
      <c r="Q481" s="22" t="s">
        <v>162</v>
      </c>
      <c r="R481" s="23">
        <f t="shared" si="129"/>
        <v>0</v>
      </c>
      <c r="S481" s="23">
        <f t="shared" si="122"/>
        <v>0</v>
      </c>
    </row>
    <row r="482" spans="1:19" s="17" customFormat="1">
      <c r="A482" s="121" t="s">
        <v>456</v>
      </c>
      <c r="B482" s="17" t="s">
        <v>19</v>
      </c>
      <c r="C482" s="18"/>
      <c r="D482" s="19" t="s">
        <v>162</v>
      </c>
      <c r="E482" s="20"/>
      <c r="F482" s="21">
        <v>8</v>
      </c>
      <c r="G482" s="22" t="s">
        <v>34</v>
      </c>
      <c r="H482" s="21">
        <v>24</v>
      </c>
      <c r="I482" s="22" t="s">
        <v>162</v>
      </c>
      <c r="J482" s="23">
        <v>15900</v>
      </c>
      <c r="K482" s="19" t="s">
        <v>162</v>
      </c>
      <c r="L482" s="24">
        <v>0.125</v>
      </c>
      <c r="M482" s="24">
        <v>0.05</v>
      </c>
      <c r="N482" s="18"/>
      <c r="O482" s="22" t="s">
        <v>162</v>
      </c>
      <c r="P482" s="18">
        <f t="shared" si="128"/>
        <v>0</v>
      </c>
      <c r="Q482" s="22" t="s">
        <v>162</v>
      </c>
      <c r="R482" s="23">
        <f t="shared" si="129"/>
        <v>0</v>
      </c>
      <c r="S482" s="23">
        <f t="shared" si="122"/>
        <v>0</v>
      </c>
    </row>
    <row r="483" spans="1:19" s="17" customFormat="1">
      <c r="A483" s="121" t="s">
        <v>457</v>
      </c>
      <c r="B483" s="17" t="s">
        <v>19</v>
      </c>
      <c r="C483" s="18"/>
      <c r="D483" s="19" t="s">
        <v>162</v>
      </c>
      <c r="E483" s="20"/>
      <c r="F483" s="21">
        <v>6</v>
      </c>
      <c r="G483" s="22" t="s">
        <v>34</v>
      </c>
      <c r="H483" s="21">
        <v>24</v>
      </c>
      <c r="I483" s="22" t="s">
        <v>162</v>
      </c>
      <c r="J483" s="23">
        <v>21000</v>
      </c>
      <c r="K483" s="19" t="s">
        <v>162</v>
      </c>
      <c r="L483" s="24">
        <v>0.125</v>
      </c>
      <c r="M483" s="24">
        <v>0.05</v>
      </c>
      <c r="N483" s="18"/>
      <c r="O483" s="22" t="s">
        <v>162</v>
      </c>
      <c r="P483" s="18">
        <f t="shared" si="128"/>
        <v>0</v>
      </c>
      <c r="Q483" s="22" t="s">
        <v>162</v>
      </c>
      <c r="R483" s="23">
        <f t="shared" si="129"/>
        <v>0</v>
      </c>
      <c r="S483" s="23">
        <f t="shared" si="122"/>
        <v>0</v>
      </c>
    </row>
    <row r="484" spans="1:19" s="17" customFormat="1">
      <c r="A484" s="16" t="s">
        <v>458</v>
      </c>
      <c r="B484" s="17" t="s">
        <v>26</v>
      </c>
      <c r="C484" s="18"/>
      <c r="D484" s="19" t="s">
        <v>162</v>
      </c>
      <c r="E484" s="20"/>
      <c r="F484" s="21">
        <v>8</v>
      </c>
      <c r="G484" s="22" t="s">
        <v>34</v>
      </c>
      <c r="H484" s="21">
        <v>30</v>
      </c>
      <c r="I484" s="22" t="s">
        <v>162</v>
      </c>
      <c r="J484" s="23">
        <f>4800000/8/30</f>
        <v>20000</v>
      </c>
      <c r="K484" s="19" t="s">
        <v>162</v>
      </c>
      <c r="L484" s="24"/>
      <c r="M484" s="24">
        <v>0.17</v>
      </c>
      <c r="N484" s="18"/>
      <c r="O484" s="22" t="s">
        <v>162</v>
      </c>
      <c r="P484" s="18">
        <f t="shared" si="128"/>
        <v>0</v>
      </c>
      <c r="Q484" s="22" t="s">
        <v>162</v>
      </c>
      <c r="R484" s="23">
        <f t="shared" si="129"/>
        <v>0</v>
      </c>
      <c r="S484" s="23">
        <f t="shared" si="122"/>
        <v>0</v>
      </c>
    </row>
    <row r="485" spans="1:19">
      <c r="A485" s="15" t="s">
        <v>459</v>
      </c>
      <c r="S485" s="23"/>
    </row>
    <row r="486" spans="1:19" s="26" customFormat="1">
      <c r="A486" s="120" t="s">
        <v>460</v>
      </c>
      <c r="B486" s="26" t="s">
        <v>26</v>
      </c>
      <c r="C486" s="27">
        <v>576</v>
      </c>
      <c r="D486" s="28" t="s">
        <v>20</v>
      </c>
      <c r="E486" s="29"/>
      <c r="F486" s="30">
        <v>24</v>
      </c>
      <c r="G486" s="31" t="s">
        <v>34</v>
      </c>
      <c r="H486" s="30">
        <v>24</v>
      </c>
      <c r="I486" s="31" t="s">
        <v>20</v>
      </c>
      <c r="J486" s="32">
        <f>2822400/24/24</f>
        <v>4900</v>
      </c>
      <c r="K486" s="28" t="s">
        <v>20</v>
      </c>
      <c r="L486" s="33"/>
      <c r="M486" s="33">
        <v>0.17</v>
      </c>
      <c r="N486" s="27"/>
      <c r="O486" s="31" t="s">
        <v>20</v>
      </c>
      <c r="P486" s="27">
        <f>(C486+(E486*F486*H486))-N486</f>
        <v>576</v>
      </c>
      <c r="Q486" s="31" t="s">
        <v>20</v>
      </c>
      <c r="R486" s="32">
        <f>P486*(J486-(J486*L486)-((J486-(J486*L486))*M486))</f>
        <v>2342592</v>
      </c>
      <c r="S486" s="32">
        <f t="shared" si="122"/>
        <v>2110443.2432432431</v>
      </c>
    </row>
    <row r="487" spans="1:19" s="26" customFormat="1">
      <c r="A487" s="120" t="s">
        <v>461</v>
      </c>
      <c r="B487" s="26" t="s">
        <v>26</v>
      </c>
      <c r="C487" s="27">
        <v>1584</v>
      </c>
      <c r="D487" s="28" t="s">
        <v>20</v>
      </c>
      <c r="E487" s="29"/>
      <c r="F487" s="30">
        <v>24</v>
      </c>
      <c r="G487" s="31" t="s">
        <v>34</v>
      </c>
      <c r="H487" s="30">
        <v>24</v>
      </c>
      <c r="I487" s="31" t="s">
        <v>20</v>
      </c>
      <c r="J487" s="32">
        <f>1900800/24/24</f>
        <v>3300</v>
      </c>
      <c r="K487" s="28" t="s">
        <v>20</v>
      </c>
      <c r="L487" s="33"/>
      <c r="M487" s="33">
        <v>0.17</v>
      </c>
      <c r="N487" s="27">
        <f>(3*12)+48+(6*12)+(1*12)+(12*12)+(3*12)</f>
        <v>348</v>
      </c>
      <c r="O487" s="31" t="s">
        <v>20</v>
      </c>
      <c r="P487" s="27">
        <f>(C487+(E487*F487*H487))-N487</f>
        <v>1236</v>
      </c>
      <c r="Q487" s="31" t="s">
        <v>20</v>
      </c>
      <c r="R487" s="32">
        <f>P487*(J487-(J487*L487)-((J487-(J487*L487))*M487))</f>
        <v>3385404</v>
      </c>
      <c r="S487" s="32">
        <f t="shared" si="122"/>
        <v>3049913.5135135134</v>
      </c>
    </row>
    <row r="488" spans="1:19" s="17" customFormat="1">
      <c r="A488" s="16" t="s">
        <v>462</v>
      </c>
      <c r="B488" s="17" t="s">
        <v>19</v>
      </c>
      <c r="C488" s="18">
        <v>576</v>
      </c>
      <c r="D488" s="19" t="s">
        <v>43</v>
      </c>
      <c r="E488" s="20"/>
      <c r="F488" s="21">
        <v>48</v>
      </c>
      <c r="G488" s="22" t="s">
        <v>34</v>
      </c>
      <c r="H488" s="21">
        <v>12</v>
      </c>
      <c r="I488" s="22" t="s">
        <v>20</v>
      </c>
      <c r="J488" s="23">
        <v>5800</v>
      </c>
      <c r="K488" s="19" t="s">
        <v>20</v>
      </c>
      <c r="L488" s="24">
        <v>0.125</v>
      </c>
      <c r="M488" s="24">
        <v>0.05</v>
      </c>
      <c r="N488" s="18">
        <f>(48*12)</f>
        <v>576</v>
      </c>
      <c r="O488" s="22" t="s">
        <v>20</v>
      </c>
      <c r="P488" s="18">
        <f>(C488+(E488*F488*H488))-N488</f>
        <v>0</v>
      </c>
      <c r="Q488" s="22" t="s">
        <v>20</v>
      </c>
      <c r="R488" s="23">
        <f>P488*(J488-(J488*L488)-((J488-(J488*L488))*M488))</f>
        <v>0</v>
      </c>
      <c r="S488" s="23">
        <f t="shared" ref="S488:S557" si="130">R488/1.11</f>
        <v>0</v>
      </c>
    </row>
    <row r="489" spans="1:19">
      <c r="A489" s="15" t="s">
        <v>463</v>
      </c>
      <c r="S489" s="23"/>
    </row>
    <row r="490" spans="1:19" s="17" customFormat="1">
      <c r="A490" s="16" t="s">
        <v>464</v>
      </c>
      <c r="B490" s="17" t="s">
        <v>19</v>
      </c>
      <c r="C490" s="18"/>
      <c r="D490" s="19" t="s">
        <v>104</v>
      </c>
      <c r="E490" s="20"/>
      <c r="F490" s="21">
        <v>18</v>
      </c>
      <c r="G490" s="22" t="s">
        <v>34</v>
      </c>
      <c r="H490" s="21">
        <v>12</v>
      </c>
      <c r="I490" s="22" t="s">
        <v>104</v>
      </c>
      <c r="J490" s="23">
        <f>36000/12</f>
        <v>3000</v>
      </c>
      <c r="K490" s="19" t="s">
        <v>104</v>
      </c>
      <c r="L490" s="24">
        <v>0.125</v>
      </c>
      <c r="M490" s="24">
        <v>0.05</v>
      </c>
      <c r="N490" s="18"/>
      <c r="O490" s="22" t="s">
        <v>104</v>
      </c>
      <c r="P490" s="18">
        <f t="shared" ref="P490:P495" si="131">(C490+(E490*F490*H490))-N490</f>
        <v>0</v>
      </c>
      <c r="Q490" s="22" t="s">
        <v>104</v>
      </c>
      <c r="R490" s="23">
        <f t="shared" ref="R490:R495" si="132">P490*(J490-(J490*L490)-((J490-(J490*L490))*M490))</f>
        <v>0</v>
      </c>
      <c r="S490" s="23">
        <f t="shared" si="130"/>
        <v>0</v>
      </c>
    </row>
    <row r="491" spans="1:19" s="17" customFormat="1">
      <c r="A491" s="16" t="s">
        <v>465</v>
      </c>
      <c r="B491" s="17" t="s">
        <v>19</v>
      </c>
      <c r="C491" s="18"/>
      <c r="D491" s="19" t="s">
        <v>43</v>
      </c>
      <c r="E491" s="20"/>
      <c r="F491" s="21">
        <v>18</v>
      </c>
      <c r="G491" s="22" t="s">
        <v>34</v>
      </c>
      <c r="H491" s="21">
        <v>24</v>
      </c>
      <c r="I491" s="22" t="s">
        <v>43</v>
      </c>
      <c r="J491" s="23">
        <v>27600</v>
      </c>
      <c r="K491" s="19" t="s">
        <v>43</v>
      </c>
      <c r="L491" s="24">
        <v>0.125</v>
      </c>
      <c r="M491" s="24">
        <v>0.05</v>
      </c>
      <c r="N491" s="18"/>
      <c r="O491" s="22" t="s">
        <v>43</v>
      </c>
      <c r="P491" s="18">
        <f t="shared" si="131"/>
        <v>0</v>
      </c>
      <c r="Q491" s="22" t="s">
        <v>43</v>
      </c>
      <c r="R491" s="23">
        <f t="shared" si="132"/>
        <v>0</v>
      </c>
      <c r="S491" s="23">
        <f t="shared" si="130"/>
        <v>0</v>
      </c>
    </row>
    <row r="492" spans="1:19" s="26" customFormat="1">
      <c r="A492" s="25" t="s">
        <v>466</v>
      </c>
      <c r="B492" s="26" t="s">
        <v>275</v>
      </c>
      <c r="C492" s="27">
        <v>192</v>
      </c>
      <c r="D492" s="28" t="s">
        <v>43</v>
      </c>
      <c r="E492" s="29"/>
      <c r="F492" s="30">
        <v>1</v>
      </c>
      <c r="G492" s="31" t="s">
        <v>21</v>
      </c>
      <c r="H492" s="30">
        <v>96</v>
      </c>
      <c r="I492" s="31" t="s">
        <v>43</v>
      </c>
      <c r="J492" s="32">
        <v>9500</v>
      </c>
      <c r="K492" s="28" t="s">
        <v>43</v>
      </c>
      <c r="L492" s="33"/>
      <c r="M492" s="33"/>
      <c r="N492" s="27">
        <f>96+96</f>
        <v>192</v>
      </c>
      <c r="O492" s="31" t="s">
        <v>43</v>
      </c>
      <c r="P492" s="27">
        <f t="shared" si="131"/>
        <v>0</v>
      </c>
      <c r="Q492" s="31" t="s">
        <v>43</v>
      </c>
      <c r="R492" s="32">
        <f t="shared" si="132"/>
        <v>0</v>
      </c>
      <c r="S492" s="32">
        <f t="shared" si="130"/>
        <v>0</v>
      </c>
    </row>
    <row r="493" spans="1:19" s="26" customFormat="1">
      <c r="A493" s="25" t="s">
        <v>467</v>
      </c>
      <c r="B493" s="26" t="s">
        <v>26</v>
      </c>
      <c r="C493" s="27">
        <v>1200</v>
      </c>
      <c r="D493" s="28" t="s">
        <v>20</v>
      </c>
      <c r="E493" s="29"/>
      <c r="F493" s="30">
        <v>144</v>
      </c>
      <c r="G493" s="31" t="s">
        <v>34</v>
      </c>
      <c r="H493" s="30">
        <v>24</v>
      </c>
      <c r="I493" s="31" t="s">
        <v>20</v>
      </c>
      <c r="J493" s="32">
        <f>6739200/144/24</f>
        <v>1950</v>
      </c>
      <c r="K493" s="28" t="s">
        <v>20</v>
      </c>
      <c r="L493" s="33"/>
      <c r="M493" s="33">
        <v>0.17</v>
      </c>
      <c r="N493" s="27"/>
      <c r="O493" s="31" t="s">
        <v>20</v>
      </c>
      <c r="P493" s="27">
        <f t="shared" si="131"/>
        <v>1200</v>
      </c>
      <c r="Q493" s="31" t="s">
        <v>20</v>
      </c>
      <c r="R493" s="32">
        <f t="shared" si="132"/>
        <v>1942200</v>
      </c>
      <c r="S493" s="32">
        <f t="shared" si="130"/>
        <v>1749729.7297297295</v>
      </c>
    </row>
    <row r="494" spans="1:19" s="17" customFormat="1">
      <c r="A494" s="16" t="s">
        <v>468</v>
      </c>
      <c r="B494" s="17" t="s">
        <v>26</v>
      </c>
      <c r="C494" s="18"/>
      <c r="D494" s="19" t="s">
        <v>34</v>
      </c>
      <c r="E494" s="20"/>
      <c r="F494" s="21">
        <v>1</v>
      </c>
      <c r="G494" s="22" t="s">
        <v>21</v>
      </c>
      <c r="H494" s="21">
        <v>120</v>
      </c>
      <c r="I494" s="22" t="s">
        <v>34</v>
      </c>
      <c r="J494" s="23">
        <f>2016000/120</f>
        <v>16800</v>
      </c>
      <c r="K494" s="19" t="s">
        <v>34</v>
      </c>
      <c r="L494" s="24"/>
      <c r="M494" s="24">
        <v>0.17</v>
      </c>
      <c r="N494" s="18"/>
      <c r="O494" s="22" t="s">
        <v>34</v>
      </c>
      <c r="P494" s="18">
        <f t="shared" si="131"/>
        <v>0</v>
      </c>
      <c r="Q494" s="22" t="s">
        <v>34</v>
      </c>
      <c r="R494" s="23">
        <f t="shared" si="132"/>
        <v>0</v>
      </c>
      <c r="S494" s="23">
        <f t="shared" si="130"/>
        <v>0</v>
      </c>
    </row>
    <row r="495" spans="1:19">
      <c r="A495" s="34" t="s">
        <v>469</v>
      </c>
      <c r="B495" s="2" t="s">
        <v>192</v>
      </c>
      <c r="C495" s="3">
        <v>2400</v>
      </c>
      <c r="D495" s="4" t="s">
        <v>34</v>
      </c>
      <c r="F495" s="6">
        <v>1</v>
      </c>
      <c r="G495" s="7" t="s">
        <v>21</v>
      </c>
      <c r="H495" s="6">
        <v>240</v>
      </c>
      <c r="I495" s="7" t="s">
        <v>34</v>
      </c>
      <c r="J495" s="8">
        <v>5500</v>
      </c>
      <c r="K495" s="4" t="s">
        <v>34</v>
      </c>
      <c r="O495" s="7" t="s">
        <v>34</v>
      </c>
      <c r="P495" s="3">
        <f t="shared" si="131"/>
        <v>2400</v>
      </c>
      <c r="Q495" s="7" t="s">
        <v>34</v>
      </c>
      <c r="R495" s="8">
        <f t="shared" si="132"/>
        <v>13200000</v>
      </c>
      <c r="S495" s="32">
        <f t="shared" si="130"/>
        <v>11891891.891891891</v>
      </c>
    </row>
    <row r="496" spans="1:19">
      <c r="S496" s="23"/>
    </row>
    <row r="497" spans="1:19" ht="15.75">
      <c r="A497" s="14" t="s">
        <v>470</v>
      </c>
      <c r="S497" s="23"/>
    </row>
    <row r="498" spans="1:19" s="45" customFormat="1">
      <c r="A498" s="44" t="s">
        <v>471</v>
      </c>
      <c r="B498" s="45" t="s">
        <v>19</v>
      </c>
      <c r="C498" s="46">
        <v>60</v>
      </c>
      <c r="D498" s="47" t="s">
        <v>88</v>
      </c>
      <c r="E498" s="48">
        <f>1+3+2</f>
        <v>6</v>
      </c>
      <c r="F498" s="49">
        <v>1</v>
      </c>
      <c r="G498" s="50" t="s">
        <v>21</v>
      </c>
      <c r="H498" s="49">
        <v>30</v>
      </c>
      <c r="I498" s="50" t="s">
        <v>88</v>
      </c>
      <c r="J498" s="51">
        <v>95500</v>
      </c>
      <c r="K498" s="47" t="s">
        <v>88</v>
      </c>
      <c r="L498" s="52">
        <v>0.125</v>
      </c>
      <c r="M498" s="52">
        <v>0.05</v>
      </c>
      <c r="N498" s="46">
        <f>30+30+30+3+60+30</f>
        <v>183</v>
      </c>
      <c r="O498" s="50" t="s">
        <v>88</v>
      </c>
      <c r="P498" s="46">
        <f t="shared" ref="P498:P518" si="133">(C498+(E498*F498*H498))-N498</f>
        <v>57</v>
      </c>
      <c r="Q498" s="50" t="s">
        <v>88</v>
      </c>
      <c r="R498" s="51">
        <f t="shared" ref="R498:R518" si="134">P498*(J498-(J498*L498)-((J498-(J498*L498))*M498))</f>
        <v>4524909.375</v>
      </c>
      <c r="S498" s="51">
        <f t="shared" si="130"/>
        <v>4076494.9324324322</v>
      </c>
    </row>
    <row r="499" spans="1:19" s="45" customFormat="1">
      <c r="A499" s="44" t="s">
        <v>726</v>
      </c>
      <c r="B499" s="45" t="s">
        <v>19</v>
      </c>
      <c r="C499" s="46"/>
      <c r="D499" s="47" t="s">
        <v>88</v>
      </c>
      <c r="E499" s="48">
        <f>1+1</f>
        <v>2</v>
      </c>
      <c r="F499" s="49">
        <v>1</v>
      </c>
      <c r="G499" s="50" t="s">
        <v>21</v>
      </c>
      <c r="H499" s="49">
        <v>30</v>
      </c>
      <c r="I499" s="50" t="s">
        <v>88</v>
      </c>
      <c r="J499" s="51">
        <v>102000</v>
      </c>
      <c r="K499" s="47" t="s">
        <v>88</v>
      </c>
      <c r="L499" s="52">
        <v>0.125</v>
      </c>
      <c r="M499" s="52">
        <v>0.05</v>
      </c>
      <c r="N499" s="46">
        <f>15+3</f>
        <v>18</v>
      </c>
      <c r="O499" s="50" t="s">
        <v>88</v>
      </c>
      <c r="P499" s="46">
        <f t="shared" ref="P499" si="135">(C499+(E499*F499*H499))-N499</f>
        <v>42</v>
      </c>
      <c r="Q499" s="50" t="s">
        <v>88</v>
      </c>
      <c r="R499" s="51">
        <f t="shared" ref="R499" si="136">P499*(J499-(J499*L499)-((J499-(J499*L499))*M499))</f>
        <v>3561075</v>
      </c>
      <c r="S499" s="51">
        <f t="shared" ref="S499" si="137">R499/1.11</f>
        <v>3208175.6756756753</v>
      </c>
    </row>
    <row r="500" spans="1:19" s="17" customFormat="1">
      <c r="A500" s="16" t="s">
        <v>472</v>
      </c>
      <c r="B500" s="17" t="s">
        <v>19</v>
      </c>
      <c r="C500" s="18"/>
      <c r="D500" s="19" t="s">
        <v>88</v>
      </c>
      <c r="E500" s="20"/>
      <c r="F500" s="21">
        <v>1</v>
      </c>
      <c r="G500" s="22" t="s">
        <v>21</v>
      </c>
      <c r="H500" s="21">
        <v>30</v>
      </c>
      <c r="I500" s="22" t="s">
        <v>88</v>
      </c>
      <c r="J500" s="23">
        <v>99000</v>
      </c>
      <c r="K500" s="19" t="s">
        <v>88</v>
      </c>
      <c r="L500" s="24">
        <v>0.125</v>
      </c>
      <c r="M500" s="24">
        <v>0.05</v>
      </c>
      <c r="N500" s="18"/>
      <c r="O500" s="22" t="s">
        <v>88</v>
      </c>
      <c r="P500" s="18">
        <f t="shared" si="133"/>
        <v>0</v>
      </c>
      <c r="Q500" s="22" t="s">
        <v>88</v>
      </c>
      <c r="R500" s="23">
        <f t="shared" si="134"/>
        <v>0</v>
      </c>
      <c r="S500" s="23">
        <f t="shared" si="130"/>
        <v>0</v>
      </c>
    </row>
    <row r="501" spans="1:19" s="26" customFormat="1">
      <c r="A501" s="25" t="s">
        <v>473</v>
      </c>
      <c r="B501" s="26" t="s">
        <v>19</v>
      </c>
      <c r="C501" s="27"/>
      <c r="D501" s="28" t="s">
        <v>88</v>
      </c>
      <c r="E501" s="29">
        <v>1</v>
      </c>
      <c r="F501" s="30">
        <v>1</v>
      </c>
      <c r="G501" s="31" t="s">
        <v>21</v>
      </c>
      <c r="H501" s="30">
        <v>30</v>
      </c>
      <c r="I501" s="31" t="s">
        <v>88</v>
      </c>
      <c r="J501" s="32">
        <v>96000</v>
      </c>
      <c r="K501" s="28" t="s">
        <v>88</v>
      </c>
      <c r="L501" s="33">
        <v>0.125</v>
      </c>
      <c r="M501" s="33">
        <v>0.05</v>
      </c>
      <c r="N501" s="27">
        <v>30</v>
      </c>
      <c r="O501" s="31" t="s">
        <v>88</v>
      </c>
      <c r="P501" s="27">
        <f t="shared" si="133"/>
        <v>0</v>
      </c>
      <c r="Q501" s="31" t="s">
        <v>88</v>
      </c>
      <c r="R501" s="32">
        <f t="shared" si="134"/>
        <v>0</v>
      </c>
      <c r="S501" s="32">
        <f t="shared" si="130"/>
        <v>0</v>
      </c>
    </row>
    <row r="502" spans="1:19" s="17" customFormat="1">
      <c r="A502" s="16" t="s">
        <v>474</v>
      </c>
      <c r="B502" s="17" t="s">
        <v>19</v>
      </c>
      <c r="C502" s="18"/>
      <c r="D502" s="19" t="s">
        <v>88</v>
      </c>
      <c r="E502" s="20"/>
      <c r="F502" s="21">
        <v>1</v>
      </c>
      <c r="G502" s="22" t="s">
        <v>21</v>
      </c>
      <c r="H502" s="21">
        <v>30</v>
      </c>
      <c r="I502" s="22" t="s">
        <v>88</v>
      </c>
      <c r="J502" s="23">
        <v>109000</v>
      </c>
      <c r="K502" s="19" t="s">
        <v>88</v>
      </c>
      <c r="L502" s="24">
        <v>0.125</v>
      </c>
      <c r="M502" s="24">
        <v>0.05</v>
      </c>
      <c r="N502" s="18"/>
      <c r="O502" s="22" t="s">
        <v>88</v>
      </c>
      <c r="P502" s="18">
        <f t="shared" si="133"/>
        <v>0</v>
      </c>
      <c r="Q502" s="22" t="s">
        <v>88</v>
      </c>
      <c r="R502" s="23">
        <f t="shared" si="134"/>
        <v>0</v>
      </c>
      <c r="S502" s="23">
        <f t="shared" si="130"/>
        <v>0</v>
      </c>
    </row>
    <row r="503" spans="1:19" s="25" customFormat="1">
      <c r="A503" s="94" t="s">
        <v>475</v>
      </c>
      <c r="B503" s="25" t="s">
        <v>26</v>
      </c>
      <c r="C503" s="122">
        <v>40</v>
      </c>
      <c r="D503" s="123" t="s">
        <v>88</v>
      </c>
      <c r="E503" s="124"/>
      <c r="F503" s="125">
        <v>1</v>
      </c>
      <c r="G503" s="126" t="s">
        <v>21</v>
      </c>
      <c r="H503" s="125">
        <v>20</v>
      </c>
      <c r="I503" s="126" t="s">
        <v>88</v>
      </c>
      <c r="J503" s="127">
        <f>2160000/20</f>
        <v>108000</v>
      </c>
      <c r="K503" s="123" t="s">
        <v>88</v>
      </c>
      <c r="L503" s="128"/>
      <c r="M503" s="128">
        <v>0.17</v>
      </c>
      <c r="N503" s="122"/>
      <c r="O503" s="126" t="s">
        <v>88</v>
      </c>
      <c r="P503" s="122">
        <f t="shared" si="133"/>
        <v>40</v>
      </c>
      <c r="Q503" s="126" t="s">
        <v>88</v>
      </c>
      <c r="R503" s="127">
        <f t="shared" si="134"/>
        <v>3585600</v>
      </c>
      <c r="S503" s="32">
        <f t="shared" si="130"/>
        <v>3230270.2702702698</v>
      </c>
    </row>
    <row r="504" spans="1:19" s="16" customFormat="1">
      <c r="A504" s="93" t="s">
        <v>731</v>
      </c>
      <c r="B504" s="16" t="s">
        <v>26</v>
      </c>
      <c r="C504" s="129">
        <v>60</v>
      </c>
      <c r="D504" s="130" t="s">
        <v>88</v>
      </c>
      <c r="E504" s="131"/>
      <c r="F504" s="132">
        <v>1</v>
      </c>
      <c r="G504" s="133" t="s">
        <v>21</v>
      </c>
      <c r="H504" s="132">
        <v>20</v>
      </c>
      <c r="I504" s="133" t="s">
        <v>88</v>
      </c>
      <c r="J504" s="134">
        <f>2112000/20</f>
        <v>105600</v>
      </c>
      <c r="K504" s="130" t="s">
        <v>88</v>
      </c>
      <c r="L504" s="135"/>
      <c r="M504" s="135">
        <v>0.17</v>
      </c>
      <c r="N504" s="129">
        <v>60</v>
      </c>
      <c r="O504" s="133" t="s">
        <v>88</v>
      </c>
      <c r="P504" s="129">
        <f t="shared" ref="P504" si="138">(C504+(E504*F504*H504))-N504</f>
        <v>0</v>
      </c>
      <c r="Q504" s="133" t="s">
        <v>88</v>
      </c>
      <c r="R504" s="134">
        <f t="shared" ref="R504" si="139">P504*(J504-(J504*L504)-((J504-(J504*L504))*M504))</f>
        <v>0</v>
      </c>
      <c r="S504" s="23">
        <f t="shared" ref="S504" si="140">R504/1.11</f>
        <v>0</v>
      </c>
    </row>
    <row r="505" spans="1:19" s="16" customFormat="1">
      <c r="A505" s="93" t="s">
        <v>476</v>
      </c>
      <c r="B505" s="16" t="s">
        <v>26</v>
      </c>
      <c r="C505" s="129"/>
      <c r="D505" s="130" t="s">
        <v>88</v>
      </c>
      <c r="E505" s="131"/>
      <c r="F505" s="132">
        <v>1</v>
      </c>
      <c r="G505" s="133" t="s">
        <v>21</v>
      </c>
      <c r="H505" s="132">
        <v>20</v>
      </c>
      <c r="I505" s="133" t="s">
        <v>88</v>
      </c>
      <c r="J505" s="134">
        <f>2112000/20</f>
        <v>105600</v>
      </c>
      <c r="K505" s="130" t="s">
        <v>88</v>
      </c>
      <c r="L505" s="135"/>
      <c r="M505" s="135">
        <v>0.17</v>
      </c>
      <c r="N505" s="129"/>
      <c r="O505" s="133" t="s">
        <v>88</v>
      </c>
      <c r="P505" s="129">
        <f t="shared" si="133"/>
        <v>0</v>
      </c>
      <c r="Q505" s="133" t="s">
        <v>88</v>
      </c>
      <c r="R505" s="134">
        <f t="shared" si="134"/>
        <v>0</v>
      </c>
      <c r="S505" s="23">
        <f t="shared" si="130"/>
        <v>0</v>
      </c>
    </row>
    <row r="506" spans="1:19" s="16" customFormat="1">
      <c r="A506" s="93" t="s">
        <v>477</v>
      </c>
      <c r="B506" s="16" t="s">
        <v>26</v>
      </c>
      <c r="C506" s="129"/>
      <c r="D506" s="130" t="s">
        <v>88</v>
      </c>
      <c r="E506" s="131"/>
      <c r="F506" s="132">
        <v>1</v>
      </c>
      <c r="G506" s="133" t="s">
        <v>21</v>
      </c>
      <c r="H506" s="132">
        <v>20</v>
      </c>
      <c r="I506" s="133" t="s">
        <v>88</v>
      </c>
      <c r="J506" s="134">
        <f>10200*12</f>
        <v>122400</v>
      </c>
      <c r="K506" s="130" t="s">
        <v>88</v>
      </c>
      <c r="L506" s="135"/>
      <c r="M506" s="135">
        <v>0.17</v>
      </c>
      <c r="N506" s="129"/>
      <c r="O506" s="133" t="s">
        <v>88</v>
      </c>
      <c r="P506" s="129">
        <f t="shared" si="133"/>
        <v>0</v>
      </c>
      <c r="Q506" s="133" t="s">
        <v>88</v>
      </c>
      <c r="R506" s="134">
        <f t="shared" si="134"/>
        <v>0</v>
      </c>
      <c r="S506" s="23">
        <f t="shared" si="130"/>
        <v>0</v>
      </c>
    </row>
    <row r="507" spans="1:19" s="25" customFormat="1">
      <c r="A507" s="94" t="s">
        <v>478</v>
      </c>
      <c r="B507" s="25" t="s">
        <v>26</v>
      </c>
      <c r="C507" s="122">
        <v>20</v>
      </c>
      <c r="D507" s="123" t="s">
        <v>88</v>
      </c>
      <c r="E507" s="124"/>
      <c r="F507" s="125">
        <v>1</v>
      </c>
      <c r="G507" s="126" t="s">
        <v>21</v>
      </c>
      <c r="H507" s="125">
        <v>20</v>
      </c>
      <c r="I507" s="126" t="s">
        <v>88</v>
      </c>
      <c r="J507" s="127">
        <f>2256000/20</f>
        <v>112800</v>
      </c>
      <c r="K507" s="123" t="s">
        <v>88</v>
      </c>
      <c r="L507" s="128"/>
      <c r="M507" s="128">
        <v>0.17</v>
      </c>
      <c r="N507" s="122"/>
      <c r="O507" s="126" t="s">
        <v>88</v>
      </c>
      <c r="P507" s="122">
        <f t="shared" si="133"/>
        <v>20</v>
      </c>
      <c r="Q507" s="126" t="s">
        <v>88</v>
      </c>
      <c r="R507" s="127">
        <f t="shared" si="134"/>
        <v>1872480</v>
      </c>
      <c r="S507" s="32">
        <f t="shared" si="130"/>
        <v>1686918.9189189188</v>
      </c>
    </row>
    <row r="508" spans="1:19" s="16" customFormat="1">
      <c r="A508" s="93" t="s">
        <v>479</v>
      </c>
      <c r="B508" s="16" t="s">
        <v>26</v>
      </c>
      <c r="C508" s="129">
        <v>1</v>
      </c>
      <c r="D508" s="130" t="s">
        <v>88</v>
      </c>
      <c r="E508" s="131"/>
      <c r="F508" s="132">
        <v>1</v>
      </c>
      <c r="G508" s="133" t="s">
        <v>21</v>
      </c>
      <c r="H508" s="132">
        <v>20</v>
      </c>
      <c r="I508" s="133" t="s">
        <v>88</v>
      </c>
      <c r="J508" s="134">
        <f>8500*12</f>
        <v>102000</v>
      </c>
      <c r="K508" s="130" t="s">
        <v>88</v>
      </c>
      <c r="L508" s="135"/>
      <c r="M508" s="135">
        <v>0.17</v>
      </c>
      <c r="N508" s="129">
        <v>1</v>
      </c>
      <c r="O508" s="133" t="s">
        <v>88</v>
      </c>
      <c r="P508" s="129">
        <f t="shared" si="133"/>
        <v>0</v>
      </c>
      <c r="Q508" s="133" t="s">
        <v>88</v>
      </c>
      <c r="R508" s="134">
        <f t="shared" si="134"/>
        <v>0</v>
      </c>
      <c r="S508" s="23">
        <f t="shared" si="130"/>
        <v>0</v>
      </c>
    </row>
    <row r="509" spans="1:19" s="16" customFormat="1">
      <c r="A509" s="93" t="s">
        <v>480</v>
      </c>
      <c r="B509" s="16" t="s">
        <v>26</v>
      </c>
      <c r="C509" s="129">
        <v>3</v>
      </c>
      <c r="D509" s="130" t="s">
        <v>88</v>
      </c>
      <c r="E509" s="131"/>
      <c r="F509" s="132">
        <v>1</v>
      </c>
      <c r="G509" s="133" t="s">
        <v>21</v>
      </c>
      <c r="H509" s="132">
        <v>20</v>
      </c>
      <c r="I509" s="133" t="s">
        <v>88</v>
      </c>
      <c r="J509" s="134">
        <v>103200</v>
      </c>
      <c r="K509" s="130" t="s">
        <v>88</v>
      </c>
      <c r="L509" s="135"/>
      <c r="M509" s="135">
        <v>0.17</v>
      </c>
      <c r="N509" s="129">
        <f>1+1+1</f>
        <v>3</v>
      </c>
      <c r="O509" s="133" t="s">
        <v>88</v>
      </c>
      <c r="P509" s="129">
        <f t="shared" si="133"/>
        <v>0</v>
      </c>
      <c r="Q509" s="133" t="s">
        <v>88</v>
      </c>
      <c r="R509" s="134">
        <f t="shared" si="134"/>
        <v>0</v>
      </c>
      <c r="S509" s="23">
        <f t="shared" si="130"/>
        <v>0</v>
      </c>
    </row>
    <row r="510" spans="1:19">
      <c r="A510" s="34" t="s">
        <v>481</v>
      </c>
      <c r="B510" s="2" t="s">
        <v>26</v>
      </c>
      <c r="C510" s="3">
        <v>1</v>
      </c>
      <c r="D510" s="4" t="s">
        <v>88</v>
      </c>
      <c r="F510" s="6">
        <v>1</v>
      </c>
      <c r="G510" s="7" t="s">
        <v>21</v>
      </c>
      <c r="H510" s="6">
        <v>20</v>
      </c>
      <c r="I510" s="7" t="s">
        <v>88</v>
      </c>
      <c r="J510" s="8">
        <f>1980000/20</f>
        <v>99000</v>
      </c>
      <c r="K510" s="4" t="s">
        <v>88</v>
      </c>
      <c r="M510" s="9">
        <v>0.17</v>
      </c>
      <c r="O510" s="7" t="s">
        <v>88</v>
      </c>
      <c r="P510" s="3">
        <f t="shared" si="133"/>
        <v>1</v>
      </c>
      <c r="Q510" s="7" t="s">
        <v>88</v>
      </c>
      <c r="R510" s="8">
        <f t="shared" si="134"/>
        <v>82170</v>
      </c>
      <c r="S510" s="32">
        <f t="shared" si="130"/>
        <v>74027.027027027027</v>
      </c>
    </row>
    <row r="511" spans="1:19" s="25" customFormat="1">
      <c r="A511" s="94" t="s">
        <v>482</v>
      </c>
      <c r="B511" s="25" t="s">
        <v>26</v>
      </c>
      <c r="C511" s="122">
        <v>94.5</v>
      </c>
      <c r="D511" s="123" t="s">
        <v>88</v>
      </c>
      <c r="E511" s="124"/>
      <c r="F511" s="125">
        <v>1</v>
      </c>
      <c r="G511" s="126" t="s">
        <v>21</v>
      </c>
      <c r="H511" s="125">
        <v>20</v>
      </c>
      <c r="I511" s="126" t="s">
        <v>88</v>
      </c>
      <c r="J511" s="127">
        <f>2064000/20</f>
        <v>103200</v>
      </c>
      <c r="K511" s="123" t="s">
        <v>88</v>
      </c>
      <c r="L511" s="128"/>
      <c r="M511" s="128">
        <v>0.17</v>
      </c>
      <c r="N511" s="136"/>
      <c r="O511" s="126" t="s">
        <v>88</v>
      </c>
      <c r="P511" s="136">
        <f t="shared" si="133"/>
        <v>94.5</v>
      </c>
      <c r="Q511" s="126" t="s">
        <v>88</v>
      </c>
      <c r="R511" s="127">
        <f t="shared" si="134"/>
        <v>8094492</v>
      </c>
      <c r="S511" s="32">
        <f t="shared" si="130"/>
        <v>7292335.1351351347</v>
      </c>
    </row>
    <row r="512" spans="1:19" s="25" customFormat="1">
      <c r="A512" s="94" t="s">
        <v>483</v>
      </c>
      <c r="B512" s="25" t="s">
        <v>26</v>
      </c>
      <c r="C512" s="122">
        <v>30.5</v>
      </c>
      <c r="D512" s="123" t="s">
        <v>88</v>
      </c>
      <c r="E512" s="124"/>
      <c r="F512" s="125">
        <v>1</v>
      </c>
      <c r="G512" s="126" t="s">
        <v>21</v>
      </c>
      <c r="H512" s="125">
        <v>20</v>
      </c>
      <c r="I512" s="126" t="s">
        <v>88</v>
      </c>
      <c r="J512" s="127">
        <f>2064000/20</f>
        <v>103200</v>
      </c>
      <c r="K512" s="123" t="s">
        <v>88</v>
      </c>
      <c r="L512" s="128"/>
      <c r="M512" s="128">
        <v>0.17</v>
      </c>
      <c r="N512" s="136"/>
      <c r="O512" s="126" t="s">
        <v>88</v>
      </c>
      <c r="P512" s="136">
        <f t="shared" si="133"/>
        <v>30.5</v>
      </c>
      <c r="Q512" s="126" t="s">
        <v>88</v>
      </c>
      <c r="R512" s="127">
        <f t="shared" si="134"/>
        <v>2612508</v>
      </c>
      <c r="S512" s="32">
        <f t="shared" si="130"/>
        <v>2353610.8108108104</v>
      </c>
    </row>
    <row r="513" spans="1:19" s="25" customFormat="1">
      <c r="A513" s="94" t="s">
        <v>484</v>
      </c>
      <c r="B513" s="25" t="s">
        <v>26</v>
      </c>
      <c r="C513" s="122">
        <v>19</v>
      </c>
      <c r="D513" s="123" t="s">
        <v>88</v>
      </c>
      <c r="E513" s="124"/>
      <c r="F513" s="125">
        <v>1</v>
      </c>
      <c r="G513" s="126" t="s">
        <v>21</v>
      </c>
      <c r="H513" s="125">
        <v>20</v>
      </c>
      <c r="I513" s="126" t="s">
        <v>88</v>
      </c>
      <c r="J513" s="127">
        <f>2112000/20</f>
        <v>105600</v>
      </c>
      <c r="K513" s="123" t="s">
        <v>88</v>
      </c>
      <c r="L513" s="128"/>
      <c r="M513" s="128">
        <v>0.17</v>
      </c>
      <c r="N513" s="122"/>
      <c r="O513" s="126" t="s">
        <v>88</v>
      </c>
      <c r="P513" s="122">
        <f t="shared" si="133"/>
        <v>19</v>
      </c>
      <c r="Q513" s="126" t="s">
        <v>88</v>
      </c>
      <c r="R513" s="127">
        <f t="shared" si="134"/>
        <v>1665312</v>
      </c>
      <c r="S513" s="32">
        <f t="shared" si="130"/>
        <v>1500281.0810810809</v>
      </c>
    </row>
    <row r="514" spans="1:19" s="16" customFormat="1">
      <c r="A514" s="93" t="s">
        <v>485</v>
      </c>
      <c r="B514" s="16" t="s">
        <v>26</v>
      </c>
      <c r="C514" s="129"/>
      <c r="D514" s="130" t="s">
        <v>88</v>
      </c>
      <c r="E514" s="131"/>
      <c r="F514" s="132">
        <v>1</v>
      </c>
      <c r="G514" s="133" t="s">
        <v>21</v>
      </c>
      <c r="H514" s="132">
        <v>20</v>
      </c>
      <c r="I514" s="133" t="s">
        <v>88</v>
      </c>
      <c r="J514" s="134">
        <f>2160000/20</f>
        <v>108000</v>
      </c>
      <c r="K514" s="130" t="s">
        <v>88</v>
      </c>
      <c r="L514" s="135"/>
      <c r="M514" s="135">
        <v>0.17</v>
      </c>
      <c r="N514" s="129"/>
      <c r="O514" s="133" t="s">
        <v>88</v>
      </c>
      <c r="P514" s="129">
        <f t="shared" si="133"/>
        <v>0</v>
      </c>
      <c r="Q514" s="133" t="s">
        <v>88</v>
      </c>
      <c r="R514" s="134">
        <f t="shared" si="134"/>
        <v>0</v>
      </c>
      <c r="S514" s="23">
        <f t="shared" si="130"/>
        <v>0</v>
      </c>
    </row>
    <row r="515" spans="1:19" s="16" customFormat="1">
      <c r="A515" s="93" t="s">
        <v>486</v>
      </c>
      <c r="B515" s="16" t="s">
        <v>26</v>
      </c>
      <c r="C515" s="129"/>
      <c r="D515" s="130" t="s">
        <v>88</v>
      </c>
      <c r="E515" s="131"/>
      <c r="F515" s="132">
        <v>1</v>
      </c>
      <c r="G515" s="133" t="s">
        <v>21</v>
      </c>
      <c r="H515" s="132">
        <v>20</v>
      </c>
      <c r="I515" s="133" t="s">
        <v>88</v>
      </c>
      <c r="J515" s="134">
        <f>2160000/20</f>
        <v>108000</v>
      </c>
      <c r="K515" s="130" t="s">
        <v>88</v>
      </c>
      <c r="L515" s="135"/>
      <c r="M515" s="135">
        <v>0.17</v>
      </c>
      <c r="N515" s="129"/>
      <c r="O515" s="133" t="s">
        <v>88</v>
      </c>
      <c r="P515" s="129">
        <f t="shared" si="133"/>
        <v>0</v>
      </c>
      <c r="Q515" s="133" t="s">
        <v>88</v>
      </c>
      <c r="R515" s="134">
        <f t="shared" si="134"/>
        <v>0</v>
      </c>
      <c r="S515" s="23">
        <f t="shared" si="130"/>
        <v>0</v>
      </c>
    </row>
    <row r="516" spans="1:19" s="25" customFormat="1">
      <c r="A516" s="94" t="s">
        <v>487</v>
      </c>
      <c r="B516" s="25" t="s">
        <v>26</v>
      </c>
      <c r="C516" s="122">
        <v>1</v>
      </c>
      <c r="D516" s="123" t="s">
        <v>88</v>
      </c>
      <c r="E516" s="124"/>
      <c r="F516" s="125">
        <v>1</v>
      </c>
      <c r="G516" s="126" t="s">
        <v>21</v>
      </c>
      <c r="H516" s="125">
        <v>20</v>
      </c>
      <c r="I516" s="126" t="s">
        <v>88</v>
      </c>
      <c r="J516" s="127">
        <f>2112000/20</f>
        <v>105600</v>
      </c>
      <c r="K516" s="123" t="s">
        <v>88</v>
      </c>
      <c r="L516" s="128"/>
      <c r="M516" s="128">
        <v>0.17</v>
      </c>
      <c r="N516" s="122"/>
      <c r="O516" s="126" t="s">
        <v>88</v>
      </c>
      <c r="P516" s="122">
        <f t="shared" si="133"/>
        <v>1</v>
      </c>
      <c r="Q516" s="126" t="s">
        <v>88</v>
      </c>
      <c r="R516" s="127">
        <f t="shared" si="134"/>
        <v>87648</v>
      </c>
      <c r="S516" s="32">
        <f t="shared" si="130"/>
        <v>78962.16216216216</v>
      </c>
    </row>
    <row r="517" spans="1:19" s="16" customFormat="1">
      <c r="A517" s="93" t="s">
        <v>488</v>
      </c>
      <c r="B517" s="16" t="s">
        <v>26</v>
      </c>
      <c r="C517" s="129">
        <v>2</v>
      </c>
      <c r="D517" s="130" t="s">
        <v>88</v>
      </c>
      <c r="E517" s="131"/>
      <c r="F517" s="132">
        <v>1</v>
      </c>
      <c r="G517" s="133" t="s">
        <v>21</v>
      </c>
      <c r="H517" s="132">
        <v>20</v>
      </c>
      <c r="I517" s="133" t="s">
        <v>88</v>
      </c>
      <c r="J517" s="134">
        <f>2352000/20</f>
        <v>117600</v>
      </c>
      <c r="K517" s="130" t="s">
        <v>88</v>
      </c>
      <c r="L517" s="135"/>
      <c r="M517" s="135">
        <v>0.17</v>
      </c>
      <c r="N517" s="129">
        <v>2</v>
      </c>
      <c r="O517" s="133" t="s">
        <v>88</v>
      </c>
      <c r="P517" s="129">
        <f t="shared" si="133"/>
        <v>0</v>
      </c>
      <c r="Q517" s="133" t="s">
        <v>88</v>
      </c>
      <c r="R517" s="134">
        <f t="shared" si="134"/>
        <v>0</v>
      </c>
      <c r="S517" s="23">
        <f t="shared" si="130"/>
        <v>0</v>
      </c>
    </row>
    <row r="518" spans="1:19" s="25" customFormat="1">
      <c r="A518" s="94" t="s">
        <v>489</v>
      </c>
      <c r="B518" s="25" t="s">
        <v>192</v>
      </c>
      <c r="C518" s="122">
        <v>207</v>
      </c>
      <c r="D518" s="123" t="s">
        <v>88</v>
      </c>
      <c r="E518" s="124"/>
      <c r="F518" s="125">
        <v>1</v>
      </c>
      <c r="G518" s="126" t="s">
        <v>21</v>
      </c>
      <c r="H518" s="125">
        <v>30</v>
      </c>
      <c r="I518" s="126" t="s">
        <v>88</v>
      </c>
      <c r="J518" s="127">
        <v>155000</v>
      </c>
      <c r="K518" s="123" t="s">
        <v>88</v>
      </c>
      <c r="L518" s="128"/>
      <c r="M518" s="128"/>
      <c r="N518" s="122">
        <f>1+1+1</f>
        <v>3</v>
      </c>
      <c r="O518" s="126" t="s">
        <v>88</v>
      </c>
      <c r="P518" s="122">
        <f t="shared" si="133"/>
        <v>204</v>
      </c>
      <c r="Q518" s="126" t="s">
        <v>88</v>
      </c>
      <c r="R518" s="127">
        <f t="shared" si="134"/>
        <v>31620000</v>
      </c>
      <c r="S518" s="32">
        <f t="shared" si="130"/>
        <v>28486486.486486483</v>
      </c>
    </row>
    <row r="519" spans="1:19">
      <c r="A519" s="15" t="s">
        <v>490</v>
      </c>
      <c r="S519" s="23"/>
    </row>
    <row r="520" spans="1:19">
      <c r="A520" s="34" t="s">
        <v>491</v>
      </c>
      <c r="B520" s="2" t="s">
        <v>192</v>
      </c>
      <c r="C520" s="3">
        <v>223</v>
      </c>
      <c r="D520" s="4" t="s">
        <v>34</v>
      </c>
      <c r="F520" s="6">
        <v>1</v>
      </c>
      <c r="G520" s="7" t="s">
        <v>21</v>
      </c>
      <c r="H520" s="6">
        <v>40</v>
      </c>
      <c r="I520" s="7" t="s">
        <v>34</v>
      </c>
      <c r="J520" s="8">
        <v>33600</v>
      </c>
      <c r="K520" s="4" t="s">
        <v>34</v>
      </c>
      <c r="N520" s="3">
        <f>25+2+2+1+2+5+1+1+1+2</f>
        <v>42</v>
      </c>
      <c r="O520" s="7" t="s">
        <v>34</v>
      </c>
      <c r="P520" s="3">
        <f>(C520+(E520*F520*H520))-N520</f>
        <v>181</v>
      </c>
      <c r="Q520" s="7" t="s">
        <v>34</v>
      </c>
      <c r="R520" s="8">
        <f>P520*(J520-(J520*L520)-((J520-(J520*L520))*M520))</f>
        <v>6081600</v>
      </c>
      <c r="S520" s="32">
        <f t="shared" si="130"/>
        <v>5478918.9189189188</v>
      </c>
    </row>
    <row r="521" spans="1:19">
      <c r="A521" s="34" t="s">
        <v>492</v>
      </c>
      <c r="B521" s="2" t="s">
        <v>192</v>
      </c>
      <c r="C521" s="3">
        <v>313</v>
      </c>
      <c r="D521" s="4" t="s">
        <v>34</v>
      </c>
      <c r="F521" s="6">
        <v>1</v>
      </c>
      <c r="G521" s="7" t="s">
        <v>21</v>
      </c>
      <c r="H521" s="6">
        <v>40</v>
      </c>
      <c r="I521" s="7" t="s">
        <v>34</v>
      </c>
      <c r="J521" s="8">
        <v>33600</v>
      </c>
      <c r="K521" s="4" t="s">
        <v>34</v>
      </c>
      <c r="N521" s="3">
        <f>25+2+2+1+2+5+2+2+1</f>
        <v>42</v>
      </c>
      <c r="O521" s="7" t="s">
        <v>34</v>
      </c>
      <c r="P521" s="3">
        <f>(C521+(E521*F521*H521))-N521</f>
        <v>271</v>
      </c>
      <c r="Q521" s="7" t="s">
        <v>34</v>
      </c>
      <c r="R521" s="8">
        <f>P521*(J521-(J521*L521)-((J521-(J521*L521))*M521))</f>
        <v>9105600</v>
      </c>
      <c r="S521" s="32">
        <f t="shared" si="130"/>
        <v>8203243.2432432426</v>
      </c>
    </row>
    <row r="522" spans="1:19">
      <c r="A522" s="34" t="s">
        <v>493</v>
      </c>
      <c r="B522" s="2" t="s">
        <v>192</v>
      </c>
      <c r="C522" s="3">
        <v>464</v>
      </c>
      <c r="D522" s="4" t="s">
        <v>34</v>
      </c>
      <c r="F522" s="6">
        <v>1</v>
      </c>
      <c r="G522" s="7" t="s">
        <v>21</v>
      </c>
      <c r="H522" s="6">
        <v>40</v>
      </c>
      <c r="I522" s="7" t="s">
        <v>34</v>
      </c>
      <c r="J522" s="8">
        <v>33600</v>
      </c>
      <c r="K522" s="4" t="s">
        <v>34</v>
      </c>
      <c r="N522" s="3">
        <f>25+2+1+5+1+1+1+2</f>
        <v>38</v>
      </c>
      <c r="O522" s="7" t="s">
        <v>34</v>
      </c>
      <c r="P522" s="3">
        <f>(C522+(E522*F522*H522))-N522</f>
        <v>426</v>
      </c>
      <c r="Q522" s="7" t="s">
        <v>34</v>
      </c>
      <c r="R522" s="8">
        <f>P522*(J522-(J522*L522)-((J522-(J522*L522))*M522))</f>
        <v>14313600</v>
      </c>
      <c r="S522" s="32">
        <f t="shared" si="130"/>
        <v>12895135.135135135</v>
      </c>
    </row>
    <row r="523" spans="1:19">
      <c r="A523" s="34" t="s">
        <v>494</v>
      </c>
      <c r="B523" s="2" t="s">
        <v>192</v>
      </c>
      <c r="C523" s="3">
        <v>48</v>
      </c>
      <c r="D523" s="4" t="s">
        <v>34</v>
      </c>
      <c r="F523" s="6">
        <v>1</v>
      </c>
      <c r="G523" s="7" t="s">
        <v>21</v>
      </c>
      <c r="H523" s="6">
        <v>40</v>
      </c>
      <c r="I523" s="7" t="s">
        <v>34</v>
      </c>
      <c r="J523" s="8">
        <v>33600</v>
      </c>
      <c r="K523" s="4" t="s">
        <v>34</v>
      </c>
      <c r="N523" s="3">
        <f>25+2+1+1+2+1+2</f>
        <v>34</v>
      </c>
      <c r="O523" s="7" t="s">
        <v>34</v>
      </c>
      <c r="P523" s="3">
        <f>(C523+(E523*F523*H523))-N523</f>
        <v>14</v>
      </c>
      <c r="Q523" s="7" t="s">
        <v>34</v>
      </c>
      <c r="R523" s="8">
        <f>P523*(J523-(J523*L523)-((J523-(J523*L523))*M523))</f>
        <v>470400</v>
      </c>
      <c r="S523" s="32">
        <f t="shared" si="130"/>
        <v>423783.78378378373</v>
      </c>
    </row>
    <row r="524" spans="1:19">
      <c r="A524" s="34" t="s">
        <v>495</v>
      </c>
      <c r="B524" s="2" t="s">
        <v>192</v>
      </c>
      <c r="C524" s="3">
        <v>99</v>
      </c>
      <c r="D524" s="4" t="s">
        <v>34</v>
      </c>
      <c r="F524" s="6">
        <v>1</v>
      </c>
      <c r="G524" s="7" t="s">
        <v>21</v>
      </c>
      <c r="H524" s="6">
        <v>24</v>
      </c>
      <c r="I524" s="7" t="s">
        <v>34</v>
      </c>
      <c r="J524" s="8">
        <v>38400</v>
      </c>
      <c r="K524" s="4" t="s">
        <v>34</v>
      </c>
      <c r="N524" s="3">
        <f>2+2+24+1+2+4+5+1+2+3+24+1+10+2</f>
        <v>83</v>
      </c>
      <c r="O524" s="7" t="s">
        <v>34</v>
      </c>
      <c r="P524" s="3">
        <f>(C524+(E524*F524*H524))-N524</f>
        <v>16</v>
      </c>
      <c r="Q524" s="7" t="s">
        <v>34</v>
      </c>
      <c r="R524" s="8">
        <f>P524*(J524-(J524*L524)-((J524-(J524*L524))*M524))</f>
        <v>614400</v>
      </c>
      <c r="S524" s="32">
        <f t="shared" si="130"/>
        <v>553513.51351351349</v>
      </c>
    </row>
    <row r="525" spans="1:19">
      <c r="A525" s="15" t="s">
        <v>496</v>
      </c>
      <c r="S525" s="23"/>
    </row>
    <row r="526" spans="1:19" s="17" customFormat="1">
      <c r="A526" s="137" t="s">
        <v>497</v>
      </c>
      <c r="B526" s="17" t="s">
        <v>19</v>
      </c>
      <c r="C526" s="18"/>
      <c r="D526" s="19" t="s">
        <v>43</v>
      </c>
      <c r="E526" s="20"/>
      <c r="F526" s="21">
        <v>12</v>
      </c>
      <c r="G526" s="22" t="s">
        <v>88</v>
      </c>
      <c r="H526" s="21">
        <v>12</v>
      </c>
      <c r="I526" s="22" t="s">
        <v>43</v>
      </c>
      <c r="J526" s="23">
        <f>240000/12</f>
        <v>20000</v>
      </c>
      <c r="K526" s="19" t="s">
        <v>43</v>
      </c>
      <c r="L526" s="24">
        <v>0.125</v>
      </c>
      <c r="M526" s="24">
        <v>0.05</v>
      </c>
      <c r="N526" s="18"/>
      <c r="O526" s="22" t="s">
        <v>43</v>
      </c>
      <c r="P526" s="18">
        <f t="shared" ref="P526:P527" si="141">(C526+(E526*F526*H526))-N526</f>
        <v>0</v>
      </c>
      <c r="Q526" s="22" t="s">
        <v>43</v>
      </c>
      <c r="R526" s="23">
        <f t="shared" ref="R526:R527" si="142">P526*(J526-(J526*L526)-((J526-(J526*L526))*M526))</f>
        <v>0</v>
      </c>
      <c r="S526" s="23">
        <f t="shared" ref="S526:S527" si="143">R526/1.11</f>
        <v>0</v>
      </c>
    </row>
    <row r="527" spans="1:19" s="17" customFormat="1">
      <c r="A527" s="137" t="s">
        <v>498</v>
      </c>
      <c r="B527" s="17" t="s">
        <v>26</v>
      </c>
      <c r="C527" s="18"/>
      <c r="D527" s="19" t="s">
        <v>43</v>
      </c>
      <c r="E527" s="20"/>
      <c r="F527" s="21">
        <v>12</v>
      </c>
      <c r="G527" s="22" t="s">
        <v>34</v>
      </c>
      <c r="H527" s="21">
        <v>6</v>
      </c>
      <c r="I527" s="22" t="s">
        <v>43</v>
      </c>
      <c r="J527" s="23">
        <v>21000</v>
      </c>
      <c r="K527" s="19" t="s">
        <v>43</v>
      </c>
      <c r="L527" s="24"/>
      <c r="M527" s="24">
        <v>0.17</v>
      </c>
      <c r="N527" s="18"/>
      <c r="O527" s="22" t="s">
        <v>43</v>
      </c>
      <c r="P527" s="18">
        <f t="shared" si="141"/>
        <v>0</v>
      </c>
      <c r="Q527" s="22" t="s">
        <v>43</v>
      </c>
      <c r="R527" s="23">
        <f t="shared" si="142"/>
        <v>0</v>
      </c>
      <c r="S527" s="23">
        <f t="shared" si="143"/>
        <v>0</v>
      </c>
    </row>
    <row r="528" spans="1:19">
      <c r="A528" s="15" t="s">
        <v>499</v>
      </c>
      <c r="S528" s="23"/>
    </row>
    <row r="529" spans="1:19" s="17" customFormat="1">
      <c r="A529" s="137" t="s">
        <v>500</v>
      </c>
      <c r="B529" s="17" t="s">
        <v>19</v>
      </c>
      <c r="C529" s="18"/>
      <c r="D529" s="19" t="s">
        <v>43</v>
      </c>
      <c r="E529" s="20"/>
      <c r="F529" s="21">
        <v>1</v>
      </c>
      <c r="G529" s="22" t="s">
        <v>21</v>
      </c>
      <c r="H529" s="21">
        <v>144</v>
      </c>
      <c r="I529" s="22" t="s">
        <v>43</v>
      </c>
      <c r="J529" s="23">
        <v>45600</v>
      </c>
      <c r="K529" s="19" t="s">
        <v>43</v>
      </c>
      <c r="L529" s="24">
        <v>0.125</v>
      </c>
      <c r="M529" s="24">
        <v>0.05</v>
      </c>
      <c r="N529" s="18"/>
      <c r="O529" s="22" t="s">
        <v>43</v>
      </c>
      <c r="P529" s="18">
        <f t="shared" ref="P529:P541" si="144">(C529+(E529*F529*H529))-N529</f>
        <v>0</v>
      </c>
      <c r="Q529" s="22" t="s">
        <v>43</v>
      </c>
      <c r="R529" s="23">
        <f t="shared" ref="R529:R541" si="145">P529*(J529-(J529*L529)-((J529-(J529*L529))*M529))</f>
        <v>0</v>
      </c>
      <c r="S529" s="23">
        <f t="shared" si="130"/>
        <v>0</v>
      </c>
    </row>
    <row r="530" spans="1:19" s="26" customFormat="1">
      <c r="A530" s="138" t="s">
        <v>501</v>
      </c>
      <c r="B530" s="26" t="s">
        <v>19</v>
      </c>
      <c r="C530" s="27">
        <v>1</v>
      </c>
      <c r="D530" s="28" t="s">
        <v>43</v>
      </c>
      <c r="E530" s="29"/>
      <c r="F530" s="30">
        <v>1</v>
      </c>
      <c r="G530" s="31" t="s">
        <v>21</v>
      </c>
      <c r="H530" s="30">
        <v>120</v>
      </c>
      <c r="I530" s="31" t="s">
        <v>43</v>
      </c>
      <c r="J530" s="32">
        <v>29400</v>
      </c>
      <c r="K530" s="28" t="s">
        <v>43</v>
      </c>
      <c r="L530" s="33">
        <v>0.125</v>
      </c>
      <c r="M530" s="33">
        <v>0.05</v>
      </c>
      <c r="N530" s="27"/>
      <c r="O530" s="31" t="s">
        <v>43</v>
      </c>
      <c r="P530" s="27">
        <f t="shared" si="144"/>
        <v>1</v>
      </c>
      <c r="Q530" s="31" t="s">
        <v>43</v>
      </c>
      <c r="R530" s="32">
        <f t="shared" si="145"/>
        <v>24438.75</v>
      </c>
      <c r="S530" s="32">
        <f t="shared" si="130"/>
        <v>22016.89189189189</v>
      </c>
    </row>
    <row r="531" spans="1:19" s="17" customFormat="1">
      <c r="A531" s="137" t="s">
        <v>502</v>
      </c>
      <c r="B531" s="17" t="s">
        <v>19</v>
      </c>
      <c r="C531" s="18"/>
      <c r="D531" s="19" t="s">
        <v>43</v>
      </c>
      <c r="E531" s="20"/>
      <c r="F531" s="21">
        <v>1</v>
      </c>
      <c r="G531" s="22" t="s">
        <v>21</v>
      </c>
      <c r="H531" s="21">
        <v>144</v>
      </c>
      <c r="I531" s="22" t="s">
        <v>43</v>
      </c>
      <c r="J531" s="23">
        <v>22800</v>
      </c>
      <c r="K531" s="19" t="s">
        <v>43</v>
      </c>
      <c r="L531" s="24">
        <v>0.125</v>
      </c>
      <c r="M531" s="24">
        <v>0.05</v>
      </c>
      <c r="N531" s="18"/>
      <c r="O531" s="22" t="s">
        <v>43</v>
      </c>
      <c r="P531" s="18">
        <f t="shared" si="144"/>
        <v>0</v>
      </c>
      <c r="Q531" s="22" t="s">
        <v>43</v>
      </c>
      <c r="R531" s="23">
        <f t="shared" si="145"/>
        <v>0</v>
      </c>
      <c r="S531" s="23">
        <f t="shared" si="130"/>
        <v>0</v>
      </c>
    </row>
    <row r="532" spans="1:19" s="17" customFormat="1">
      <c r="A532" s="137" t="s">
        <v>503</v>
      </c>
      <c r="B532" s="17" t="s">
        <v>19</v>
      </c>
      <c r="C532" s="18"/>
      <c r="D532" s="19" t="s">
        <v>43</v>
      </c>
      <c r="E532" s="20"/>
      <c r="F532" s="21">
        <v>1</v>
      </c>
      <c r="G532" s="22" t="s">
        <v>21</v>
      </c>
      <c r="H532" s="21">
        <v>144</v>
      </c>
      <c r="I532" s="22" t="s">
        <v>43</v>
      </c>
      <c r="J532" s="23">
        <v>40800</v>
      </c>
      <c r="K532" s="19" t="s">
        <v>43</v>
      </c>
      <c r="L532" s="24">
        <v>0.125</v>
      </c>
      <c r="M532" s="24">
        <v>0.05</v>
      </c>
      <c r="N532" s="18"/>
      <c r="O532" s="22" t="s">
        <v>43</v>
      </c>
      <c r="P532" s="18">
        <f t="shared" si="144"/>
        <v>0</v>
      </c>
      <c r="Q532" s="22" t="s">
        <v>43</v>
      </c>
      <c r="R532" s="23">
        <f t="shared" si="145"/>
        <v>0</v>
      </c>
      <c r="S532" s="23">
        <f t="shared" si="130"/>
        <v>0</v>
      </c>
    </row>
    <row r="533" spans="1:19" s="17" customFormat="1">
      <c r="A533" s="137" t="s">
        <v>504</v>
      </c>
      <c r="B533" s="17" t="s">
        <v>19</v>
      </c>
      <c r="C533" s="18">
        <v>3</v>
      </c>
      <c r="D533" s="19" t="s">
        <v>43</v>
      </c>
      <c r="E533" s="20"/>
      <c r="F533" s="21">
        <v>1</v>
      </c>
      <c r="G533" s="22" t="s">
        <v>21</v>
      </c>
      <c r="H533" s="21">
        <v>144</v>
      </c>
      <c r="I533" s="22" t="s">
        <v>43</v>
      </c>
      <c r="J533" s="23">
        <v>36000</v>
      </c>
      <c r="K533" s="19" t="s">
        <v>43</v>
      </c>
      <c r="L533" s="24">
        <v>0.125</v>
      </c>
      <c r="M533" s="24">
        <v>0.05</v>
      </c>
      <c r="N533" s="18">
        <v>3</v>
      </c>
      <c r="O533" s="22" t="s">
        <v>43</v>
      </c>
      <c r="P533" s="18">
        <f t="shared" si="144"/>
        <v>0</v>
      </c>
      <c r="Q533" s="22" t="s">
        <v>43</v>
      </c>
      <c r="R533" s="23">
        <f t="shared" si="145"/>
        <v>0</v>
      </c>
      <c r="S533" s="23">
        <f t="shared" si="130"/>
        <v>0</v>
      </c>
    </row>
    <row r="534" spans="1:19" s="26" customFormat="1">
      <c r="A534" s="25" t="s">
        <v>505</v>
      </c>
      <c r="B534" s="26" t="s">
        <v>26</v>
      </c>
      <c r="C534" s="27">
        <v>91</v>
      </c>
      <c r="D534" s="28" t="s">
        <v>43</v>
      </c>
      <c r="E534" s="29"/>
      <c r="F534" s="30">
        <v>1</v>
      </c>
      <c r="G534" s="31" t="s">
        <v>21</v>
      </c>
      <c r="H534" s="30">
        <v>144</v>
      </c>
      <c r="I534" s="31" t="s">
        <v>43</v>
      </c>
      <c r="J534" s="32">
        <f>6739200/144</f>
        <v>46800</v>
      </c>
      <c r="K534" s="28" t="s">
        <v>43</v>
      </c>
      <c r="L534" s="33"/>
      <c r="M534" s="33">
        <v>0.17</v>
      </c>
      <c r="N534" s="27">
        <f>12+1+4</f>
        <v>17</v>
      </c>
      <c r="O534" s="31" t="s">
        <v>43</v>
      </c>
      <c r="P534" s="27">
        <f t="shared" si="144"/>
        <v>74</v>
      </c>
      <c r="Q534" s="31" t="s">
        <v>43</v>
      </c>
      <c r="R534" s="32">
        <f t="shared" si="145"/>
        <v>2874456</v>
      </c>
      <c r="S534" s="32">
        <f t="shared" si="130"/>
        <v>2589600</v>
      </c>
    </row>
    <row r="535" spans="1:19" s="17" customFormat="1">
      <c r="A535" s="16" t="s">
        <v>506</v>
      </c>
      <c r="B535" s="17" t="s">
        <v>26</v>
      </c>
      <c r="C535" s="18">
        <f>2+2+3</f>
        <v>7</v>
      </c>
      <c r="D535" s="19" t="s">
        <v>43</v>
      </c>
      <c r="E535" s="20"/>
      <c r="F535" s="21">
        <v>1</v>
      </c>
      <c r="G535" s="22" t="s">
        <v>21</v>
      </c>
      <c r="H535" s="21">
        <v>144</v>
      </c>
      <c r="I535" s="22" t="s">
        <v>43</v>
      </c>
      <c r="J535" s="23">
        <f>4233600/144</f>
        <v>29400</v>
      </c>
      <c r="K535" s="19" t="s">
        <v>43</v>
      </c>
      <c r="L535" s="24"/>
      <c r="M535" s="24">
        <v>0.17</v>
      </c>
      <c r="N535" s="18">
        <f>4+3</f>
        <v>7</v>
      </c>
      <c r="O535" s="22" t="s">
        <v>43</v>
      </c>
      <c r="P535" s="18">
        <f t="shared" si="144"/>
        <v>0</v>
      </c>
      <c r="Q535" s="22" t="s">
        <v>43</v>
      </c>
      <c r="R535" s="23">
        <f t="shared" si="145"/>
        <v>0</v>
      </c>
      <c r="S535" s="23">
        <f t="shared" si="130"/>
        <v>0</v>
      </c>
    </row>
    <row r="536" spans="1:19" s="17" customFormat="1">
      <c r="A536" s="16" t="s">
        <v>507</v>
      </c>
      <c r="B536" s="17" t="s">
        <v>26</v>
      </c>
      <c r="C536" s="18">
        <v>6</v>
      </c>
      <c r="D536" s="19" t="s">
        <v>43</v>
      </c>
      <c r="E536" s="20"/>
      <c r="F536" s="21">
        <v>1</v>
      </c>
      <c r="G536" s="22" t="s">
        <v>21</v>
      </c>
      <c r="H536" s="21">
        <v>144</v>
      </c>
      <c r="I536" s="22" t="s">
        <v>43</v>
      </c>
      <c r="J536" s="23">
        <v>29400</v>
      </c>
      <c r="K536" s="19" t="s">
        <v>43</v>
      </c>
      <c r="L536" s="24"/>
      <c r="M536" s="24">
        <v>0.17</v>
      </c>
      <c r="N536" s="18">
        <v>6</v>
      </c>
      <c r="O536" s="22" t="s">
        <v>43</v>
      </c>
      <c r="P536" s="18">
        <f t="shared" si="144"/>
        <v>0</v>
      </c>
      <c r="Q536" s="22" t="s">
        <v>43</v>
      </c>
      <c r="R536" s="23">
        <f t="shared" si="145"/>
        <v>0</v>
      </c>
      <c r="S536" s="23">
        <f t="shared" si="130"/>
        <v>0</v>
      </c>
    </row>
    <row r="537" spans="1:19" s="26" customFormat="1">
      <c r="A537" s="25" t="s">
        <v>508</v>
      </c>
      <c r="B537" s="26" t="s">
        <v>26</v>
      </c>
      <c r="C537" s="27">
        <v>32</v>
      </c>
      <c r="D537" s="28" t="s">
        <v>43</v>
      </c>
      <c r="E537" s="29"/>
      <c r="F537" s="30">
        <v>1</v>
      </c>
      <c r="G537" s="31" t="s">
        <v>21</v>
      </c>
      <c r="H537" s="30">
        <v>144</v>
      </c>
      <c r="I537" s="31" t="s">
        <v>43</v>
      </c>
      <c r="J537" s="32">
        <f>2764800/144</f>
        <v>19200</v>
      </c>
      <c r="K537" s="28" t="s">
        <v>43</v>
      </c>
      <c r="L537" s="33"/>
      <c r="M537" s="33">
        <v>0.17</v>
      </c>
      <c r="N537" s="27"/>
      <c r="O537" s="31" t="s">
        <v>43</v>
      </c>
      <c r="P537" s="27">
        <f t="shared" si="144"/>
        <v>32</v>
      </c>
      <c r="Q537" s="31" t="s">
        <v>43</v>
      </c>
      <c r="R537" s="32">
        <f t="shared" si="145"/>
        <v>509952</v>
      </c>
      <c r="S537" s="32">
        <f t="shared" si="130"/>
        <v>459416.21621621615</v>
      </c>
    </row>
    <row r="538" spans="1:19" s="17" customFormat="1">
      <c r="A538" s="16" t="s">
        <v>509</v>
      </c>
      <c r="B538" s="17" t="s">
        <v>26</v>
      </c>
      <c r="C538" s="18"/>
      <c r="D538" s="19" t="s">
        <v>43</v>
      </c>
      <c r="E538" s="20"/>
      <c r="F538" s="21">
        <v>1</v>
      </c>
      <c r="G538" s="22" t="s">
        <v>21</v>
      </c>
      <c r="H538" s="21">
        <v>144</v>
      </c>
      <c r="I538" s="22" t="s">
        <v>43</v>
      </c>
      <c r="J538" s="23">
        <f>3369600/144</f>
        <v>23400</v>
      </c>
      <c r="K538" s="19" t="s">
        <v>43</v>
      </c>
      <c r="L538" s="24"/>
      <c r="M538" s="24">
        <v>0.17</v>
      </c>
      <c r="N538" s="18"/>
      <c r="O538" s="22" t="s">
        <v>43</v>
      </c>
      <c r="P538" s="18">
        <f t="shared" si="144"/>
        <v>0</v>
      </c>
      <c r="Q538" s="22" t="s">
        <v>43</v>
      </c>
      <c r="R538" s="23">
        <f t="shared" si="145"/>
        <v>0</v>
      </c>
      <c r="S538" s="23">
        <f t="shared" si="130"/>
        <v>0</v>
      </c>
    </row>
    <row r="539" spans="1:19" s="17" customFormat="1">
      <c r="A539" s="16" t="s">
        <v>510</v>
      </c>
      <c r="B539" s="17" t="s">
        <v>275</v>
      </c>
      <c r="C539" s="18"/>
      <c r="D539" s="19" t="s">
        <v>43</v>
      </c>
      <c r="E539" s="20"/>
      <c r="F539" s="21">
        <v>1</v>
      </c>
      <c r="G539" s="22" t="s">
        <v>21</v>
      </c>
      <c r="H539" s="21">
        <v>144</v>
      </c>
      <c r="I539" s="22" t="s">
        <v>43</v>
      </c>
      <c r="J539" s="23">
        <v>12500</v>
      </c>
      <c r="K539" s="19" t="s">
        <v>43</v>
      </c>
      <c r="L539" s="24"/>
      <c r="M539" s="24"/>
      <c r="N539" s="18"/>
      <c r="O539" s="22" t="s">
        <v>43</v>
      </c>
      <c r="P539" s="18">
        <f t="shared" si="144"/>
        <v>0</v>
      </c>
      <c r="Q539" s="22" t="s">
        <v>43</v>
      </c>
      <c r="R539" s="23">
        <f t="shared" si="145"/>
        <v>0</v>
      </c>
      <c r="S539" s="23">
        <f>R539/1.11</f>
        <v>0</v>
      </c>
    </row>
    <row r="540" spans="1:19" s="17" customFormat="1">
      <c r="A540" s="16" t="s">
        <v>511</v>
      </c>
      <c r="B540" s="17" t="s">
        <v>275</v>
      </c>
      <c r="C540" s="18"/>
      <c r="D540" s="19" t="s">
        <v>43</v>
      </c>
      <c r="E540" s="20"/>
      <c r="F540" s="21">
        <v>1</v>
      </c>
      <c r="G540" s="22" t="s">
        <v>21</v>
      </c>
      <c r="H540" s="21">
        <v>144</v>
      </c>
      <c r="I540" s="22" t="s">
        <v>43</v>
      </c>
      <c r="J540" s="23">
        <v>12500</v>
      </c>
      <c r="K540" s="19" t="s">
        <v>43</v>
      </c>
      <c r="L540" s="24"/>
      <c r="M540" s="24"/>
      <c r="N540" s="18"/>
      <c r="O540" s="22" t="s">
        <v>43</v>
      </c>
      <c r="P540" s="18">
        <f t="shared" si="144"/>
        <v>0</v>
      </c>
      <c r="Q540" s="22" t="s">
        <v>43</v>
      </c>
      <c r="R540" s="23">
        <f t="shared" si="145"/>
        <v>0</v>
      </c>
      <c r="S540" s="23">
        <f>R540/1.11</f>
        <v>0</v>
      </c>
    </row>
    <row r="541" spans="1:19" s="26" customFormat="1">
      <c r="A541" s="25" t="s">
        <v>512</v>
      </c>
      <c r="B541" s="26" t="s">
        <v>275</v>
      </c>
      <c r="C541" s="27">
        <v>96</v>
      </c>
      <c r="D541" s="28" t="s">
        <v>43</v>
      </c>
      <c r="E541" s="29"/>
      <c r="F541" s="30">
        <v>1</v>
      </c>
      <c r="G541" s="31" t="s">
        <v>21</v>
      </c>
      <c r="H541" s="30">
        <v>96</v>
      </c>
      <c r="I541" s="31" t="s">
        <v>43</v>
      </c>
      <c r="J541" s="32">
        <v>27500</v>
      </c>
      <c r="K541" s="28" t="s">
        <v>43</v>
      </c>
      <c r="L541" s="33"/>
      <c r="M541" s="33"/>
      <c r="N541" s="27"/>
      <c r="O541" s="31" t="s">
        <v>43</v>
      </c>
      <c r="P541" s="27">
        <f t="shared" si="144"/>
        <v>96</v>
      </c>
      <c r="Q541" s="31" t="s">
        <v>43</v>
      </c>
      <c r="R541" s="32">
        <f t="shared" si="145"/>
        <v>2640000</v>
      </c>
      <c r="S541" s="32">
        <f>R541/1.11</f>
        <v>2378378.3783783782</v>
      </c>
    </row>
    <row r="542" spans="1:19">
      <c r="A542" s="15" t="s">
        <v>741</v>
      </c>
      <c r="S542" s="23"/>
    </row>
    <row r="543" spans="1:19" s="26" customFormat="1">
      <c r="A543" s="138" t="s">
        <v>742</v>
      </c>
      <c r="B543" s="26" t="s">
        <v>19</v>
      </c>
      <c r="C543" s="27"/>
      <c r="D543" s="28" t="s">
        <v>88</v>
      </c>
      <c r="E543" s="29">
        <f>2+1</f>
        <v>3</v>
      </c>
      <c r="F543" s="30">
        <v>1</v>
      </c>
      <c r="G543" s="31" t="s">
        <v>21</v>
      </c>
      <c r="H543" s="30">
        <v>12</v>
      </c>
      <c r="I543" s="31" t="s">
        <v>88</v>
      </c>
      <c r="J543" s="32">
        <v>165600</v>
      </c>
      <c r="K543" s="28" t="s">
        <v>88</v>
      </c>
      <c r="L543" s="33">
        <v>0.125</v>
      </c>
      <c r="M543" s="33">
        <v>0.05</v>
      </c>
      <c r="N543" s="27">
        <v>24</v>
      </c>
      <c r="O543" s="31" t="s">
        <v>88</v>
      </c>
      <c r="P543" s="27">
        <f t="shared" ref="P543:P550" si="146">(C543+(E543*F543*H543))-N543</f>
        <v>12</v>
      </c>
      <c r="Q543" s="31" t="s">
        <v>88</v>
      </c>
      <c r="R543" s="32">
        <f t="shared" ref="R543:R550" si="147">P543*(J543-(J543*L543)-((J543-(J543*L543))*M543))</f>
        <v>1651860</v>
      </c>
      <c r="S543" s="32">
        <f t="shared" si="130"/>
        <v>1488162.1621621621</v>
      </c>
    </row>
    <row r="544" spans="1:19" s="17" customFormat="1">
      <c r="A544" s="137" t="s">
        <v>743</v>
      </c>
      <c r="B544" s="17" t="s">
        <v>19</v>
      </c>
      <c r="C544" s="18">
        <v>12</v>
      </c>
      <c r="D544" s="19" t="s">
        <v>88</v>
      </c>
      <c r="E544" s="20"/>
      <c r="F544" s="21">
        <v>12</v>
      </c>
      <c r="G544" s="22" t="s">
        <v>34</v>
      </c>
      <c r="H544" s="21">
        <v>1</v>
      </c>
      <c r="I544" s="22" t="s">
        <v>88</v>
      </c>
      <c r="J544" s="23">
        <v>183600</v>
      </c>
      <c r="K544" s="19" t="s">
        <v>88</v>
      </c>
      <c r="L544" s="24">
        <v>0.125</v>
      </c>
      <c r="M544" s="24">
        <v>0.05</v>
      </c>
      <c r="N544" s="18">
        <v>12</v>
      </c>
      <c r="O544" s="22" t="s">
        <v>88</v>
      </c>
      <c r="P544" s="18">
        <f t="shared" si="146"/>
        <v>0</v>
      </c>
      <c r="Q544" s="22" t="s">
        <v>88</v>
      </c>
      <c r="R544" s="23">
        <f t="shared" si="147"/>
        <v>0</v>
      </c>
      <c r="S544" s="23">
        <f t="shared" si="130"/>
        <v>0</v>
      </c>
    </row>
    <row r="545" spans="1:19" s="17" customFormat="1">
      <c r="A545" s="137" t="s">
        <v>744</v>
      </c>
      <c r="B545" s="17" t="s">
        <v>19</v>
      </c>
      <c r="C545" s="18">
        <f>144+6</f>
        <v>150</v>
      </c>
      <c r="D545" s="19" t="s">
        <v>43</v>
      </c>
      <c r="E545" s="20"/>
      <c r="F545" s="21">
        <v>12</v>
      </c>
      <c r="G545" s="22" t="s">
        <v>88</v>
      </c>
      <c r="H545" s="21">
        <v>12</v>
      </c>
      <c r="I545" s="22" t="s">
        <v>43</v>
      </c>
      <c r="J545" s="23">
        <v>17100</v>
      </c>
      <c r="K545" s="19" t="s">
        <v>43</v>
      </c>
      <c r="L545" s="24">
        <v>0.125</v>
      </c>
      <c r="M545" s="24">
        <v>0.05</v>
      </c>
      <c r="N545" s="18">
        <f>144+6</f>
        <v>150</v>
      </c>
      <c r="O545" s="22" t="s">
        <v>43</v>
      </c>
      <c r="P545" s="18">
        <f t="shared" si="146"/>
        <v>0</v>
      </c>
      <c r="Q545" s="22" t="s">
        <v>43</v>
      </c>
      <c r="R545" s="23">
        <f t="shared" si="147"/>
        <v>0</v>
      </c>
      <c r="S545" s="23">
        <f t="shared" si="130"/>
        <v>0</v>
      </c>
    </row>
    <row r="546" spans="1:19" s="17" customFormat="1">
      <c r="A546" s="137" t="s">
        <v>745</v>
      </c>
      <c r="B546" s="17" t="s">
        <v>19</v>
      </c>
      <c r="C546" s="18"/>
      <c r="D546" s="19" t="s">
        <v>43</v>
      </c>
      <c r="E546" s="20"/>
      <c r="F546" s="21">
        <v>12</v>
      </c>
      <c r="G546" s="22" t="s">
        <v>88</v>
      </c>
      <c r="H546" s="21">
        <v>6</v>
      </c>
      <c r="I546" s="22" t="s">
        <v>43</v>
      </c>
      <c r="J546" s="23">
        <v>34500</v>
      </c>
      <c r="K546" s="19" t="s">
        <v>43</v>
      </c>
      <c r="L546" s="24">
        <v>0.125</v>
      </c>
      <c r="M546" s="24">
        <v>0.05</v>
      </c>
      <c r="N546" s="18"/>
      <c r="O546" s="22" t="s">
        <v>43</v>
      </c>
      <c r="P546" s="18">
        <f t="shared" si="146"/>
        <v>0</v>
      </c>
      <c r="Q546" s="22" t="s">
        <v>43</v>
      </c>
      <c r="R546" s="23">
        <f t="shared" si="147"/>
        <v>0</v>
      </c>
      <c r="S546" s="23">
        <f t="shared" si="130"/>
        <v>0</v>
      </c>
    </row>
    <row r="547" spans="1:19" s="17" customFormat="1">
      <c r="A547" s="137" t="s">
        <v>746</v>
      </c>
      <c r="B547" s="17" t="s">
        <v>19</v>
      </c>
      <c r="C547" s="18"/>
      <c r="D547" s="19" t="s">
        <v>88</v>
      </c>
      <c r="E547" s="20"/>
      <c r="F547" s="21">
        <v>1</v>
      </c>
      <c r="G547" s="22" t="s">
        <v>21</v>
      </c>
      <c r="H547" s="21">
        <v>12</v>
      </c>
      <c r="I547" s="22" t="s">
        <v>88</v>
      </c>
      <c r="J547" s="23">
        <v>183600</v>
      </c>
      <c r="K547" s="19" t="s">
        <v>88</v>
      </c>
      <c r="L547" s="24">
        <v>0.125</v>
      </c>
      <c r="M547" s="24">
        <v>0.05</v>
      </c>
      <c r="N547" s="18"/>
      <c r="O547" s="22" t="s">
        <v>88</v>
      </c>
      <c r="P547" s="18">
        <f t="shared" si="146"/>
        <v>0</v>
      </c>
      <c r="Q547" s="22" t="s">
        <v>88</v>
      </c>
      <c r="R547" s="23">
        <f t="shared" si="147"/>
        <v>0</v>
      </c>
      <c r="S547" s="23">
        <f t="shared" si="130"/>
        <v>0</v>
      </c>
    </row>
    <row r="548" spans="1:19" s="17" customFormat="1">
      <c r="A548" s="137" t="s">
        <v>747</v>
      </c>
      <c r="B548" s="17" t="s">
        <v>26</v>
      </c>
      <c r="C548" s="18"/>
      <c r="D548" s="19" t="s">
        <v>43</v>
      </c>
      <c r="E548" s="20"/>
      <c r="F548" s="21">
        <v>18</v>
      </c>
      <c r="G548" s="22" t="s">
        <v>88</v>
      </c>
      <c r="H548" s="21">
        <v>12</v>
      </c>
      <c r="I548" s="22" t="s">
        <v>43</v>
      </c>
      <c r="J548" s="23">
        <f>2656800/18/12</f>
        <v>12300</v>
      </c>
      <c r="K548" s="19" t="s">
        <v>43</v>
      </c>
      <c r="L548" s="24"/>
      <c r="M548" s="24">
        <v>0.17</v>
      </c>
      <c r="N548" s="18"/>
      <c r="O548" s="22" t="s">
        <v>43</v>
      </c>
      <c r="P548" s="18">
        <f t="shared" si="146"/>
        <v>0</v>
      </c>
      <c r="Q548" s="22" t="s">
        <v>43</v>
      </c>
      <c r="R548" s="23">
        <f t="shared" si="147"/>
        <v>0</v>
      </c>
      <c r="S548" s="23">
        <f t="shared" si="130"/>
        <v>0</v>
      </c>
    </row>
    <row r="549" spans="1:19" s="17" customFormat="1">
      <c r="A549" s="16" t="s">
        <v>748</v>
      </c>
      <c r="B549" s="17" t="s">
        <v>26</v>
      </c>
      <c r="C549" s="18"/>
      <c r="D549" s="19" t="s">
        <v>43</v>
      </c>
      <c r="E549" s="20"/>
      <c r="F549" s="21">
        <v>12</v>
      </c>
      <c r="G549" s="22" t="s">
        <v>88</v>
      </c>
      <c r="H549" s="21">
        <v>12</v>
      </c>
      <c r="I549" s="22" t="s">
        <v>43</v>
      </c>
      <c r="J549" s="23">
        <v>14400</v>
      </c>
      <c r="K549" s="19" t="s">
        <v>43</v>
      </c>
      <c r="L549" s="24"/>
      <c r="M549" s="24">
        <v>0.17</v>
      </c>
      <c r="N549" s="18"/>
      <c r="O549" s="22" t="s">
        <v>43</v>
      </c>
      <c r="P549" s="18">
        <f t="shared" si="146"/>
        <v>0</v>
      </c>
      <c r="Q549" s="22" t="s">
        <v>43</v>
      </c>
      <c r="R549" s="23">
        <f t="shared" si="147"/>
        <v>0</v>
      </c>
      <c r="S549" s="23">
        <f t="shared" si="130"/>
        <v>0</v>
      </c>
    </row>
    <row r="550" spans="1:19" s="17" customFormat="1">
      <c r="A550" s="16" t="s">
        <v>749</v>
      </c>
      <c r="B550" s="17" t="s">
        <v>26</v>
      </c>
      <c r="C550" s="18">
        <v>53</v>
      </c>
      <c r="D550" s="19" t="s">
        <v>43</v>
      </c>
      <c r="E550" s="20"/>
      <c r="F550" s="21">
        <v>12</v>
      </c>
      <c r="G550" s="22" t="s">
        <v>88</v>
      </c>
      <c r="H550" s="21">
        <v>12</v>
      </c>
      <c r="I550" s="22" t="s">
        <v>43</v>
      </c>
      <c r="J550" s="23">
        <v>16800</v>
      </c>
      <c r="K550" s="19" t="s">
        <v>43</v>
      </c>
      <c r="L550" s="24"/>
      <c r="M550" s="24">
        <v>0.17</v>
      </c>
      <c r="N550" s="18">
        <f>24+29</f>
        <v>53</v>
      </c>
      <c r="O550" s="22" t="s">
        <v>43</v>
      </c>
      <c r="P550" s="18">
        <f t="shared" si="146"/>
        <v>0</v>
      </c>
      <c r="Q550" s="22" t="s">
        <v>43</v>
      </c>
      <c r="R550" s="23">
        <f t="shared" si="147"/>
        <v>0</v>
      </c>
      <c r="S550" s="23">
        <f t="shared" si="130"/>
        <v>0</v>
      </c>
    </row>
    <row r="551" spans="1:19">
      <c r="A551" s="15" t="s">
        <v>522</v>
      </c>
      <c r="S551" s="23"/>
    </row>
    <row r="552" spans="1:19" s="45" customFormat="1">
      <c r="A552" s="44" t="s">
        <v>523</v>
      </c>
      <c r="B552" s="45" t="s">
        <v>19</v>
      </c>
      <c r="C552" s="46">
        <v>792</v>
      </c>
      <c r="D552" s="47" t="s">
        <v>162</v>
      </c>
      <c r="E552" s="48">
        <f>1+1</f>
        <v>2</v>
      </c>
      <c r="F552" s="49">
        <v>12</v>
      </c>
      <c r="G552" s="50" t="s">
        <v>34</v>
      </c>
      <c r="H552" s="49">
        <v>24</v>
      </c>
      <c r="I552" s="50" t="s">
        <v>162</v>
      </c>
      <c r="J552" s="51">
        <v>6550</v>
      </c>
      <c r="K552" s="47" t="s">
        <v>162</v>
      </c>
      <c r="L552" s="52">
        <v>0.125</v>
      </c>
      <c r="M552" s="52">
        <v>0.05</v>
      </c>
      <c r="N552" s="46">
        <f>288+(2*12)+(2*12)+288</f>
        <v>624</v>
      </c>
      <c r="O552" s="50" t="s">
        <v>162</v>
      </c>
      <c r="P552" s="46">
        <f t="shared" ref="P552:P576" si="148">(C552+(E552*F552*H552))-N552</f>
        <v>744</v>
      </c>
      <c r="Q552" s="50" t="s">
        <v>162</v>
      </c>
      <c r="R552" s="51">
        <f t="shared" ref="R552:R576" si="149">P552*(J552-(J552*L552)-((J552-(J552*L552))*M552))</f>
        <v>4050847.5</v>
      </c>
      <c r="S552" s="51">
        <f t="shared" si="130"/>
        <v>3649412.1621621619</v>
      </c>
    </row>
    <row r="553" spans="1:19" s="63" customFormat="1">
      <c r="A553" s="72" t="s">
        <v>524</v>
      </c>
      <c r="B553" s="63" t="s">
        <v>19</v>
      </c>
      <c r="C553" s="64"/>
      <c r="D553" s="65" t="s">
        <v>162</v>
      </c>
      <c r="E553" s="66"/>
      <c r="F553" s="67">
        <v>12</v>
      </c>
      <c r="G553" s="68" t="s">
        <v>34</v>
      </c>
      <c r="H553" s="67">
        <v>12</v>
      </c>
      <c r="I553" s="68" t="s">
        <v>162</v>
      </c>
      <c r="J553" s="69">
        <v>11300</v>
      </c>
      <c r="K553" s="65" t="s">
        <v>162</v>
      </c>
      <c r="L553" s="70">
        <v>0.125</v>
      </c>
      <c r="M553" s="70">
        <v>0.05</v>
      </c>
      <c r="N553" s="64"/>
      <c r="O553" s="68" t="s">
        <v>162</v>
      </c>
      <c r="P553" s="64">
        <f t="shared" si="148"/>
        <v>0</v>
      </c>
      <c r="Q553" s="68" t="s">
        <v>162</v>
      </c>
      <c r="R553" s="69">
        <f t="shared" si="149"/>
        <v>0</v>
      </c>
      <c r="S553" s="23">
        <f t="shared" si="130"/>
        <v>0</v>
      </c>
    </row>
    <row r="554" spans="1:19" s="45" customFormat="1">
      <c r="A554" s="44" t="s">
        <v>525</v>
      </c>
      <c r="B554" s="45" t="s">
        <v>19</v>
      </c>
      <c r="C554" s="46">
        <v>1812</v>
      </c>
      <c r="D554" s="47" t="s">
        <v>162</v>
      </c>
      <c r="E554" s="48"/>
      <c r="F554" s="49">
        <v>12</v>
      </c>
      <c r="G554" s="50" t="s">
        <v>34</v>
      </c>
      <c r="H554" s="49">
        <v>12</v>
      </c>
      <c r="I554" s="50" t="s">
        <v>162</v>
      </c>
      <c r="J554" s="51">
        <v>10350</v>
      </c>
      <c r="K554" s="47" t="s">
        <v>162</v>
      </c>
      <c r="L554" s="52">
        <v>0.125</v>
      </c>
      <c r="M554" s="52">
        <v>0.05</v>
      </c>
      <c r="N554" s="46">
        <f>288+(10*12)+(5*12)+(2*12)+(24*12)+(12*12)+(12*12)+288+(4*12)</f>
        <v>1404</v>
      </c>
      <c r="O554" s="50" t="s">
        <v>162</v>
      </c>
      <c r="P554" s="46">
        <f t="shared" si="148"/>
        <v>408</v>
      </c>
      <c r="Q554" s="50" t="s">
        <v>162</v>
      </c>
      <c r="R554" s="51">
        <f t="shared" si="149"/>
        <v>3510202.5</v>
      </c>
      <c r="S554" s="51">
        <f t="shared" si="130"/>
        <v>3162344.5945945941</v>
      </c>
    </row>
    <row r="555" spans="1:19" s="63" customFormat="1">
      <c r="A555" s="72" t="s">
        <v>526</v>
      </c>
      <c r="B555" s="63" t="s">
        <v>19</v>
      </c>
      <c r="C555" s="64"/>
      <c r="D555" s="65" t="s">
        <v>162</v>
      </c>
      <c r="E555" s="66"/>
      <c r="F555" s="67">
        <v>12</v>
      </c>
      <c r="G555" s="68" t="s">
        <v>34</v>
      </c>
      <c r="H555" s="67">
        <v>6</v>
      </c>
      <c r="I555" s="68" t="s">
        <v>162</v>
      </c>
      <c r="J555" s="69">
        <v>20700</v>
      </c>
      <c r="K555" s="65" t="s">
        <v>162</v>
      </c>
      <c r="L555" s="70">
        <v>0.125</v>
      </c>
      <c r="M555" s="70">
        <v>0.05</v>
      </c>
      <c r="N555" s="64"/>
      <c r="O555" s="68" t="s">
        <v>162</v>
      </c>
      <c r="P555" s="64">
        <f t="shared" si="148"/>
        <v>0</v>
      </c>
      <c r="Q555" s="68" t="s">
        <v>162</v>
      </c>
      <c r="R555" s="69">
        <f t="shared" si="149"/>
        <v>0</v>
      </c>
      <c r="S555" s="23">
        <f t="shared" si="130"/>
        <v>0</v>
      </c>
    </row>
    <row r="556" spans="1:19" s="45" customFormat="1">
      <c r="A556" s="44" t="s">
        <v>527</v>
      </c>
      <c r="B556" s="45" t="s">
        <v>19</v>
      </c>
      <c r="C556" s="46">
        <v>12</v>
      </c>
      <c r="D556" s="47" t="s">
        <v>162</v>
      </c>
      <c r="E556" s="48"/>
      <c r="F556" s="49">
        <v>8</v>
      </c>
      <c r="G556" s="50" t="s">
        <v>34</v>
      </c>
      <c r="H556" s="49">
        <v>6</v>
      </c>
      <c r="I556" s="50" t="s">
        <v>162</v>
      </c>
      <c r="J556" s="51">
        <v>34500</v>
      </c>
      <c r="K556" s="47" t="s">
        <v>162</v>
      </c>
      <c r="L556" s="52">
        <v>0.125</v>
      </c>
      <c r="M556" s="52">
        <v>0.05</v>
      </c>
      <c r="N556" s="46"/>
      <c r="O556" s="50" t="s">
        <v>162</v>
      </c>
      <c r="P556" s="46">
        <f t="shared" si="148"/>
        <v>12</v>
      </c>
      <c r="Q556" s="50" t="s">
        <v>162</v>
      </c>
      <c r="R556" s="51">
        <f t="shared" si="149"/>
        <v>344137.5</v>
      </c>
      <c r="S556" s="32">
        <f t="shared" si="130"/>
        <v>310033.78378378373</v>
      </c>
    </row>
    <row r="557" spans="1:19" s="26" customFormat="1">
      <c r="A557" s="25" t="s">
        <v>528</v>
      </c>
      <c r="B557" s="26" t="s">
        <v>19</v>
      </c>
      <c r="C557" s="27"/>
      <c r="D557" s="28" t="s">
        <v>162</v>
      </c>
      <c r="E557" s="29">
        <f>2+3+3+2+7+2</f>
        <v>19</v>
      </c>
      <c r="F557" s="30">
        <v>12</v>
      </c>
      <c r="G557" s="31" t="s">
        <v>34</v>
      </c>
      <c r="H557" s="30">
        <v>12</v>
      </c>
      <c r="I557" s="31" t="s">
        <v>162</v>
      </c>
      <c r="J557" s="32">
        <v>9500</v>
      </c>
      <c r="K557" s="28" t="s">
        <v>162</v>
      </c>
      <c r="L557" s="33">
        <v>0.125</v>
      </c>
      <c r="M557" s="33">
        <v>0.05</v>
      </c>
      <c r="N557" s="27">
        <f>144+576+432+288</f>
        <v>1440</v>
      </c>
      <c r="O557" s="31" t="s">
        <v>162</v>
      </c>
      <c r="P557" s="27">
        <f t="shared" si="148"/>
        <v>1296</v>
      </c>
      <c r="Q557" s="31" t="s">
        <v>162</v>
      </c>
      <c r="R557" s="32">
        <f t="shared" si="149"/>
        <v>10234350</v>
      </c>
      <c r="S557" s="32">
        <f t="shared" si="130"/>
        <v>9220135.1351351347</v>
      </c>
    </row>
    <row r="558" spans="1:19" s="17" customFormat="1">
      <c r="A558" s="16" t="s">
        <v>529</v>
      </c>
      <c r="B558" s="17" t="s">
        <v>19</v>
      </c>
      <c r="C558" s="18"/>
      <c r="D558" s="19" t="s">
        <v>162</v>
      </c>
      <c r="E558" s="20">
        <f>1+2+2</f>
        <v>5</v>
      </c>
      <c r="F558" s="21">
        <v>12</v>
      </c>
      <c r="G558" s="22" t="s">
        <v>34</v>
      </c>
      <c r="H558" s="21">
        <v>6</v>
      </c>
      <c r="I558" s="22" t="s">
        <v>162</v>
      </c>
      <c r="J558" s="23">
        <v>19000</v>
      </c>
      <c r="K558" s="19" t="s">
        <v>162</v>
      </c>
      <c r="L558" s="24">
        <v>0.125</v>
      </c>
      <c r="M558" s="24">
        <v>0.05</v>
      </c>
      <c r="N558" s="18">
        <f>144+72+72+72</f>
        <v>360</v>
      </c>
      <c r="O558" s="22" t="s">
        <v>162</v>
      </c>
      <c r="P558" s="18">
        <f t="shared" si="148"/>
        <v>0</v>
      </c>
      <c r="Q558" s="22" t="s">
        <v>162</v>
      </c>
      <c r="R558" s="23">
        <f t="shared" si="149"/>
        <v>0</v>
      </c>
      <c r="S558" s="23">
        <f t="shared" ref="S558:S624" si="150">R558/1.11</f>
        <v>0</v>
      </c>
    </row>
    <row r="559" spans="1:19" s="17" customFormat="1">
      <c r="A559" s="16" t="s">
        <v>530</v>
      </c>
      <c r="B559" s="17" t="s">
        <v>19</v>
      </c>
      <c r="C559" s="18">
        <f>1320+180</f>
        <v>1500</v>
      </c>
      <c r="D559" s="19" t="s">
        <v>162</v>
      </c>
      <c r="E559" s="20"/>
      <c r="F559" s="21">
        <v>12</v>
      </c>
      <c r="G559" s="22" t="s">
        <v>34</v>
      </c>
      <c r="H559" s="21">
        <v>24</v>
      </c>
      <c r="I559" s="22" t="s">
        <v>162</v>
      </c>
      <c r="J559" s="23">
        <v>5600</v>
      </c>
      <c r="K559" s="19" t="s">
        <v>162</v>
      </c>
      <c r="L559" s="24">
        <v>0.125</v>
      </c>
      <c r="M559" s="24">
        <v>0.05</v>
      </c>
      <c r="N559" s="18">
        <f>(10*12)+(5*12)+(1*12)+(85*12)+288</f>
        <v>1500</v>
      </c>
      <c r="O559" s="22" t="s">
        <v>162</v>
      </c>
      <c r="P559" s="18">
        <f t="shared" si="148"/>
        <v>0</v>
      </c>
      <c r="Q559" s="22" t="s">
        <v>162</v>
      </c>
      <c r="R559" s="23">
        <f t="shared" si="149"/>
        <v>0</v>
      </c>
      <c r="S559" s="23">
        <f t="shared" si="150"/>
        <v>0</v>
      </c>
    </row>
    <row r="560" spans="1:19" s="63" customFormat="1">
      <c r="A560" s="72" t="s">
        <v>531</v>
      </c>
      <c r="B560" s="63" t="s">
        <v>19</v>
      </c>
      <c r="C560" s="64"/>
      <c r="D560" s="65" t="s">
        <v>162</v>
      </c>
      <c r="E560" s="66">
        <v>2</v>
      </c>
      <c r="F560" s="67">
        <v>12</v>
      </c>
      <c r="G560" s="68" t="s">
        <v>34</v>
      </c>
      <c r="H560" s="67">
        <v>12</v>
      </c>
      <c r="I560" s="68" t="s">
        <v>162</v>
      </c>
      <c r="J560" s="69">
        <v>8400</v>
      </c>
      <c r="K560" s="65" t="s">
        <v>162</v>
      </c>
      <c r="L560" s="70">
        <v>0.125</v>
      </c>
      <c r="M560" s="70">
        <v>0.05</v>
      </c>
      <c r="N560" s="64">
        <v>288</v>
      </c>
      <c r="O560" s="68" t="s">
        <v>162</v>
      </c>
      <c r="P560" s="64">
        <f t="shared" si="148"/>
        <v>0</v>
      </c>
      <c r="Q560" s="68" t="s">
        <v>162</v>
      </c>
      <c r="R560" s="69">
        <f t="shared" si="149"/>
        <v>0</v>
      </c>
      <c r="S560" s="23">
        <f t="shared" si="150"/>
        <v>0</v>
      </c>
    </row>
    <row r="561" spans="1:19" s="63" customFormat="1">
      <c r="A561" s="72" t="s">
        <v>532</v>
      </c>
      <c r="B561" s="63" t="s">
        <v>19</v>
      </c>
      <c r="C561" s="64"/>
      <c r="D561" s="65" t="s">
        <v>162</v>
      </c>
      <c r="E561" s="66"/>
      <c r="F561" s="67">
        <v>12</v>
      </c>
      <c r="G561" s="68" t="s">
        <v>34</v>
      </c>
      <c r="H561" s="67">
        <v>6</v>
      </c>
      <c r="I561" s="68" t="s">
        <v>162</v>
      </c>
      <c r="J561" s="69">
        <v>16800</v>
      </c>
      <c r="K561" s="65" t="s">
        <v>162</v>
      </c>
      <c r="L561" s="70">
        <v>0.125</v>
      </c>
      <c r="M561" s="70">
        <v>0.05</v>
      </c>
      <c r="N561" s="64"/>
      <c r="O561" s="68" t="s">
        <v>162</v>
      </c>
      <c r="P561" s="64">
        <f t="shared" si="148"/>
        <v>0</v>
      </c>
      <c r="Q561" s="68" t="s">
        <v>162</v>
      </c>
      <c r="R561" s="69">
        <f t="shared" si="149"/>
        <v>0</v>
      </c>
      <c r="S561" s="23">
        <f t="shared" si="150"/>
        <v>0</v>
      </c>
    </row>
    <row r="562" spans="1:19" s="45" customFormat="1">
      <c r="A562" s="44" t="s">
        <v>533</v>
      </c>
      <c r="B562" s="45" t="s">
        <v>19</v>
      </c>
      <c r="C562" s="46">
        <v>144</v>
      </c>
      <c r="D562" s="47" t="s">
        <v>162</v>
      </c>
      <c r="E562" s="48"/>
      <c r="F562" s="49">
        <v>12</v>
      </c>
      <c r="G562" s="50" t="s">
        <v>34</v>
      </c>
      <c r="H562" s="49">
        <v>12</v>
      </c>
      <c r="I562" s="50" t="s">
        <v>162</v>
      </c>
      <c r="J562" s="51">
        <v>11000</v>
      </c>
      <c r="K562" s="47" t="s">
        <v>162</v>
      </c>
      <c r="L562" s="52">
        <v>0.125</v>
      </c>
      <c r="M562" s="52">
        <v>0.05</v>
      </c>
      <c r="N562" s="46"/>
      <c r="O562" s="50" t="s">
        <v>162</v>
      </c>
      <c r="P562" s="46">
        <f t="shared" si="148"/>
        <v>144</v>
      </c>
      <c r="Q562" s="50" t="s">
        <v>162</v>
      </c>
      <c r="R562" s="51">
        <f t="shared" si="149"/>
        <v>1316700</v>
      </c>
      <c r="S562" s="32">
        <f t="shared" si="150"/>
        <v>1186216.2162162161</v>
      </c>
    </row>
    <row r="563" spans="1:19" s="63" customFormat="1">
      <c r="A563" s="72" t="s">
        <v>534</v>
      </c>
      <c r="B563" s="63" t="s">
        <v>19</v>
      </c>
      <c r="C563" s="64">
        <v>288</v>
      </c>
      <c r="D563" s="65" t="s">
        <v>162</v>
      </c>
      <c r="E563" s="66">
        <v>1</v>
      </c>
      <c r="F563" s="67">
        <v>12</v>
      </c>
      <c r="G563" s="68" t="s">
        <v>34</v>
      </c>
      <c r="H563" s="67">
        <v>24</v>
      </c>
      <c r="I563" s="68" t="s">
        <v>162</v>
      </c>
      <c r="J563" s="69">
        <v>5400</v>
      </c>
      <c r="K563" s="65" t="s">
        <v>162</v>
      </c>
      <c r="L563" s="70">
        <v>0.125</v>
      </c>
      <c r="M563" s="70">
        <v>0.05</v>
      </c>
      <c r="N563" s="64">
        <v>576</v>
      </c>
      <c r="O563" s="68" t="s">
        <v>162</v>
      </c>
      <c r="P563" s="64">
        <f t="shared" si="148"/>
        <v>0</v>
      </c>
      <c r="Q563" s="68" t="s">
        <v>162</v>
      </c>
      <c r="R563" s="69">
        <f t="shared" si="149"/>
        <v>0</v>
      </c>
      <c r="S563" s="23">
        <f t="shared" si="150"/>
        <v>0</v>
      </c>
    </row>
    <row r="564" spans="1:19" s="63" customFormat="1">
      <c r="A564" s="72" t="s">
        <v>535</v>
      </c>
      <c r="B564" s="63" t="s">
        <v>19</v>
      </c>
      <c r="C564" s="64"/>
      <c r="D564" s="65" t="s">
        <v>162</v>
      </c>
      <c r="E564" s="66"/>
      <c r="F564" s="67">
        <v>12</v>
      </c>
      <c r="G564" s="68" t="s">
        <v>34</v>
      </c>
      <c r="H564" s="67">
        <v>12</v>
      </c>
      <c r="I564" s="68" t="s">
        <v>162</v>
      </c>
      <c r="J564" s="69">
        <v>16900</v>
      </c>
      <c r="K564" s="65" t="s">
        <v>162</v>
      </c>
      <c r="L564" s="70">
        <v>0.125</v>
      </c>
      <c r="M564" s="70">
        <v>0.05</v>
      </c>
      <c r="N564" s="64"/>
      <c r="O564" s="68" t="s">
        <v>162</v>
      </c>
      <c r="P564" s="64">
        <f t="shared" si="148"/>
        <v>0</v>
      </c>
      <c r="Q564" s="68" t="s">
        <v>162</v>
      </c>
      <c r="R564" s="69">
        <f t="shared" si="149"/>
        <v>0</v>
      </c>
      <c r="S564" s="23">
        <f t="shared" si="150"/>
        <v>0</v>
      </c>
    </row>
    <row r="565" spans="1:19" s="63" customFormat="1">
      <c r="A565" s="72" t="s">
        <v>536</v>
      </c>
      <c r="B565" s="63" t="s">
        <v>19</v>
      </c>
      <c r="C565" s="64"/>
      <c r="D565" s="65" t="s">
        <v>162</v>
      </c>
      <c r="E565" s="66"/>
      <c r="F565" s="67">
        <v>12</v>
      </c>
      <c r="G565" s="68" t="s">
        <v>34</v>
      </c>
      <c r="H565" s="67">
        <v>6</v>
      </c>
      <c r="I565" s="68" t="s">
        <v>162</v>
      </c>
      <c r="J565" s="69">
        <v>33800</v>
      </c>
      <c r="K565" s="65" t="s">
        <v>162</v>
      </c>
      <c r="L565" s="70">
        <v>0.125</v>
      </c>
      <c r="M565" s="70">
        <v>0.05</v>
      </c>
      <c r="N565" s="64"/>
      <c r="O565" s="68" t="s">
        <v>162</v>
      </c>
      <c r="P565" s="64">
        <f t="shared" si="148"/>
        <v>0</v>
      </c>
      <c r="Q565" s="68" t="s">
        <v>162</v>
      </c>
      <c r="R565" s="69">
        <f t="shared" si="149"/>
        <v>0</v>
      </c>
      <c r="S565" s="23">
        <f t="shared" si="150"/>
        <v>0</v>
      </c>
    </row>
    <row r="566" spans="1:19" s="63" customFormat="1">
      <c r="A566" s="72" t="s">
        <v>537</v>
      </c>
      <c r="B566" s="63" t="s">
        <v>26</v>
      </c>
      <c r="C566" s="64">
        <f>8+48</f>
        <v>56</v>
      </c>
      <c r="D566" s="65" t="s">
        <v>43</v>
      </c>
      <c r="E566" s="66">
        <f>2+1+1</f>
        <v>4</v>
      </c>
      <c r="F566" s="67">
        <v>24</v>
      </c>
      <c r="G566" s="68" t="s">
        <v>34</v>
      </c>
      <c r="H566" s="67">
        <v>2</v>
      </c>
      <c r="I566" s="68" t="s">
        <v>43</v>
      </c>
      <c r="J566" s="69">
        <f>3801600/24/2</f>
        <v>79200</v>
      </c>
      <c r="K566" s="65" t="s">
        <v>43</v>
      </c>
      <c r="L566" s="70"/>
      <c r="M566" s="70">
        <v>0.17</v>
      </c>
      <c r="N566" s="64">
        <f>(1152/12)+6+(576/12)+(504/12)+8+(576/12)</f>
        <v>248</v>
      </c>
      <c r="O566" s="68" t="s">
        <v>43</v>
      </c>
      <c r="P566" s="64">
        <f t="shared" si="148"/>
        <v>0</v>
      </c>
      <c r="Q566" s="68" t="s">
        <v>43</v>
      </c>
      <c r="R566" s="69">
        <f t="shared" si="149"/>
        <v>0</v>
      </c>
      <c r="S566" s="69">
        <f t="shared" si="150"/>
        <v>0</v>
      </c>
    </row>
    <row r="567" spans="1:19" s="45" customFormat="1">
      <c r="A567" s="44" t="s">
        <v>538</v>
      </c>
      <c r="B567" s="45" t="s">
        <v>26</v>
      </c>
      <c r="C567" s="46">
        <v>90</v>
      </c>
      <c r="D567" s="47" t="s">
        <v>43</v>
      </c>
      <c r="E567" s="48">
        <f>3+1+2+3+1</f>
        <v>10</v>
      </c>
      <c r="F567" s="49">
        <v>1</v>
      </c>
      <c r="G567" s="50" t="s">
        <v>21</v>
      </c>
      <c r="H567" s="49">
        <v>24</v>
      </c>
      <c r="I567" s="50" t="s">
        <v>43</v>
      </c>
      <c r="J567" s="51">
        <f>2980800/24</f>
        <v>124200</v>
      </c>
      <c r="K567" s="47" t="s">
        <v>43</v>
      </c>
      <c r="L567" s="52"/>
      <c r="M567" s="52">
        <v>0.17</v>
      </c>
      <c r="N567" s="46">
        <f>5+(864/12)+72+(288/12)+(288/12)+1+1+4+3+6+8+24</f>
        <v>244</v>
      </c>
      <c r="O567" s="50" t="s">
        <v>43</v>
      </c>
      <c r="P567" s="46">
        <f t="shared" si="148"/>
        <v>86</v>
      </c>
      <c r="Q567" s="50" t="s">
        <v>43</v>
      </c>
      <c r="R567" s="51">
        <f t="shared" si="149"/>
        <v>8865396</v>
      </c>
      <c r="S567" s="51">
        <f t="shared" si="150"/>
        <v>7986843.2432432426</v>
      </c>
    </row>
    <row r="568" spans="1:19" s="17" customFormat="1">
      <c r="A568" s="16" t="s">
        <v>539</v>
      </c>
      <c r="B568" s="17" t="s">
        <v>26</v>
      </c>
      <c r="C568" s="18">
        <v>13</v>
      </c>
      <c r="D568" s="19" t="s">
        <v>43</v>
      </c>
      <c r="E568" s="20">
        <f>1+1</f>
        <v>2</v>
      </c>
      <c r="F568" s="21">
        <v>1</v>
      </c>
      <c r="G568" s="22" t="s">
        <v>21</v>
      </c>
      <c r="H568" s="21">
        <v>12</v>
      </c>
      <c r="I568" s="22" t="s">
        <v>43</v>
      </c>
      <c r="J568" s="23">
        <f>2980800/12</f>
        <v>248400</v>
      </c>
      <c r="K568" s="19" t="s">
        <v>43</v>
      </c>
      <c r="L568" s="24"/>
      <c r="M568" s="24">
        <v>0.17</v>
      </c>
      <c r="N568" s="18">
        <f>6+2+(144/12)+2+(144/12)+2+1</f>
        <v>37</v>
      </c>
      <c r="O568" s="22" t="s">
        <v>43</v>
      </c>
      <c r="P568" s="18">
        <f t="shared" si="148"/>
        <v>0</v>
      </c>
      <c r="Q568" s="22" t="s">
        <v>43</v>
      </c>
      <c r="R568" s="23">
        <f t="shared" si="149"/>
        <v>0</v>
      </c>
      <c r="S568" s="23">
        <f t="shared" si="150"/>
        <v>0</v>
      </c>
    </row>
    <row r="569" spans="1:19" s="26" customFormat="1">
      <c r="A569" s="25" t="s">
        <v>540</v>
      </c>
      <c r="B569" s="26" t="s">
        <v>26</v>
      </c>
      <c r="C569" s="27">
        <v>88</v>
      </c>
      <c r="D569" s="28" t="s">
        <v>43</v>
      </c>
      <c r="E569" s="29"/>
      <c r="F569" s="30">
        <v>1</v>
      </c>
      <c r="G569" s="31" t="s">
        <v>21</v>
      </c>
      <c r="H569" s="30">
        <v>24</v>
      </c>
      <c r="I569" s="31" t="s">
        <v>43</v>
      </c>
      <c r="J569" s="32">
        <f>2448000/24</f>
        <v>102000</v>
      </c>
      <c r="K569" s="28" t="s">
        <v>43</v>
      </c>
      <c r="L569" s="33"/>
      <c r="M569" s="33">
        <v>0.17</v>
      </c>
      <c r="N569" s="27"/>
      <c r="O569" s="31" t="s">
        <v>43</v>
      </c>
      <c r="P569" s="27">
        <f t="shared" si="148"/>
        <v>88</v>
      </c>
      <c r="Q569" s="31" t="s">
        <v>43</v>
      </c>
      <c r="R569" s="32">
        <f t="shared" si="149"/>
        <v>7450080</v>
      </c>
      <c r="S569" s="32">
        <f t="shared" si="150"/>
        <v>6711783.7837837832</v>
      </c>
    </row>
    <row r="570" spans="1:19" s="17" customFormat="1">
      <c r="A570" s="16" t="s">
        <v>541</v>
      </c>
      <c r="B570" s="17" t="s">
        <v>26</v>
      </c>
      <c r="C570" s="18"/>
      <c r="D570" s="19" t="s">
        <v>43</v>
      </c>
      <c r="E570" s="20"/>
      <c r="F570" s="21">
        <v>1</v>
      </c>
      <c r="G570" s="22" t="s">
        <v>21</v>
      </c>
      <c r="H570" s="21">
        <v>16</v>
      </c>
      <c r="I570" s="22" t="s">
        <v>43</v>
      </c>
      <c r="J570" s="23">
        <f>1824000/16</f>
        <v>114000</v>
      </c>
      <c r="K570" s="19" t="s">
        <v>43</v>
      </c>
      <c r="L570" s="24"/>
      <c r="M570" s="24">
        <v>0.17</v>
      </c>
      <c r="N570" s="18"/>
      <c r="O570" s="22" t="s">
        <v>43</v>
      </c>
      <c r="P570" s="18">
        <f t="shared" si="148"/>
        <v>0</v>
      </c>
      <c r="Q570" s="22" t="s">
        <v>43</v>
      </c>
      <c r="R570" s="23">
        <f t="shared" si="149"/>
        <v>0</v>
      </c>
      <c r="S570" s="23">
        <f t="shared" si="150"/>
        <v>0</v>
      </c>
    </row>
    <row r="571" spans="1:19" s="26" customFormat="1">
      <c r="A571" s="25" t="s">
        <v>542</v>
      </c>
      <c r="B571" s="26" t="s">
        <v>26</v>
      </c>
      <c r="C571" s="27"/>
      <c r="D571" s="28" t="s">
        <v>162</v>
      </c>
      <c r="E571" s="29">
        <f>1+1</f>
        <v>2</v>
      </c>
      <c r="F571" s="30">
        <v>10</v>
      </c>
      <c r="G571" s="31" t="s">
        <v>43</v>
      </c>
      <c r="H571" s="30">
        <v>12</v>
      </c>
      <c r="I571" s="31" t="s">
        <v>162</v>
      </c>
      <c r="J571" s="32">
        <f>2040000/10/12</f>
        <v>17000</v>
      </c>
      <c r="K571" s="28" t="s">
        <v>162</v>
      </c>
      <c r="L571" s="33"/>
      <c r="M571" s="33">
        <v>0.17</v>
      </c>
      <c r="N571" s="27">
        <f>(1*12)+120+(2*12)</f>
        <v>156</v>
      </c>
      <c r="O571" s="31" t="s">
        <v>162</v>
      </c>
      <c r="P571" s="27">
        <f t="shared" si="148"/>
        <v>84</v>
      </c>
      <c r="Q571" s="31" t="s">
        <v>162</v>
      </c>
      <c r="R571" s="32">
        <f t="shared" si="149"/>
        <v>1185240</v>
      </c>
      <c r="S571" s="32">
        <f t="shared" si="150"/>
        <v>1067783.7837837837</v>
      </c>
    </row>
    <row r="572" spans="1:19" s="17" customFormat="1">
      <c r="A572" s="16" t="s">
        <v>543</v>
      </c>
      <c r="B572" s="17" t="s">
        <v>26</v>
      </c>
      <c r="C572" s="18">
        <v>24</v>
      </c>
      <c r="D572" s="19" t="s">
        <v>162</v>
      </c>
      <c r="E572" s="20"/>
      <c r="F572" s="21">
        <v>10</v>
      </c>
      <c r="G572" s="22" t="s">
        <v>34</v>
      </c>
      <c r="H572" s="21">
        <v>6</v>
      </c>
      <c r="I572" s="22" t="s">
        <v>162</v>
      </c>
      <c r="J572" s="23">
        <f>2040000/10/6</f>
        <v>34000</v>
      </c>
      <c r="K572" s="19" t="s">
        <v>162</v>
      </c>
      <c r="L572" s="24"/>
      <c r="M572" s="24">
        <v>0.17</v>
      </c>
      <c r="N572" s="18">
        <f>(2*12)</f>
        <v>24</v>
      </c>
      <c r="O572" s="22" t="s">
        <v>162</v>
      </c>
      <c r="P572" s="18">
        <f t="shared" si="148"/>
        <v>0</v>
      </c>
      <c r="Q572" s="22" t="s">
        <v>162</v>
      </c>
      <c r="R572" s="23">
        <f t="shared" si="149"/>
        <v>0</v>
      </c>
      <c r="S572" s="23">
        <f t="shared" si="150"/>
        <v>0</v>
      </c>
    </row>
    <row r="573" spans="1:19" s="17" customFormat="1">
      <c r="A573" s="16" t="s">
        <v>544</v>
      </c>
      <c r="B573" s="17" t="s">
        <v>26</v>
      </c>
      <c r="C573" s="18"/>
      <c r="D573" s="19" t="s">
        <v>162</v>
      </c>
      <c r="E573" s="20"/>
      <c r="F573" s="21">
        <v>20</v>
      </c>
      <c r="G573" s="22" t="s">
        <v>34</v>
      </c>
      <c r="H573" s="21">
        <v>4</v>
      </c>
      <c r="I573" s="22" t="s">
        <v>162</v>
      </c>
      <c r="J573" s="23">
        <v>33000</v>
      </c>
      <c r="K573" s="19" t="s">
        <v>162</v>
      </c>
      <c r="L573" s="24"/>
      <c r="M573" s="24">
        <v>0.17</v>
      </c>
      <c r="N573" s="18"/>
      <c r="O573" s="22" t="s">
        <v>162</v>
      </c>
      <c r="P573" s="18">
        <f t="shared" si="148"/>
        <v>0</v>
      </c>
      <c r="Q573" s="22" t="s">
        <v>162</v>
      </c>
      <c r="R573" s="23">
        <f t="shared" si="149"/>
        <v>0</v>
      </c>
      <c r="S573" s="23">
        <f t="shared" si="150"/>
        <v>0</v>
      </c>
    </row>
    <row r="574" spans="1:19" s="63" customFormat="1">
      <c r="A574" s="72" t="s">
        <v>545</v>
      </c>
      <c r="B574" s="63" t="s">
        <v>26</v>
      </c>
      <c r="C574" s="64">
        <v>288</v>
      </c>
      <c r="D574" s="65" t="s">
        <v>162</v>
      </c>
      <c r="E574" s="66">
        <v>1</v>
      </c>
      <c r="F574" s="67">
        <v>24</v>
      </c>
      <c r="G574" s="68" t="s">
        <v>43</v>
      </c>
      <c r="H574" s="67">
        <v>12</v>
      </c>
      <c r="I574" s="68" t="s">
        <v>162</v>
      </c>
      <c r="J574" s="69">
        <f>3571200/24/12</f>
        <v>12400</v>
      </c>
      <c r="K574" s="65" t="s">
        <v>162</v>
      </c>
      <c r="L574" s="70"/>
      <c r="M574" s="70">
        <v>0.17</v>
      </c>
      <c r="N574" s="64">
        <f>(18*12)+(6*12)+288</f>
        <v>576</v>
      </c>
      <c r="O574" s="68" t="s">
        <v>162</v>
      </c>
      <c r="P574" s="64">
        <f t="shared" si="148"/>
        <v>0</v>
      </c>
      <c r="Q574" s="68" t="s">
        <v>162</v>
      </c>
      <c r="R574" s="69">
        <f t="shared" si="149"/>
        <v>0</v>
      </c>
      <c r="S574" s="23">
        <f t="shared" si="150"/>
        <v>0</v>
      </c>
    </row>
    <row r="575" spans="1:19" s="63" customFormat="1">
      <c r="A575" s="72" t="s">
        <v>546</v>
      </c>
      <c r="B575" s="63" t="s">
        <v>26</v>
      </c>
      <c r="C575" s="64"/>
      <c r="D575" s="65" t="s">
        <v>162</v>
      </c>
      <c r="E575" s="66"/>
      <c r="F575" s="67">
        <v>24</v>
      </c>
      <c r="G575" s="68" t="s">
        <v>43</v>
      </c>
      <c r="H575" s="67">
        <v>12</v>
      </c>
      <c r="I575" s="68" t="s">
        <v>162</v>
      </c>
      <c r="J575" s="69">
        <f>228000/12</f>
        <v>19000</v>
      </c>
      <c r="K575" s="65" t="s">
        <v>162</v>
      </c>
      <c r="L575" s="70"/>
      <c r="M575" s="70">
        <v>0.17</v>
      </c>
      <c r="N575" s="64"/>
      <c r="O575" s="68" t="s">
        <v>162</v>
      </c>
      <c r="P575" s="64">
        <f t="shared" si="148"/>
        <v>0</v>
      </c>
      <c r="Q575" s="68" t="s">
        <v>162</v>
      </c>
      <c r="R575" s="69">
        <f t="shared" si="149"/>
        <v>0</v>
      </c>
      <c r="S575" s="23">
        <f t="shared" si="150"/>
        <v>0</v>
      </c>
    </row>
    <row r="576" spans="1:19" s="17" customFormat="1">
      <c r="A576" s="16" t="s">
        <v>547</v>
      </c>
      <c r="B576" s="17" t="s">
        <v>26</v>
      </c>
      <c r="C576" s="18"/>
      <c r="D576" s="19" t="s">
        <v>162</v>
      </c>
      <c r="E576" s="20"/>
      <c r="F576" s="21">
        <v>24</v>
      </c>
      <c r="G576" s="22" t="s">
        <v>34</v>
      </c>
      <c r="H576" s="21">
        <v>6</v>
      </c>
      <c r="I576" s="22" t="s">
        <v>162</v>
      </c>
      <c r="J576" s="23">
        <v>22000</v>
      </c>
      <c r="K576" s="19" t="s">
        <v>162</v>
      </c>
      <c r="L576" s="24"/>
      <c r="M576" s="24">
        <v>0.17</v>
      </c>
      <c r="N576" s="18"/>
      <c r="O576" s="22" t="s">
        <v>162</v>
      </c>
      <c r="P576" s="18">
        <f t="shared" si="148"/>
        <v>0</v>
      </c>
      <c r="Q576" s="22" t="s">
        <v>162</v>
      </c>
      <c r="R576" s="23">
        <f t="shared" si="149"/>
        <v>0</v>
      </c>
      <c r="S576" s="23">
        <f t="shared" si="150"/>
        <v>0</v>
      </c>
    </row>
    <row r="577" spans="1:19">
      <c r="S577" s="23"/>
    </row>
    <row r="578" spans="1:19" ht="15.75">
      <c r="A578" s="14" t="s">
        <v>548</v>
      </c>
      <c r="S578" s="23"/>
    </row>
    <row r="579" spans="1:19" s="26" customFormat="1">
      <c r="A579" s="25" t="s">
        <v>549</v>
      </c>
      <c r="B579" s="26" t="s">
        <v>19</v>
      </c>
      <c r="C579" s="27">
        <v>372</v>
      </c>
      <c r="D579" s="28" t="s">
        <v>20</v>
      </c>
      <c r="E579" s="29"/>
      <c r="F579" s="30">
        <v>12</v>
      </c>
      <c r="G579" s="31" t="s">
        <v>34</v>
      </c>
      <c r="H579" s="30">
        <v>24</v>
      </c>
      <c r="I579" s="31" t="s">
        <v>20</v>
      </c>
      <c r="J579" s="32">
        <v>3550</v>
      </c>
      <c r="K579" s="28" t="s">
        <v>20</v>
      </c>
      <c r="L579" s="33">
        <v>0.125</v>
      </c>
      <c r="M579" s="33">
        <v>0.05</v>
      </c>
      <c r="N579" s="27"/>
      <c r="O579" s="31" t="s">
        <v>20</v>
      </c>
      <c r="P579" s="27">
        <f t="shared" ref="P579:P580" si="151">(C579+(E579*F579*H579))-N579</f>
        <v>372</v>
      </c>
      <c r="Q579" s="31" t="s">
        <v>20</v>
      </c>
      <c r="R579" s="32">
        <f t="shared" ref="R579:R580" si="152">P579*(J579-(J579*L579)-((J579-(J579*L579))*M579))</f>
        <v>1097748.75</v>
      </c>
      <c r="S579" s="32">
        <f t="shared" si="150"/>
        <v>988962.83783783775</v>
      </c>
    </row>
    <row r="580" spans="1:19" s="26" customFormat="1">
      <c r="A580" s="25" t="s">
        <v>550</v>
      </c>
      <c r="B580" s="26" t="s">
        <v>19</v>
      </c>
      <c r="C580" s="27">
        <v>276</v>
      </c>
      <c r="D580" s="28" t="s">
        <v>20</v>
      </c>
      <c r="E580" s="29"/>
      <c r="F580" s="30">
        <v>1</v>
      </c>
      <c r="G580" s="31" t="s">
        <v>21</v>
      </c>
      <c r="H580" s="30">
        <v>288</v>
      </c>
      <c r="I580" s="31" t="s">
        <v>20</v>
      </c>
      <c r="J580" s="32">
        <v>3550</v>
      </c>
      <c r="K580" s="28" t="s">
        <v>20</v>
      </c>
      <c r="L580" s="33">
        <v>0.125</v>
      </c>
      <c r="M580" s="33">
        <v>0.05</v>
      </c>
      <c r="N580" s="27"/>
      <c r="O580" s="31" t="s">
        <v>20</v>
      </c>
      <c r="P580" s="27">
        <f t="shared" si="151"/>
        <v>276</v>
      </c>
      <c r="Q580" s="31" t="s">
        <v>20</v>
      </c>
      <c r="R580" s="32">
        <f t="shared" si="152"/>
        <v>814458.75</v>
      </c>
      <c r="S580" s="32">
        <f t="shared" si="150"/>
        <v>733746.62162162154</v>
      </c>
    </row>
    <row r="581" spans="1:19" s="45" customFormat="1">
      <c r="A581" s="44" t="s">
        <v>551</v>
      </c>
      <c r="B581" s="45" t="s">
        <v>19</v>
      </c>
      <c r="C581" s="46">
        <v>792</v>
      </c>
      <c r="D581" s="47" t="s">
        <v>20</v>
      </c>
      <c r="E581" s="48">
        <f>(1+1)+(1+1)+(1+1)+(3+3+4)</f>
        <v>16</v>
      </c>
      <c r="F581" s="49">
        <v>1</v>
      </c>
      <c r="G581" s="50" t="s">
        <v>21</v>
      </c>
      <c r="H581" s="49">
        <v>288</v>
      </c>
      <c r="I581" s="50" t="s">
        <v>20</v>
      </c>
      <c r="J581" s="51">
        <v>4800</v>
      </c>
      <c r="K581" s="47" t="s">
        <v>20</v>
      </c>
      <c r="L581" s="52">
        <v>0.125</v>
      </c>
      <c r="M581" s="52">
        <v>0.05</v>
      </c>
      <c r="N581" s="46">
        <f>576+576</f>
        <v>1152</v>
      </c>
      <c r="O581" s="50" t="s">
        <v>20</v>
      </c>
      <c r="P581" s="46">
        <f>(C581+(E581*F581*H581))-N581</f>
        <v>4248</v>
      </c>
      <c r="Q581" s="50" t="s">
        <v>20</v>
      </c>
      <c r="R581" s="51">
        <f>P581*(J581-(J581*L581)-((J581-(J581*L581))*M581))</f>
        <v>16949520</v>
      </c>
      <c r="S581" s="51">
        <f t="shared" si="150"/>
        <v>15269837.837837836</v>
      </c>
    </row>
    <row r="582" spans="1:19" s="63" customFormat="1">
      <c r="A582" s="72" t="s">
        <v>552</v>
      </c>
      <c r="B582" s="63" t="s">
        <v>26</v>
      </c>
      <c r="C582" s="64">
        <v>56</v>
      </c>
      <c r="D582" s="65" t="s">
        <v>43</v>
      </c>
      <c r="E582" s="66"/>
      <c r="F582" s="67">
        <v>1</v>
      </c>
      <c r="G582" s="68" t="s">
        <v>21</v>
      </c>
      <c r="H582" s="67">
        <v>24</v>
      </c>
      <c r="I582" s="68" t="s">
        <v>43</v>
      </c>
      <c r="J582" s="69">
        <f>1440000/24</f>
        <v>60000</v>
      </c>
      <c r="K582" s="65" t="s">
        <v>43</v>
      </c>
      <c r="L582" s="70"/>
      <c r="M582" s="70">
        <v>0.17</v>
      </c>
      <c r="N582" s="64">
        <f>24+6+2+24</f>
        <v>56</v>
      </c>
      <c r="O582" s="68" t="s">
        <v>43</v>
      </c>
      <c r="P582" s="64">
        <f>(C582+(E582*F582*H582))-N582</f>
        <v>0</v>
      </c>
      <c r="Q582" s="68" t="s">
        <v>43</v>
      </c>
      <c r="R582" s="69">
        <f>P582*(J582-(J582*L582)-((J582-(J582*L582))*M582))</f>
        <v>0</v>
      </c>
      <c r="S582" s="23">
        <f t="shared" si="150"/>
        <v>0</v>
      </c>
    </row>
    <row r="583" spans="1:19" s="26" customFormat="1">
      <c r="A583" s="108" t="s">
        <v>553</v>
      </c>
      <c r="B583" s="26" t="s">
        <v>182</v>
      </c>
      <c r="C583" s="27">
        <v>1728</v>
      </c>
      <c r="D583" s="28" t="s">
        <v>20</v>
      </c>
      <c r="E583" s="29"/>
      <c r="F583" s="30">
        <v>1</v>
      </c>
      <c r="G583" s="31" t="s">
        <v>21</v>
      </c>
      <c r="H583" s="30">
        <v>120</v>
      </c>
      <c r="I583" s="31" t="s">
        <v>20</v>
      </c>
      <c r="J583" s="32">
        <v>11500</v>
      </c>
      <c r="K583" s="28" t="s">
        <v>20</v>
      </c>
      <c r="L583" s="33"/>
      <c r="M583" s="33"/>
      <c r="N583" s="27">
        <f>(5*12)+120+(2*12)+12+6+120+(2*12)+(10*12)+(1*12)+(10*12)</f>
        <v>618</v>
      </c>
      <c r="O583" s="31" t="s">
        <v>20</v>
      </c>
      <c r="P583" s="27">
        <f t="shared" ref="P583:P584" si="153">(C583+(E583*F583*H583))-N583</f>
        <v>1110</v>
      </c>
      <c r="Q583" s="31" t="s">
        <v>20</v>
      </c>
      <c r="R583" s="32">
        <f t="shared" ref="R583:R584" si="154">P583*(J583-(J583*L583)-((J583-(J583*L583))*M583))</f>
        <v>12765000</v>
      </c>
      <c r="S583" s="32">
        <f t="shared" si="150"/>
        <v>11499999.999999998</v>
      </c>
    </row>
    <row r="584" spans="1:19" s="26" customFormat="1">
      <c r="A584" s="108" t="s">
        <v>554</v>
      </c>
      <c r="B584" s="26" t="s">
        <v>182</v>
      </c>
      <c r="C584" s="27">
        <v>1860</v>
      </c>
      <c r="D584" s="28" t="s">
        <v>20</v>
      </c>
      <c r="E584" s="29"/>
      <c r="F584" s="30">
        <v>1</v>
      </c>
      <c r="G584" s="31" t="s">
        <v>21</v>
      </c>
      <c r="H584" s="30">
        <v>96</v>
      </c>
      <c r="I584" s="31" t="s">
        <v>20</v>
      </c>
      <c r="J584" s="32">
        <v>21000</v>
      </c>
      <c r="K584" s="28" t="s">
        <v>20</v>
      </c>
      <c r="L584" s="33"/>
      <c r="M584" s="33"/>
      <c r="N584" s="27">
        <f>12+(8*12)+96+96+(6*12)+12+6+12+(2*12)+(1*12)+(1*12)+(4*12)+96+(1*12)</f>
        <v>606</v>
      </c>
      <c r="O584" s="31" t="s">
        <v>20</v>
      </c>
      <c r="P584" s="27">
        <f t="shared" si="153"/>
        <v>1254</v>
      </c>
      <c r="Q584" s="31" t="s">
        <v>20</v>
      </c>
      <c r="R584" s="32">
        <f t="shared" si="154"/>
        <v>26334000</v>
      </c>
      <c r="S584" s="32">
        <f t="shared" si="150"/>
        <v>23724324.324324321</v>
      </c>
    </row>
    <row r="585" spans="1:19">
      <c r="S585" s="23"/>
    </row>
    <row r="586" spans="1:19" ht="15.75">
      <c r="A586" s="14" t="s">
        <v>555</v>
      </c>
      <c r="S586" s="23"/>
    </row>
    <row r="587" spans="1:19">
      <c r="A587" s="15" t="s">
        <v>556</v>
      </c>
      <c r="S587" s="23"/>
    </row>
    <row r="588" spans="1:19" s="17" customFormat="1">
      <c r="A588" s="16" t="s">
        <v>557</v>
      </c>
      <c r="B588" s="17" t="s">
        <v>19</v>
      </c>
      <c r="C588" s="18"/>
      <c r="D588" s="19" t="s">
        <v>34</v>
      </c>
      <c r="E588" s="20">
        <v>1</v>
      </c>
      <c r="F588" s="21">
        <v>1</v>
      </c>
      <c r="G588" s="22" t="s">
        <v>21</v>
      </c>
      <c r="H588" s="21">
        <v>48</v>
      </c>
      <c r="I588" s="22" t="s">
        <v>34</v>
      </c>
      <c r="J588" s="23">
        <v>31200</v>
      </c>
      <c r="K588" s="19" t="s">
        <v>34</v>
      </c>
      <c r="L588" s="24">
        <v>0.125</v>
      </c>
      <c r="M588" s="24">
        <v>0.05</v>
      </c>
      <c r="N588" s="18">
        <v>48</v>
      </c>
      <c r="O588" s="22" t="s">
        <v>34</v>
      </c>
      <c r="P588" s="18">
        <f>(C588+(E588*F588*H588))-N588</f>
        <v>0</v>
      </c>
      <c r="Q588" s="22" t="s">
        <v>34</v>
      </c>
      <c r="R588" s="23">
        <f>P588*(J588-(J588*L588)-((J588-(J588*L588))*M588))</f>
        <v>0</v>
      </c>
      <c r="S588" s="23">
        <f t="shared" si="150"/>
        <v>0</v>
      </c>
    </row>
    <row r="589" spans="1:19" s="26" customFormat="1">
      <c r="A589" s="94" t="s">
        <v>558</v>
      </c>
      <c r="B589" s="26" t="s">
        <v>26</v>
      </c>
      <c r="C589" s="27">
        <v>190</v>
      </c>
      <c r="D589" s="28" t="s">
        <v>43</v>
      </c>
      <c r="E589" s="29">
        <v>5</v>
      </c>
      <c r="F589" s="30">
        <v>1</v>
      </c>
      <c r="G589" s="31" t="s">
        <v>21</v>
      </c>
      <c r="H589" s="30">
        <v>48</v>
      </c>
      <c r="I589" s="31" t="s">
        <v>43</v>
      </c>
      <c r="J589" s="32">
        <f>1497600/48</f>
        <v>31200</v>
      </c>
      <c r="K589" s="28" t="s">
        <v>43</v>
      </c>
      <c r="L589" s="33"/>
      <c r="M589" s="33">
        <v>0.17</v>
      </c>
      <c r="N589" s="27">
        <f>1+6+1+3</f>
        <v>11</v>
      </c>
      <c r="O589" s="31" t="s">
        <v>43</v>
      </c>
      <c r="P589" s="27">
        <f>(C589+(E589*F589*H589))-N589</f>
        <v>419</v>
      </c>
      <c r="Q589" s="31" t="s">
        <v>43</v>
      </c>
      <c r="R589" s="32">
        <f>P589*(J589-(J589*L589)-((J589-(J589*L589))*M589))</f>
        <v>10850424</v>
      </c>
      <c r="S589" s="32">
        <f t="shared" si="150"/>
        <v>9775156.7567567565</v>
      </c>
    </row>
    <row r="590" spans="1:19">
      <c r="S590" s="23"/>
    </row>
    <row r="591" spans="1:19" ht="15.75">
      <c r="A591" s="14" t="s">
        <v>559</v>
      </c>
      <c r="S591" s="23"/>
    </row>
    <row r="592" spans="1:19" s="45" customFormat="1">
      <c r="A592" s="44" t="s">
        <v>734</v>
      </c>
      <c r="B592" s="45" t="s">
        <v>19</v>
      </c>
      <c r="C592" s="46"/>
      <c r="D592" s="47" t="s">
        <v>20</v>
      </c>
      <c r="E592" s="48">
        <v>1</v>
      </c>
      <c r="F592" s="49">
        <v>10</v>
      </c>
      <c r="G592" s="50" t="s">
        <v>34</v>
      </c>
      <c r="H592" s="49">
        <v>12</v>
      </c>
      <c r="I592" s="50" t="s">
        <v>20</v>
      </c>
      <c r="J592" s="51">
        <v>11200</v>
      </c>
      <c r="K592" s="47" t="s">
        <v>20</v>
      </c>
      <c r="L592" s="52">
        <v>0.125</v>
      </c>
      <c r="M592" s="52">
        <v>0.05</v>
      </c>
      <c r="N592" s="46"/>
      <c r="O592" s="50" t="s">
        <v>20</v>
      </c>
      <c r="P592" s="46">
        <f t="shared" ref="P592" si="155">(C592+(E592*F592*H592))-N592</f>
        <v>120</v>
      </c>
      <c r="Q592" s="50" t="s">
        <v>20</v>
      </c>
      <c r="R592" s="51">
        <f t="shared" ref="R592" si="156">P592*(J592-(J592*L592)-((J592-(J592*L592))*M592))</f>
        <v>1117200</v>
      </c>
      <c r="S592" s="51">
        <f t="shared" ref="S592" si="157">R592/1.11</f>
        <v>1006486.4864864864</v>
      </c>
    </row>
    <row r="593" spans="1:19" s="45" customFormat="1">
      <c r="A593" s="44" t="s">
        <v>735</v>
      </c>
      <c r="B593" s="45" t="s">
        <v>19</v>
      </c>
      <c r="C593" s="46"/>
      <c r="D593" s="47" t="s">
        <v>20</v>
      </c>
      <c r="E593" s="48">
        <v>1</v>
      </c>
      <c r="F593" s="49">
        <v>10</v>
      </c>
      <c r="G593" s="50" t="s">
        <v>34</v>
      </c>
      <c r="H593" s="49">
        <v>12</v>
      </c>
      <c r="I593" s="50" t="s">
        <v>20</v>
      </c>
      <c r="J593" s="51">
        <v>12400</v>
      </c>
      <c r="K593" s="47" t="s">
        <v>20</v>
      </c>
      <c r="L593" s="52">
        <v>0.125</v>
      </c>
      <c r="M593" s="52">
        <v>0.05</v>
      </c>
      <c r="N593" s="46"/>
      <c r="O593" s="50" t="s">
        <v>20</v>
      </c>
      <c r="P593" s="46">
        <f t="shared" ref="P593" si="158">(C593+(E593*F593*H593))-N593</f>
        <v>120</v>
      </c>
      <c r="Q593" s="50" t="s">
        <v>20</v>
      </c>
      <c r="R593" s="51">
        <f t="shared" ref="R593" si="159">P593*(J593-(J593*L593)-((J593-(J593*L593))*M593))</f>
        <v>1236900</v>
      </c>
      <c r="S593" s="51">
        <f t="shared" ref="S593" si="160">R593/1.11</f>
        <v>1114324.3243243243</v>
      </c>
    </row>
    <row r="594" spans="1:19" s="45" customFormat="1">
      <c r="A594" s="44" t="s">
        <v>560</v>
      </c>
      <c r="B594" s="45" t="s">
        <v>19</v>
      </c>
      <c r="C594" s="46">
        <v>600</v>
      </c>
      <c r="D594" s="47" t="s">
        <v>20</v>
      </c>
      <c r="E594" s="48"/>
      <c r="F594" s="49">
        <v>10</v>
      </c>
      <c r="G594" s="50" t="s">
        <v>34</v>
      </c>
      <c r="H594" s="49">
        <v>12</v>
      </c>
      <c r="I594" s="50" t="s">
        <v>20</v>
      </c>
      <c r="J594" s="51">
        <v>12400</v>
      </c>
      <c r="K594" s="47" t="s">
        <v>20</v>
      </c>
      <c r="L594" s="52">
        <v>0.125</v>
      </c>
      <c r="M594" s="52">
        <v>0.05</v>
      </c>
      <c r="N594" s="46"/>
      <c r="O594" s="50" t="s">
        <v>20</v>
      </c>
      <c r="P594" s="46">
        <f t="shared" ref="P594:P606" si="161">(C594+(E594*F594*H594))-N594</f>
        <v>600</v>
      </c>
      <c r="Q594" s="50" t="s">
        <v>20</v>
      </c>
      <c r="R594" s="51">
        <f t="shared" ref="R594:R606" si="162">P594*(J594-(J594*L594)-((J594-(J594*L594))*M594))</f>
        <v>6184500</v>
      </c>
      <c r="S594" s="51">
        <f t="shared" si="150"/>
        <v>5571621.6216216208</v>
      </c>
    </row>
    <row r="595" spans="1:19" s="17" customFormat="1">
      <c r="A595" s="16" t="s">
        <v>561</v>
      </c>
      <c r="B595" s="17" t="s">
        <v>19</v>
      </c>
      <c r="C595" s="18"/>
      <c r="D595" s="19" t="s">
        <v>20</v>
      </c>
      <c r="E595" s="20"/>
      <c r="F595" s="21">
        <v>5</v>
      </c>
      <c r="G595" s="22" t="s">
        <v>34</v>
      </c>
      <c r="H595" s="21">
        <v>12</v>
      </c>
      <c r="I595" s="22" t="s">
        <v>20</v>
      </c>
      <c r="J595" s="23">
        <v>27000</v>
      </c>
      <c r="K595" s="19" t="s">
        <v>20</v>
      </c>
      <c r="L595" s="24">
        <v>0.125</v>
      </c>
      <c r="M595" s="24">
        <v>0.05</v>
      </c>
      <c r="N595" s="18"/>
      <c r="O595" s="22" t="s">
        <v>20</v>
      </c>
      <c r="P595" s="18">
        <f t="shared" si="161"/>
        <v>0</v>
      </c>
      <c r="Q595" s="22" t="s">
        <v>20</v>
      </c>
      <c r="R595" s="23">
        <f t="shared" si="162"/>
        <v>0</v>
      </c>
      <c r="S595" s="23">
        <f t="shared" si="150"/>
        <v>0</v>
      </c>
    </row>
    <row r="596" spans="1:19" s="17" customFormat="1">
      <c r="A596" s="16" t="s">
        <v>562</v>
      </c>
      <c r="B596" s="17" t="s">
        <v>19</v>
      </c>
      <c r="C596" s="18"/>
      <c r="D596" s="19" t="s">
        <v>20</v>
      </c>
      <c r="E596" s="20">
        <f>1+1</f>
        <v>2</v>
      </c>
      <c r="F596" s="21">
        <v>1</v>
      </c>
      <c r="G596" s="22" t="s">
        <v>21</v>
      </c>
      <c r="H596" s="21">
        <v>24</v>
      </c>
      <c r="I596" s="22" t="s">
        <v>20</v>
      </c>
      <c r="J596" s="23">
        <v>40000</v>
      </c>
      <c r="K596" s="19" t="s">
        <v>20</v>
      </c>
      <c r="L596" s="24">
        <v>0.125</v>
      </c>
      <c r="M596" s="24">
        <v>0.05</v>
      </c>
      <c r="N596" s="18">
        <f>24+24</f>
        <v>48</v>
      </c>
      <c r="O596" s="22" t="s">
        <v>20</v>
      </c>
      <c r="P596" s="18">
        <f t="shared" si="161"/>
        <v>0</v>
      </c>
      <c r="Q596" s="22" t="s">
        <v>20</v>
      </c>
      <c r="R596" s="23">
        <f t="shared" si="162"/>
        <v>0</v>
      </c>
      <c r="S596" s="23">
        <f t="shared" si="150"/>
        <v>0</v>
      </c>
    </row>
    <row r="597" spans="1:19" s="17" customFormat="1">
      <c r="A597" s="16" t="s">
        <v>563</v>
      </c>
      <c r="B597" s="17" t="s">
        <v>19</v>
      </c>
      <c r="C597" s="18"/>
      <c r="D597" s="19" t="s">
        <v>20</v>
      </c>
      <c r="E597" s="20"/>
      <c r="F597" s="21">
        <v>1</v>
      </c>
      <c r="G597" s="22" t="s">
        <v>21</v>
      </c>
      <c r="H597" s="21">
        <v>24</v>
      </c>
      <c r="I597" s="22" t="s">
        <v>20</v>
      </c>
      <c r="J597" s="23">
        <v>43000</v>
      </c>
      <c r="K597" s="19" t="s">
        <v>20</v>
      </c>
      <c r="L597" s="24">
        <v>0.125</v>
      </c>
      <c r="M597" s="24">
        <v>0.05</v>
      </c>
      <c r="N597" s="18"/>
      <c r="O597" s="22" t="s">
        <v>20</v>
      </c>
      <c r="P597" s="18">
        <f t="shared" si="161"/>
        <v>0</v>
      </c>
      <c r="Q597" s="22" t="s">
        <v>20</v>
      </c>
      <c r="R597" s="23">
        <f t="shared" si="162"/>
        <v>0</v>
      </c>
      <c r="S597" s="23">
        <f t="shared" si="150"/>
        <v>0</v>
      </c>
    </row>
    <row r="598" spans="1:19" s="17" customFormat="1">
      <c r="A598" s="16" t="s">
        <v>564</v>
      </c>
      <c r="B598" s="17" t="s">
        <v>26</v>
      </c>
      <c r="C598" s="18">
        <f>79+5</f>
        <v>84</v>
      </c>
      <c r="D598" s="19" t="s">
        <v>20</v>
      </c>
      <c r="E598" s="20"/>
      <c r="F598" s="21">
        <v>10</v>
      </c>
      <c r="G598" s="22" t="s">
        <v>43</v>
      </c>
      <c r="H598" s="21">
        <v>12</v>
      </c>
      <c r="I598" s="22" t="s">
        <v>20</v>
      </c>
      <c r="J598" s="23">
        <f>1500000/10/12</f>
        <v>12500</v>
      </c>
      <c r="K598" s="19" t="s">
        <v>20</v>
      </c>
      <c r="L598" s="24"/>
      <c r="M598" s="24">
        <v>0.17</v>
      </c>
      <c r="N598" s="18">
        <f>(7*12)</f>
        <v>84</v>
      </c>
      <c r="O598" s="22" t="s">
        <v>20</v>
      </c>
      <c r="P598" s="18">
        <f t="shared" si="161"/>
        <v>0</v>
      </c>
      <c r="Q598" s="22" t="s">
        <v>20</v>
      </c>
      <c r="R598" s="23">
        <f t="shared" si="162"/>
        <v>0</v>
      </c>
      <c r="S598" s="23">
        <f t="shared" si="150"/>
        <v>0</v>
      </c>
    </row>
    <row r="599" spans="1:19" s="45" customFormat="1">
      <c r="A599" s="44" t="s">
        <v>565</v>
      </c>
      <c r="B599" s="45" t="s">
        <v>26</v>
      </c>
      <c r="C599" s="46">
        <v>5</v>
      </c>
      <c r="D599" s="47" t="s">
        <v>43</v>
      </c>
      <c r="E599" s="48">
        <f>1+1</f>
        <v>2</v>
      </c>
      <c r="F599" s="49">
        <v>1</v>
      </c>
      <c r="G599" s="50" t="s">
        <v>21</v>
      </c>
      <c r="H599" s="49">
        <v>10</v>
      </c>
      <c r="I599" s="50" t="s">
        <v>43</v>
      </c>
      <c r="J599" s="51">
        <f>1500000/10</f>
        <v>150000</v>
      </c>
      <c r="K599" s="47" t="s">
        <v>43</v>
      </c>
      <c r="L599" s="52"/>
      <c r="M599" s="52">
        <v>0.17</v>
      </c>
      <c r="N599" s="46">
        <f>10+3+2+3+3</f>
        <v>21</v>
      </c>
      <c r="O599" s="50" t="s">
        <v>43</v>
      </c>
      <c r="P599" s="46">
        <f t="shared" si="161"/>
        <v>4</v>
      </c>
      <c r="Q599" s="50" t="s">
        <v>43</v>
      </c>
      <c r="R599" s="51">
        <f t="shared" si="162"/>
        <v>498000</v>
      </c>
      <c r="S599" s="51">
        <f t="shared" si="150"/>
        <v>448648.64864864858</v>
      </c>
    </row>
    <row r="600" spans="1:19" s="63" customFormat="1">
      <c r="A600" s="72" t="s">
        <v>566</v>
      </c>
      <c r="B600" s="63" t="s">
        <v>26</v>
      </c>
      <c r="C600" s="64"/>
      <c r="D600" s="65" t="s">
        <v>20</v>
      </c>
      <c r="E600" s="66"/>
      <c r="F600" s="67">
        <v>10</v>
      </c>
      <c r="G600" s="68" t="s">
        <v>43</v>
      </c>
      <c r="H600" s="67">
        <v>12</v>
      </c>
      <c r="I600" s="68" t="s">
        <v>20</v>
      </c>
      <c r="J600" s="69">
        <f>13000</f>
        <v>13000</v>
      </c>
      <c r="K600" s="65" t="s">
        <v>20</v>
      </c>
      <c r="L600" s="70"/>
      <c r="M600" s="70">
        <v>0.17</v>
      </c>
      <c r="N600" s="64"/>
      <c r="O600" s="68" t="s">
        <v>20</v>
      </c>
      <c r="P600" s="64">
        <f t="shared" si="161"/>
        <v>0</v>
      </c>
      <c r="Q600" s="68" t="s">
        <v>20</v>
      </c>
      <c r="R600" s="69">
        <f t="shared" si="162"/>
        <v>0</v>
      </c>
      <c r="S600" s="23">
        <f t="shared" si="150"/>
        <v>0</v>
      </c>
    </row>
    <row r="601" spans="1:19" s="63" customFormat="1">
      <c r="A601" s="72" t="s">
        <v>567</v>
      </c>
      <c r="B601" s="63" t="s">
        <v>26</v>
      </c>
      <c r="C601" s="64">
        <v>8</v>
      </c>
      <c r="D601" s="65" t="s">
        <v>43</v>
      </c>
      <c r="E601" s="66"/>
      <c r="F601" s="67">
        <v>4</v>
      </c>
      <c r="G601" s="68" t="s">
        <v>34</v>
      </c>
      <c r="H601" s="67">
        <v>2</v>
      </c>
      <c r="I601" s="68" t="s">
        <v>43</v>
      </c>
      <c r="J601" s="69">
        <f>1440000/4/2</f>
        <v>180000</v>
      </c>
      <c r="K601" s="65" t="s">
        <v>43</v>
      </c>
      <c r="L601" s="70"/>
      <c r="M601" s="70">
        <v>0.17</v>
      </c>
      <c r="N601" s="64">
        <v>8</v>
      </c>
      <c r="O601" s="68" t="s">
        <v>43</v>
      </c>
      <c r="P601" s="64">
        <f>(C601+(E601*F601*H601))-N601</f>
        <v>0</v>
      </c>
      <c r="Q601" s="68" t="s">
        <v>43</v>
      </c>
      <c r="R601" s="69">
        <f>P601*(J601-(J601*L601)-((J601-(J601*L601))*M601))</f>
        <v>0</v>
      </c>
      <c r="S601" s="69">
        <f t="shared" si="150"/>
        <v>0</v>
      </c>
    </row>
    <row r="602" spans="1:19" s="45" customFormat="1">
      <c r="A602" s="44" t="s">
        <v>568</v>
      </c>
      <c r="B602" s="45" t="s">
        <v>26</v>
      </c>
      <c r="C602" s="46">
        <v>11</v>
      </c>
      <c r="D602" s="47" t="s">
        <v>43</v>
      </c>
      <c r="E602" s="48">
        <v>1</v>
      </c>
      <c r="F602" s="49">
        <v>1</v>
      </c>
      <c r="G602" s="50" t="s">
        <v>21</v>
      </c>
      <c r="H602" s="49">
        <v>5</v>
      </c>
      <c r="I602" s="50" t="s">
        <v>43</v>
      </c>
      <c r="J602" s="51">
        <f>1320000/5</f>
        <v>264000</v>
      </c>
      <c r="K602" s="47" t="s">
        <v>20</v>
      </c>
      <c r="L602" s="52"/>
      <c r="M602" s="52">
        <v>0.17</v>
      </c>
      <c r="N602" s="46">
        <f>2+5+1</f>
        <v>8</v>
      </c>
      <c r="O602" s="50" t="s">
        <v>43</v>
      </c>
      <c r="P602" s="46">
        <f t="shared" si="161"/>
        <v>8</v>
      </c>
      <c r="Q602" s="50" t="s">
        <v>43</v>
      </c>
      <c r="R602" s="51">
        <f t="shared" si="162"/>
        <v>1752960</v>
      </c>
      <c r="S602" s="51">
        <f t="shared" si="150"/>
        <v>1579243.2432432431</v>
      </c>
    </row>
    <row r="603" spans="1:19" s="63" customFormat="1">
      <c r="A603" s="72" t="s">
        <v>569</v>
      </c>
      <c r="B603" s="63" t="s">
        <v>26</v>
      </c>
      <c r="C603" s="64">
        <v>8</v>
      </c>
      <c r="D603" s="65" t="s">
        <v>43</v>
      </c>
      <c r="E603" s="66"/>
      <c r="F603" s="67">
        <v>1</v>
      </c>
      <c r="G603" s="68" t="s">
        <v>21</v>
      </c>
      <c r="H603" s="67">
        <v>4</v>
      </c>
      <c r="I603" s="68" t="s">
        <v>43</v>
      </c>
      <c r="J603" s="69">
        <f>1536000/4</f>
        <v>384000</v>
      </c>
      <c r="K603" s="65" t="s">
        <v>43</v>
      </c>
      <c r="L603" s="70"/>
      <c r="M603" s="70">
        <v>0.17</v>
      </c>
      <c r="N603" s="64">
        <v>8</v>
      </c>
      <c r="O603" s="68" t="s">
        <v>43</v>
      </c>
      <c r="P603" s="64">
        <f t="shared" si="161"/>
        <v>0</v>
      </c>
      <c r="Q603" s="68" t="s">
        <v>43</v>
      </c>
      <c r="R603" s="69">
        <f t="shared" si="162"/>
        <v>0</v>
      </c>
      <c r="S603" s="69">
        <f t="shared" si="150"/>
        <v>0</v>
      </c>
    </row>
    <row r="604" spans="1:19" s="17" customFormat="1">
      <c r="A604" s="16" t="s">
        <v>570</v>
      </c>
      <c r="B604" s="17" t="s">
        <v>26</v>
      </c>
      <c r="C604" s="18">
        <v>24</v>
      </c>
      <c r="D604" s="19" t="s">
        <v>20</v>
      </c>
      <c r="E604" s="20"/>
      <c r="F604" s="21">
        <v>1</v>
      </c>
      <c r="G604" s="22" t="s">
        <v>21</v>
      </c>
      <c r="H604" s="21">
        <v>24</v>
      </c>
      <c r="I604" s="22" t="s">
        <v>20</v>
      </c>
      <c r="J604" s="23">
        <f>1164000/24</f>
        <v>48500</v>
      </c>
      <c r="K604" s="19" t="s">
        <v>20</v>
      </c>
      <c r="L604" s="24"/>
      <c r="M604" s="24">
        <v>0.17</v>
      </c>
      <c r="N604" s="18">
        <v>24</v>
      </c>
      <c r="O604" s="22" t="s">
        <v>20</v>
      </c>
      <c r="P604" s="18">
        <f t="shared" si="161"/>
        <v>0</v>
      </c>
      <c r="Q604" s="22" t="s">
        <v>20</v>
      </c>
      <c r="R604" s="23">
        <f t="shared" si="162"/>
        <v>0</v>
      </c>
      <c r="S604" s="23">
        <f t="shared" si="150"/>
        <v>0</v>
      </c>
    </row>
    <row r="605" spans="1:19" s="17" customFormat="1">
      <c r="A605" s="16" t="s">
        <v>571</v>
      </c>
      <c r="B605" s="17" t="s">
        <v>26</v>
      </c>
      <c r="C605" s="18"/>
      <c r="D605" s="19" t="s">
        <v>20</v>
      </c>
      <c r="E605" s="20"/>
      <c r="F605" s="21">
        <v>1</v>
      </c>
      <c r="G605" s="22" t="s">
        <v>21</v>
      </c>
      <c r="H605" s="21">
        <v>24</v>
      </c>
      <c r="I605" s="22" t="s">
        <v>20</v>
      </c>
      <c r="J605" s="23">
        <f>1008000/24</f>
        <v>42000</v>
      </c>
      <c r="K605" s="19" t="s">
        <v>20</v>
      </c>
      <c r="L605" s="24"/>
      <c r="M605" s="24">
        <v>0.17</v>
      </c>
      <c r="N605" s="18"/>
      <c r="O605" s="22" t="s">
        <v>20</v>
      </c>
      <c r="P605" s="18">
        <f t="shared" si="161"/>
        <v>0</v>
      </c>
      <c r="Q605" s="22" t="s">
        <v>20</v>
      </c>
      <c r="R605" s="23">
        <f t="shared" si="162"/>
        <v>0</v>
      </c>
      <c r="S605" s="23">
        <f t="shared" si="150"/>
        <v>0</v>
      </c>
    </row>
    <row r="606" spans="1:19" s="26" customFormat="1">
      <c r="A606" s="25" t="s">
        <v>572</v>
      </c>
      <c r="B606" s="26" t="s">
        <v>26</v>
      </c>
      <c r="C606" s="27">
        <v>18</v>
      </c>
      <c r="D606" s="28" t="s">
        <v>20</v>
      </c>
      <c r="E606" s="29"/>
      <c r="F606" s="30">
        <v>1</v>
      </c>
      <c r="G606" s="31" t="s">
        <v>21</v>
      </c>
      <c r="H606" s="30">
        <v>24</v>
      </c>
      <c r="I606" s="31" t="s">
        <v>20</v>
      </c>
      <c r="J606" s="32">
        <f>1416000/24</f>
        <v>59000</v>
      </c>
      <c r="K606" s="28" t="s">
        <v>20</v>
      </c>
      <c r="L606" s="33"/>
      <c r="M606" s="33">
        <v>0.17</v>
      </c>
      <c r="N606" s="27"/>
      <c r="O606" s="31" t="s">
        <v>20</v>
      </c>
      <c r="P606" s="27">
        <f t="shared" si="161"/>
        <v>18</v>
      </c>
      <c r="Q606" s="31" t="s">
        <v>20</v>
      </c>
      <c r="R606" s="32">
        <f t="shared" si="162"/>
        <v>881460</v>
      </c>
      <c r="S606" s="32">
        <f t="shared" si="150"/>
        <v>794108.10810810805</v>
      </c>
    </row>
    <row r="607" spans="1:19">
      <c r="S607" s="23"/>
    </row>
    <row r="608" spans="1:19" ht="15.75">
      <c r="A608" s="14" t="s">
        <v>573</v>
      </c>
      <c r="S608" s="23"/>
    </row>
    <row r="609" spans="1:19">
      <c r="A609" s="15" t="s">
        <v>574</v>
      </c>
      <c r="S609" s="23"/>
    </row>
    <row r="610" spans="1:19" s="26" customFormat="1">
      <c r="A610" s="107" t="s">
        <v>575</v>
      </c>
      <c r="B610" s="26" t="s">
        <v>26</v>
      </c>
      <c r="C610" s="27"/>
      <c r="D610" s="28" t="s">
        <v>43</v>
      </c>
      <c r="E610" s="29">
        <f>1+5</f>
        <v>6</v>
      </c>
      <c r="F610" s="30">
        <v>1</v>
      </c>
      <c r="G610" s="31" t="s">
        <v>21</v>
      </c>
      <c r="H610" s="30">
        <v>60</v>
      </c>
      <c r="I610" s="31" t="s">
        <v>43</v>
      </c>
      <c r="J610" s="32">
        <f>2160000/60</f>
        <v>36000</v>
      </c>
      <c r="K610" s="28" t="s">
        <v>43</v>
      </c>
      <c r="L610" s="33"/>
      <c r="M610" s="33">
        <v>0.17</v>
      </c>
      <c r="N610" s="27">
        <v>300</v>
      </c>
      <c r="O610" s="31" t="s">
        <v>43</v>
      </c>
      <c r="P610" s="27">
        <f>(C610+(E610*F610*H610))-N610</f>
        <v>60</v>
      </c>
      <c r="Q610" s="31" t="s">
        <v>43</v>
      </c>
      <c r="R610" s="32">
        <f>P610*(J610-(J610*L610)-((J610-(J610*L610))*M610))</f>
        <v>1792800</v>
      </c>
      <c r="S610" s="32">
        <f t="shared" si="150"/>
        <v>1615135.1351351349</v>
      </c>
    </row>
    <row r="611" spans="1:19" s="26" customFormat="1">
      <c r="A611" s="107" t="s">
        <v>576</v>
      </c>
      <c r="B611" s="26" t="s">
        <v>26</v>
      </c>
      <c r="C611" s="27">
        <v>211</v>
      </c>
      <c r="D611" s="28" t="s">
        <v>43</v>
      </c>
      <c r="E611" s="29"/>
      <c r="F611" s="30">
        <v>12</v>
      </c>
      <c r="G611" s="31" t="s">
        <v>88</v>
      </c>
      <c r="H611" s="30">
        <v>12</v>
      </c>
      <c r="I611" s="31" t="s">
        <v>43</v>
      </c>
      <c r="J611" s="32">
        <f>1555200/144</f>
        <v>10800</v>
      </c>
      <c r="K611" s="28" t="s">
        <v>43</v>
      </c>
      <c r="L611" s="33">
        <v>0.05</v>
      </c>
      <c r="M611" s="33">
        <v>0.17</v>
      </c>
      <c r="N611" s="27">
        <f>3+12</f>
        <v>15</v>
      </c>
      <c r="O611" s="31" t="s">
        <v>43</v>
      </c>
      <c r="P611" s="27">
        <f>(C611+(E611*F611*H611))-N611</f>
        <v>196</v>
      </c>
      <c r="Q611" s="31" t="s">
        <v>43</v>
      </c>
      <c r="R611" s="32">
        <f>P611*(J611-(J611*L611)-((J611-(J611*L611))*M611))</f>
        <v>1669096.7999999998</v>
      </c>
      <c r="S611" s="32">
        <f t="shared" si="150"/>
        <v>1503690.8108108104</v>
      </c>
    </row>
    <row r="612" spans="1:19">
      <c r="A612" s="15" t="s">
        <v>577</v>
      </c>
      <c r="S612" s="23"/>
    </row>
    <row r="613" spans="1:19" s="17" customFormat="1">
      <c r="A613" s="111" t="s">
        <v>578</v>
      </c>
      <c r="B613" s="17" t="s">
        <v>26</v>
      </c>
      <c r="C613" s="18">
        <v>61</v>
      </c>
      <c r="D613" s="19" t="s">
        <v>43</v>
      </c>
      <c r="E613" s="20">
        <f>1+1</f>
        <v>2</v>
      </c>
      <c r="F613" s="21">
        <v>1</v>
      </c>
      <c r="G613" s="22" t="s">
        <v>21</v>
      </c>
      <c r="H613" s="21">
        <v>60</v>
      </c>
      <c r="I613" s="22" t="s">
        <v>43</v>
      </c>
      <c r="J613" s="23">
        <f>2268000/60</f>
        <v>37800</v>
      </c>
      <c r="K613" s="19" t="s">
        <v>43</v>
      </c>
      <c r="L613" s="24"/>
      <c r="M613" s="24">
        <v>0.17</v>
      </c>
      <c r="N613" s="18">
        <f>60+60+60+1</f>
        <v>181</v>
      </c>
      <c r="O613" s="22" t="s">
        <v>43</v>
      </c>
      <c r="P613" s="18">
        <f>(C613+(E613*F613*H613))-N613</f>
        <v>0</v>
      </c>
      <c r="Q613" s="22" t="s">
        <v>43</v>
      </c>
      <c r="R613" s="23">
        <f>P613*(J613-(J613*L613)-((J613-(J613*L613))*M613))</f>
        <v>0</v>
      </c>
      <c r="S613" s="23">
        <f t="shared" si="150"/>
        <v>0</v>
      </c>
    </row>
    <row r="614" spans="1:19">
      <c r="A614" s="15" t="s">
        <v>579</v>
      </c>
      <c r="S614" s="23"/>
    </row>
    <row r="615" spans="1:19" s="45" customFormat="1">
      <c r="A615" s="44" t="s">
        <v>580</v>
      </c>
      <c r="B615" s="45" t="s">
        <v>19</v>
      </c>
      <c r="C615" s="46">
        <v>54</v>
      </c>
      <c r="D615" s="47" t="s">
        <v>162</v>
      </c>
      <c r="E615" s="48"/>
      <c r="F615" s="49">
        <v>8</v>
      </c>
      <c r="G615" s="50" t="s">
        <v>34</v>
      </c>
      <c r="H615" s="49">
        <v>12</v>
      </c>
      <c r="I615" s="50" t="s">
        <v>162</v>
      </c>
      <c r="J615" s="51">
        <v>17000</v>
      </c>
      <c r="K615" s="47" t="s">
        <v>162</v>
      </c>
      <c r="L615" s="52">
        <v>0.125</v>
      </c>
      <c r="M615" s="52">
        <v>0.05</v>
      </c>
      <c r="N615" s="46">
        <f>(3*12)</f>
        <v>36</v>
      </c>
      <c r="O615" s="50" t="s">
        <v>162</v>
      </c>
      <c r="P615" s="46">
        <f t="shared" ref="P615:P619" si="163">(C615+(E615*F615*H615))-N615</f>
        <v>18</v>
      </c>
      <c r="Q615" s="50" t="s">
        <v>162</v>
      </c>
      <c r="R615" s="51">
        <f t="shared" ref="R615:R619" si="164">P615*(J615-(J615*L615)-((J615-(J615*L615))*M615))</f>
        <v>254362.5</v>
      </c>
      <c r="S615" s="32">
        <f t="shared" si="150"/>
        <v>229155.40540540538</v>
      </c>
    </row>
    <row r="616" spans="1:19" s="45" customFormat="1">
      <c r="A616" s="44" t="s">
        <v>581</v>
      </c>
      <c r="B616" s="45" t="s">
        <v>19</v>
      </c>
      <c r="C616" s="46">
        <v>3</v>
      </c>
      <c r="D616" s="47" t="s">
        <v>162</v>
      </c>
      <c r="E616" s="48"/>
      <c r="F616" s="49">
        <v>8</v>
      </c>
      <c r="G616" s="50" t="s">
        <v>34</v>
      </c>
      <c r="H616" s="49">
        <v>6</v>
      </c>
      <c r="I616" s="50" t="s">
        <v>162</v>
      </c>
      <c r="J616" s="51">
        <v>34000</v>
      </c>
      <c r="K616" s="47" t="s">
        <v>162</v>
      </c>
      <c r="L616" s="52">
        <v>0.125</v>
      </c>
      <c r="M616" s="52">
        <v>0.05</v>
      </c>
      <c r="N616" s="46"/>
      <c r="O616" s="50" t="s">
        <v>162</v>
      </c>
      <c r="P616" s="46">
        <f t="shared" si="163"/>
        <v>3</v>
      </c>
      <c r="Q616" s="50" t="s">
        <v>162</v>
      </c>
      <c r="R616" s="51">
        <f t="shared" si="164"/>
        <v>84787.5</v>
      </c>
      <c r="S616" s="32">
        <f t="shared" si="150"/>
        <v>76385.135135135133</v>
      </c>
    </row>
    <row r="617" spans="1:19" s="45" customFormat="1">
      <c r="A617" s="44" t="s">
        <v>582</v>
      </c>
      <c r="B617" s="45" t="s">
        <v>19</v>
      </c>
      <c r="C617" s="46">
        <v>62</v>
      </c>
      <c r="D617" s="47" t="s">
        <v>162</v>
      </c>
      <c r="E617" s="48"/>
      <c r="F617" s="49">
        <v>6</v>
      </c>
      <c r="G617" s="50" t="s">
        <v>34</v>
      </c>
      <c r="H617" s="49">
        <v>24</v>
      </c>
      <c r="I617" s="50" t="s">
        <v>162</v>
      </c>
      <c r="J617" s="51">
        <v>31500</v>
      </c>
      <c r="K617" s="47" t="s">
        <v>162</v>
      </c>
      <c r="L617" s="52">
        <v>0.125</v>
      </c>
      <c r="M617" s="52">
        <v>0.05</v>
      </c>
      <c r="N617" s="46"/>
      <c r="O617" s="50" t="s">
        <v>162</v>
      </c>
      <c r="P617" s="46">
        <f t="shared" si="163"/>
        <v>62</v>
      </c>
      <c r="Q617" s="50" t="s">
        <v>162</v>
      </c>
      <c r="R617" s="51">
        <f t="shared" si="164"/>
        <v>1623431.25</v>
      </c>
      <c r="S617" s="32">
        <f t="shared" si="150"/>
        <v>1462550.6756756755</v>
      </c>
    </row>
    <row r="618" spans="1:19" s="45" customFormat="1">
      <c r="A618" s="44" t="s">
        <v>583</v>
      </c>
      <c r="B618" s="45" t="s">
        <v>19</v>
      </c>
      <c r="C618" s="46">
        <v>1</v>
      </c>
      <c r="D618" s="47" t="s">
        <v>162</v>
      </c>
      <c r="E618" s="48"/>
      <c r="F618" s="49">
        <v>6</v>
      </c>
      <c r="G618" s="50" t="s">
        <v>34</v>
      </c>
      <c r="H618" s="49">
        <v>12</v>
      </c>
      <c r="I618" s="50" t="s">
        <v>162</v>
      </c>
      <c r="J618" s="51">
        <v>63000</v>
      </c>
      <c r="K618" s="47" t="s">
        <v>162</v>
      </c>
      <c r="L618" s="52">
        <v>0.125</v>
      </c>
      <c r="M618" s="52">
        <v>0.05</v>
      </c>
      <c r="N618" s="46"/>
      <c r="O618" s="50" t="s">
        <v>162</v>
      </c>
      <c r="P618" s="46">
        <f t="shared" si="163"/>
        <v>1</v>
      </c>
      <c r="Q618" s="50" t="s">
        <v>162</v>
      </c>
      <c r="R618" s="51">
        <f t="shared" si="164"/>
        <v>52368.75</v>
      </c>
      <c r="S618" s="32">
        <f t="shared" si="150"/>
        <v>47179.054054054053</v>
      </c>
    </row>
    <row r="619" spans="1:19" s="63" customFormat="1">
      <c r="A619" s="72" t="s">
        <v>584</v>
      </c>
      <c r="B619" s="63" t="s">
        <v>19</v>
      </c>
      <c r="C619" s="64"/>
      <c r="D619" s="65" t="s">
        <v>162</v>
      </c>
      <c r="E619" s="66"/>
      <c r="F619" s="67">
        <v>6</v>
      </c>
      <c r="G619" s="68" t="s">
        <v>34</v>
      </c>
      <c r="H619" s="67">
        <v>24</v>
      </c>
      <c r="I619" s="68" t="s">
        <v>162</v>
      </c>
      <c r="J619" s="69"/>
      <c r="K619" s="65" t="s">
        <v>162</v>
      </c>
      <c r="L619" s="70">
        <v>0.1</v>
      </c>
      <c r="M619" s="70">
        <v>0.05</v>
      </c>
      <c r="N619" s="64"/>
      <c r="O619" s="68" t="s">
        <v>162</v>
      </c>
      <c r="P619" s="64">
        <f t="shared" si="163"/>
        <v>0</v>
      </c>
      <c r="Q619" s="68" t="s">
        <v>162</v>
      </c>
      <c r="R619" s="69">
        <f t="shared" si="164"/>
        <v>0</v>
      </c>
      <c r="S619" s="23">
        <f t="shared" si="150"/>
        <v>0</v>
      </c>
    </row>
    <row r="620" spans="1:19">
      <c r="S620" s="23"/>
    </row>
    <row r="621" spans="1:19" ht="15.75">
      <c r="A621" s="14" t="s">
        <v>585</v>
      </c>
      <c r="S621" s="23"/>
    </row>
    <row r="622" spans="1:19" s="45" customFormat="1">
      <c r="A622" s="44" t="s">
        <v>586</v>
      </c>
      <c r="B622" s="45" t="s">
        <v>19</v>
      </c>
      <c r="C622" s="46">
        <v>60</v>
      </c>
      <c r="D622" s="47" t="s">
        <v>20</v>
      </c>
      <c r="E622" s="48">
        <f>1+1</f>
        <v>2</v>
      </c>
      <c r="F622" s="49">
        <v>72</v>
      </c>
      <c r="G622" s="50" t="s">
        <v>34</v>
      </c>
      <c r="H622" s="49">
        <v>10</v>
      </c>
      <c r="I622" s="50" t="s">
        <v>20</v>
      </c>
      <c r="J622" s="51">
        <v>3600</v>
      </c>
      <c r="K622" s="47" t="s">
        <v>20</v>
      </c>
      <c r="L622" s="52">
        <v>0.125</v>
      </c>
      <c r="M622" s="52">
        <v>0.05</v>
      </c>
      <c r="N622" s="46">
        <f>30+50+60+720+110</f>
        <v>970</v>
      </c>
      <c r="O622" s="50" t="s">
        <v>20</v>
      </c>
      <c r="P622" s="46">
        <f t="shared" ref="P622:P628" si="165">(C622+(E622*F622*H622))-N622</f>
        <v>530</v>
      </c>
      <c r="Q622" s="50" t="s">
        <v>20</v>
      </c>
      <c r="R622" s="51">
        <f t="shared" ref="R622:R628" si="166">P622*(J622-(J622*L622)-((J622-(J622*L622))*M622))</f>
        <v>1586025</v>
      </c>
      <c r="S622" s="51">
        <f t="shared" si="150"/>
        <v>1428851.3513513512</v>
      </c>
    </row>
    <row r="623" spans="1:19" s="63" customFormat="1">
      <c r="A623" s="72" t="s">
        <v>587</v>
      </c>
      <c r="B623" s="63" t="s">
        <v>19</v>
      </c>
      <c r="C623" s="64"/>
      <c r="D623" s="65" t="s">
        <v>162</v>
      </c>
      <c r="E623" s="66"/>
      <c r="F623" s="67">
        <v>12</v>
      </c>
      <c r="G623" s="68" t="s">
        <v>34</v>
      </c>
      <c r="H623" s="67">
        <v>24</v>
      </c>
      <c r="I623" s="68" t="s">
        <v>162</v>
      </c>
      <c r="J623" s="69">
        <v>16500</v>
      </c>
      <c r="K623" s="65" t="s">
        <v>162</v>
      </c>
      <c r="L623" s="70">
        <v>0.125</v>
      </c>
      <c r="M623" s="70">
        <v>0.05</v>
      </c>
      <c r="N623" s="64"/>
      <c r="O623" s="68" t="s">
        <v>162</v>
      </c>
      <c r="P623" s="64">
        <f t="shared" si="165"/>
        <v>0</v>
      </c>
      <c r="Q623" s="68" t="s">
        <v>162</v>
      </c>
      <c r="R623" s="69">
        <f t="shared" si="166"/>
        <v>0</v>
      </c>
      <c r="S623" s="23">
        <f t="shared" si="150"/>
        <v>0</v>
      </c>
    </row>
    <row r="624" spans="1:19" s="26" customFormat="1">
      <c r="A624" s="25" t="s">
        <v>588</v>
      </c>
      <c r="B624" s="26" t="s">
        <v>26</v>
      </c>
      <c r="C624" s="27"/>
      <c r="D624" s="28" t="s">
        <v>20</v>
      </c>
      <c r="E624" s="29">
        <v>1</v>
      </c>
      <c r="F624" s="30">
        <v>48</v>
      </c>
      <c r="G624" s="31" t="s">
        <v>34</v>
      </c>
      <c r="H624" s="30">
        <v>10</v>
      </c>
      <c r="I624" s="31" t="s">
        <v>20</v>
      </c>
      <c r="J624" s="32">
        <f>30500/10</f>
        <v>3050</v>
      </c>
      <c r="K624" s="28" t="s">
        <v>20</v>
      </c>
      <c r="L624" s="33"/>
      <c r="M624" s="33">
        <v>0.17</v>
      </c>
      <c r="N624" s="27">
        <f>(120+120)</f>
        <v>240</v>
      </c>
      <c r="O624" s="31" t="s">
        <v>20</v>
      </c>
      <c r="P624" s="27">
        <f t="shared" si="165"/>
        <v>240</v>
      </c>
      <c r="Q624" s="31" t="s">
        <v>20</v>
      </c>
      <c r="R624" s="32">
        <f t="shared" si="166"/>
        <v>607560</v>
      </c>
      <c r="S624" s="32">
        <f t="shared" si="150"/>
        <v>547351.35135135136</v>
      </c>
    </row>
    <row r="625" spans="1:19" s="17" customFormat="1">
      <c r="A625" s="16" t="s">
        <v>589</v>
      </c>
      <c r="B625" s="17" t="s">
        <v>26</v>
      </c>
      <c r="C625" s="18"/>
      <c r="D625" s="19" t="s">
        <v>20</v>
      </c>
      <c r="E625" s="20"/>
      <c r="F625" s="21">
        <v>48</v>
      </c>
      <c r="G625" s="22" t="s">
        <v>34</v>
      </c>
      <c r="H625" s="21">
        <v>10</v>
      </c>
      <c r="I625" s="22" t="s">
        <v>20</v>
      </c>
      <c r="J625" s="23">
        <f>30500/10</f>
        <v>3050</v>
      </c>
      <c r="K625" s="19" t="s">
        <v>20</v>
      </c>
      <c r="L625" s="24"/>
      <c r="M625" s="24">
        <v>0.17</v>
      </c>
      <c r="N625" s="18"/>
      <c r="O625" s="22" t="s">
        <v>20</v>
      </c>
      <c r="P625" s="18">
        <f t="shared" si="165"/>
        <v>0</v>
      </c>
      <c r="Q625" s="22" t="s">
        <v>20</v>
      </c>
      <c r="R625" s="23">
        <f t="shared" si="166"/>
        <v>0</v>
      </c>
      <c r="S625" s="23">
        <f t="shared" ref="S625:S691" si="167">R625/1.11</f>
        <v>0</v>
      </c>
    </row>
    <row r="626" spans="1:19" s="17" customFormat="1">
      <c r="A626" s="16" t="s">
        <v>590</v>
      </c>
      <c r="B626" s="17" t="s">
        <v>26</v>
      </c>
      <c r="C626" s="18">
        <v>19</v>
      </c>
      <c r="D626" s="19" t="s">
        <v>43</v>
      </c>
      <c r="E626" s="20"/>
      <c r="F626" s="21">
        <v>12</v>
      </c>
      <c r="G626" s="22" t="s">
        <v>34</v>
      </c>
      <c r="H626" s="21">
        <v>12</v>
      </c>
      <c r="I626" s="22" t="s">
        <v>43</v>
      </c>
      <c r="J626" s="23">
        <v>25800</v>
      </c>
      <c r="K626" s="19" t="s">
        <v>43</v>
      </c>
      <c r="L626" s="24"/>
      <c r="M626" s="24">
        <v>0.17</v>
      </c>
      <c r="N626" s="18">
        <f>(6+5)+(4+4)</f>
        <v>19</v>
      </c>
      <c r="O626" s="22" t="s">
        <v>43</v>
      </c>
      <c r="P626" s="18">
        <f t="shared" si="165"/>
        <v>0</v>
      </c>
      <c r="Q626" s="22" t="s">
        <v>43</v>
      </c>
      <c r="R626" s="23">
        <f t="shared" si="166"/>
        <v>0</v>
      </c>
      <c r="S626" s="23">
        <f t="shared" si="167"/>
        <v>0</v>
      </c>
    </row>
    <row r="627" spans="1:19" s="63" customFormat="1">
      <c r="A627" s="72" t="s">
        <v>591</v>
      </c>
      <c r="B627" s="63" t="s">
        <v>275</v>
      </c>
      <c r="C627" s="64"/>
      <c r="D627" s="65" t="s">
        <v>104</v>
      </c>
      <c r="E627" s="66"/>
      <c r="F627" s="67">
        <v>1</v>
      </c>
      <c r="G627" s="68" t="s">
        <v>21</v>
      </c>
      <c r="H627" s="67">
        <v>24</v>
      </c>
      <c r="I627" s="68" t="s">
        <v>104</v>
      </c>
      <c r="J627" s="69">
        <v>94000</v>
      </c>
      <c r="K627" s="65" t="s">
        <v>104</v>
      </c>
      <c r="L627" s="70"/>
      <c r="M627" s="70"/>
      <c r="N627" s="64"/>
      <c r="O627" s="68" t="s">
        <v>104</v>
      </c>
      <c r="P627" s="64">
        <f t="shared" si="165"/>
        <v>0</v>
      </c>
      <c r="Q627" s="68" t="s">
        <v>104</v>
      </c>
      <c r="R627" s="69">
        <f t="shared" si="166"/>
        <v>0</v>
      </c>
      <c r="S627" s="23">
        <f t="shared" si="167"/>
        <v>0</v>
      </c>
    </row>
    <row r="628" spans="1:19" s="26" customFormat="1">
      <c r="A628" s="25" t="s">
        <v>592</v>
      </c>
      <c r="B628" s="26" t="s">
        <v>182</v>
      </c>
      <c r="C628" s="27">
        <v>1854</v>
      </c>
      <c r="D628" s="28" t="s">
        <v>43</v>
      </c>
      <c r="E628" s="29"/>
      <c r="F628" s="30">
        <v>1</v>
      </c>
      <c r="G628" s="31" t="s">
        <v>21</v>
      </c>
      <c r="H628" s="30">
        <v>108</v>
      </c>
      <c r="I628" s="31" t="s">
        <v>43</v>
      </c>
      <c r="J628" s="32">
        <v>18000</v>
      </c>
      <c r="K628" s="28" t="s">
        <v>43</v>
      </c>
      <c r="L628" s="33">
        <v>0.05</v>
      </c>
      <c r="M628" s="33"/>
      <c r="N628" s="27">
        <f>3+6+3+3+2+108+1+2+48+3</f>
        <v>179</v>
      </c>
      <c r="O628" s="31" t="s">
        <v>43</v>
      </c>
      <c r="P628" s="27">
        <f t="shared" si="165"/>
        <v>1675</v>
      </c>
      <c r="Q628" s="31" t="s">
        <v>43</v>
      </c>
      <c r="R628" s="32">
        <f t="shared" si="166"/>
        <v>28642500</v>
      </c>
      <c r="S628" s="32">
        <f t="shared" si="167"/>
        <v>25804054.054054052</v>
      </c>
    </row>
    <row r="629" spans="1:19" s="26" customFormat="1">
      <c r="A629" s="25" t="s">
        <v>738</v>
      </c>
      <c r="B629" s="26" t="s">
        <v>659</v>
      </c>
      <c r="C629" s="27"/>
      <c r="D629" s="28" t="s">
        <v>20</v>
      </c>
      <c r="E629" s="29">
        <f>(5+1)</f>
        <v>6</v>
      </c>
      <c r="F629" s="30">
        <v>1</v>
      </c>
      <c r="G629" s="31" t="s">
        <v>21</v>
      </c>
      <c r="H629" s="30">
        <v>600</v>
      </c>
      <c r="I629" s="31" t="s">
        <v>20</v>
      </c>
      <c r="J629" s="32">
        <v>2700</v>
      </c>
      <c r="K629" s="28" t="s">
        <v>20</v>
      </c>
      <c r="L629" s="33">
        <v>0.35</v>
      </c>
      <c r="M629" s="33"/>
      <c r="N629" s="27"/>
      <c r="O629" s="31" t="s">
        <v>20</v>
      </c>
      <c r="P629" s="27">
        <f t="shared" ref="P629" si="168">(C629+(E629*F629*H629))-N629</f>
        <v>3600</v>
      </c>
      <c r="Q629" s="31" t="s">
        <v>20</v>
      </c>
      <c r="R629" s="32">
        <f t="shared" ref="R629" si="169">P629*(J629-(J629*L629)-((J629-(J629*L629))*M629))</f>
        <v>6318000</v>
      </c>
      <c r="S629" s="32">
        <f t="shared" ref="S629" si="170">R629/1.11</f>
        <v>5691891.8918918911</v>
      </c>
    </row>
    <row r="630" spans="1:19">
      <c r="S630" s="23"/>
    </row>
    <row r="631" spans="1:19" ht="15.75">
      <c r="A631" s="14" t="s">
        <v>593</v>
      </c>
      <c r="S631" s="23"/>
    </row>
    <row r="632" spans="1:19">
      <c r="A632" s="15" t="s">
        <v>594</v>
      </c>
      <c r="S632" s="23"/>
    </row>
    <row r="633" spans="1:19" s="63" customFormat="1">
      <c r="A633" s="72" t="s">
        <v>595</v>
      </c>
      <c r="B633" s="63" t="s">
        <v>19</v>
      </c>
      <c r="C633" s="64"/>
      <c r="D633" s="65" t="s">
        <v>20</v>
      </c>
      <c r="E633" s="66"/>
      <c r="F633" s="67">
        <v>40</v>
      </c>
      <c r="G633" s="68" t="s">
        <v>104</v>
      </c>
      <c r="H633" s="67">
        <v>12</v>
      </c>
      <c r="I633" s="68" t="s">
        <v>20</v>
      </c>
      <c r="J633" s="69">
        <v>6700</v>
      </c>
      <c r="K633" s="65" t="s">
        <v>20</v>
      </c>
      <c r="L633" s="70">
        <v>0.125</v>
      </c>
      <c r="M633" s="70">
        <v>0.05</v>
      </c>
      <c r="N633" s="64"/>
      <c r="O633" s="68" t="s">
        <v>20</v>
      </c>
      <c r="P633" s="64">
        <f t="shared" ref="P633" si="171">(C633+(E633*F633*H633))-N633</f>
        <v>0</v>
      </c>
      <c r="Q633" s="68" t="s">
        <v>20</v>
      </c>
      <c r="R633" s="69">
        <f t="shared" ref="R633" si="172">P633*(J633-(J633*L633)-((J633-(J633*L633))*M633))</f>
        <v>0</v>
      </c>
      <c r="S633" s="23">
        <f t="shared" si="167"/>
        <v>0</v>
      </c>
    </row>
    <row r="634" spans="1:19" s="63" customFormat="1">
      <c r="A634" s="72" t="s">
        <v>596</v>
      </c>
      <c r="B634" s="63" t="s">
        <v>19</v>
      </c>
      <c r="C634" s="64"/>
      <c r="D634" s="65" t="s">
        <v>20</v>
      </c>
      <c r="E634" s="66"/>
      <c r="F634" s="67">
        <v>20</v>
      </c>
      <c r="G634" s="68" t="s">
        <v>104</v>
      </c>
      <c r="H634" s="67">
        <v>12</v>
      </c>
      <c r="I634" s="68" t="s">
        <v>20</v>
      </c>
      <c r="J634" s="69">
        <v>8400</v>
      </c>
      <c r="K634" s="65" t="s">
        <v>20</v>
      </c>
      <c r="L634" s="70">
        <v>0.125</v>
      </c>
      <c r="M634" s="70">
        <v>0.05</v>
      </c>
      <c r="N634" s="64"/>
      <c r="O634" s="68" t="s">
        <v>20</v>
      </c>
      <c r="P634" s="64">
        <f>(C634+(E634*F634*H634))-N634</f>
        <v>0</v>
      </c>
      <c r="Q634" s="68" t="s">
        <v>20</v>
      </c>
      <c r="R634" s="69">
        <f>P634*(J634-(J634*L634)-((J634-(J634*L634))*M634))</f>
        <v>0</v>
      </c>
      <c r="S634" s="23">
        <f t="shared" si="167"/>
        <v>0</v>
      </c>
    </row>
    <row r="635" spans="1:19" s="17" customFormat="1">
      <c r="A635" s="93" t="s">
        <v>597</v>
      </c>
      <c r="B635" s="17" t="s">
        <v>26</v>
      </c>
      <c r="C635" s="18">
        <v>4</v>
      </c>
      <c r="D635" s="19" t="s">
        <v>43</v>
      </c>
      <c r="E635" s="20"/>
      <c r="F635" s="21">
        <v>1</v>
      </c>
      <c r="G635" s="22" t="s">
        <v>21</v>
      </c>
      <c r="H635" s="21">
        <v>40</v>
      </c>
      <c r="I635" s="22" t="s">
        <v>43</v>
      </c>
      <c r="J635" s="23">
        <f>3096000/40</f>
        <v>77400</v>
      </c>
      <c r="K635" s="19" t="s">
        <v>43</v>
      </c>
      <c r="L635" s="24"/>
      <c r="M635" s="24">
        <v>0.17</v>
      </c>
      <c r="N635" s="140">
        <v>4</v>
      </c>
      <c r="O635" s="22" t="s">
        <v>43</v>
      </c>
      <c r="P635" s="140">
        <f t="shared" ref="P635:P640" si="173">(C635+(E635*F635*H635))-N635</f>
        <v>0</v>
      </c>
      <c r="Q635" s="22" t="s">
        <v>43</v>
      </c>
      <c r="R635" s="23">
        <f t="shared" ref="R635:R640" si="174">P635*(J635-(J635*L635)-((J635-(J635*L635))*M635))</f>
        <v>0</v>
      </c>
      <c r="S635" s="23">
        <f t="shared" si="167"/>
        <v>0</v>
      </c>
    </row>
    <row r="636" spans="1:19" s="26" customFormat="1">
      <c r="A636" s="94" t="s">
        <v>598</v>
      </c>
      <c r="B636" s="26" t="s">
        <v>26</v>
      </c>
      <c r="C636" s="27">
        <v>15</v>
      </c>
      <c r="D636" s="28" t="s">
        <v>43</v>
      </c>
      <c r="E636" s="29">
        <v>1</v>
      </c>
      <c r="F636" s="30">
        <v>1</v>
      </c>
      <c r="G636" s="31" t="s">
        <v>21</v>
      </c>
      <c r="H636" s="30">
        <v>40</v>
      </c>
      <c r="I636" s="31" t="s">
        <v>43</v>
      </c>
      <c r="J636" s="32">
        <f>2976000/40</f>
        <v>74400</v>
      </c>
      <c r="K636" s="28" t="s">
        <v>43</v>
      </c>
      <c r="L636" s="33"/>
      <c r="M636" s="33">
        <v>0.17</v>
      </c>
      <c r="N636" s="27">
        <f>5+9+6+1</f>
        <v>21</v>
      </c>
      <c r="O636" s="31" t="s">
        <v>43</v>
      </c>
      <c r="P636" s="27">
        <f t="shared" si="173"/>
        <v>34</v>
      </c>
      <c r="Q636" s="31" t="s">
        <v>43</v>
      </c>
      <c r="R636" s="32">
        <f t="shared" si="174"/>
        <v>2099568</v>
      </c>
      <c r="S636" s="32">
        <f t="shared" si="167"/>
        <v>1891502.7027027025</v>
      </c>
    </row>
    <row r="637" spans="1:19" s="17" customFormat="1">
      <c r="A637" s="93" t="s">
        <v>599</v>
      </c>
      <c r="B637" s="17" t="s">
        <v>26</v>
      </c>
      <c r="C637" s="18"/>
      <c r="D637" s="19" t="s">
        <v>20</v>
      </c>
      <c r="E637" s="20"/>
      <c r="F637" s="21">
        <v>1</v>
      </c>
      <c r="G637" s="22" t="s">
        <v>21</v>
      </c>
      <c r="H637" s="21">
        <v>20</v>
      </c>
      <c r="I637" s="22" t="s">
        <v>20</v>
      </c>
      <c r="J637" s="23">
        <v>90000</v>
      </c>
      <c r="K637" s="19" t="s">
        <v>20</v>
      </c>
      <c r="L637" s="24"/>
      <c r="M637" s="24">
        <v>0.17</v>
      </c>
      <c r="N637" s="18"/>
      <c r="O637" s="22" t="s">
        <v>20</v>
      </c>
      <c r="P637" s="18">
        <f t="shared" si="173"/>
        <v>0</v>
      </c>
      <c r="Q637" s="22" t="s">
        <v>20</v>
      </c>
      <c r="R637" s="23">
        <f t="shared" si="174"/>
        <v>0</v>
      </c>
      <c r="S637" s="23">
        <f t="shared" si="167"/>
        <v>0</v>
      </c>
    </row>
    <row r="638" spans="1:19" s="17" customFormat="1">
      <c r="A638" s="93" t="s">
        <v>600</v>
      </c>
      <c r="B638" s="17" t="s">
        <v>26</v>
      </c>
      <c r="C638" s="18"/>
      <c r="D638" s="19" t="s">
        <v>20</v>
      </c>
      <c r="E638" s="20"/>
      <c r="F638" s="21">
        <v>1</v>
      </c>
      <c r="G638" s="22" t="s">
        <v>21</v>
      </c>
      <c r="H638" s="21">
        <v>20</v>
      </c>
      <c r="I638" s="22" t="s">
        <v>20</v>
      </c>
      <c r="J638" s="23">
        <v>87500</v>
      </c>
      <c r="K638" s="19" t="s">
        <v>20</v>
      </c>
      <c r="L638" s="24"/>
      <c r="M638" s="24">
        <v>0.17</v>
      </c>
      <c r="N638" s="18"/>
      <c r="O638" s="22" t="s">
        <v>20</v>
      </c>
      <c r="P638" s="18">
        <f t="shared" si="173"/>
        <v>0</v>
      </c>
      <c r="Q638" s="22" t="s">
        <v>20</v>
      </c>
      <c r="R638" s="23">
        <f t="shared" si="174"/>
        <v>0</v>
      </c>
      <c r="S638" s="23">
        <f t="shared" si="167"/>
        <v>0</v>
      </c>
    </row>
    <row r="639" spans="1:19" s="17" customFormat="1">
      <c r="A639" s="93" t="s">
        <v>601</v>
      </c>
      <c r="B639" s="17" t="s">
        <v>26</v>
      </c>
      <c r="C639" s="18"/>
      <c r="D639" s="19" t="s">
        <v>43</v>
      </c>
      <c r="E639" s="20"/>
      <c r="F639" s="21">
        <v>1</v>
      </c>
      <c r="G639" s="22" t="s">
        <v>21</v>
      </c>
      <c r="H639" s="21">
        <v>40</v>
      </c>
      <c r="I639" s="22" t="s">
        <v>43</v>
      </c>
      <c r="J639" s="23">
        <f>3360000/40</f>
        <v>84000</v>
      </c>
      <c r="K639" s="19" t="s">
        <v>43</v>
      </c>
      <c r="L639" s="24"/>
      <c r="M639" s="24">
        <v>0.17</v>
      </c>
      <c r="N639" s="18"/>
      <c r="O639" s="22" t="s">
        <v>43</v>
      </c>
      <c r="P639" s="18">
        <f t="shared" si="173"/>
        <v>0</v>
      </c>
      <c r="Q639" s="22" t="s">
        <v>43</v>
      </c>
      <c r="R639" s="23">
        <f t="shared" si="174"/>
        <v>0</v>
      </c>
      <c r="S639" s="23">
        <f t="shared" si="167"/>
        <v>0</v>
      </c>
    </row>
    <row r="640" spans="1:19" s="26" customFormat="1">
      <c r="A640" s="94" t="s">
        <v>602</v>
      </c>
      <c r="B640" s="26" t="s">
        <v>26</v>
      </c>
      <c r="C640" s="27">
        <v>19.5</v>
      </c>
      <c r="D640" s="28" t="s">
        <v>43</v>
      </c>
      <c r="E640" s="29">
        <v>1</v>
      </c>
      <c r="F640" s="30">
        <v>1</v>
      </c>
      <c r="G640" s="31" t="s">
        <v>21</v>
      </c>
      <c r="H640" s="30">
        <v>20</v>
      </c>
      <c r="I640" s="31" t="s">
        <v>43</v>
      </c>
      <c r="J640" s="32">
        <f>1992000/20</f>
        <v>99600</v>
      </c>
      <c r="K640" s="28" t="s">
        <v>43</v>
      </c>
      <c r="L640" s="33"/>
      <c r="M640" s="33">
        <v>0.17</v>
      </c>
      <c r="N640" s="141">
        <f>10+2+5+20</f>
        <v>37</v>
      </c>
      <c r="O640" s="31" t="s">
        <v>43</v>
      </c>
      <c r="P640" s="141">
        <f t="shared" si="173"/>
        <v>2.5</v>
      </c>
      <c r="Q640" s="31" t="s">
        <v>43</v>
      </c>
      <c r="R640" s="32">
        <f t="shared" si="174"/>
        <v>206670</v>
      </c>
      <c r="S640" s="32">
        <f t="shared" si="167"/>
        <v>186189.18918918917</v>
      </c>
    </row>
    <row r="641" spans="1:19">
      <c r="A641" s="15" t="s">
        <v>603</v>
      </c>
      <c r="S641" s="23"/>
    </row>
    <row r="642" spans="1:19" s="63" customFormat="1">
      <c r="A642" s="72" t="s">
        <v>604</v>
      </c>
      <c r="B642" s="63" t="s">
        <v>19</v>
      </c>
      <c r="C642" s="64">
        <v>18</v>
      </c>
      <c r="D642" s="65" t="s">
        <v>43</v>
      </c>
      <c r="E642" s="66"/>
      <c r="F642" s="67">
        <v>18</v>
      </c>
      <c r="G642" s="68" t="s">
        <v>104</v>
      </c>
      <c r="H642" s="67">
        <v>1</v>
      </c>
      <c r="I642" s="68" t="s">
        <v>43</v>
      </c>
      <c r="J642" s="69">
        <f>5300*12</f>
        <v>63600</v>
      </c>
      <c r="K642" s="65" t="s">
        <v>43</v>
      </c>
      <c r="L642" s="70">
        <v>0.125</v>
      </c>
      <c r="M642" s="70">
        <v>0.05</v>
      </c>
      <c r="N642" s="64">
        <f>(216/12)</f>
        <v>18</v>
      </c>
      <c r="O642" s="68" t="s">
        <v>43</v>
      </c>
      <c r="P642" s="64">
        <f t="shared" ref="P642:P647" si="175">(C642+(E642*F642*H642))-N642</f>
        <v>0</v>
      </c>
      <c r="Q642" s="68" t="s">
        <v>43</v>
      </c>
      <c r="R642" s="69">
        <f t="shared" ref="R642:R647" si="176">P642*(J642-(J642*L642)-((J642-(J642*L642))*M642))</f>
        <v>0</v>
      </c>
      <c r="S642" s="23">
        <f t="shared" si="167"/>
        <v>0</v>
      </c>
    </row>
    <row r="643" spans="1:19" s="85" customFormat="1">
      <c r="A643" s="72" t="s">
        <v>605</v>
      </c>
      <c r="B643" s="63" t="s">
        <v>19</v>
      </c>
      <c r="C643" s="64">
        <v>3</v>
      </c>
      <c r="D643" s="65" t="s">
        <v>43</v>
      </c>
      <c r="E643" s="66"/>
      <c r="F643" s="67">
        <v>24</v>
      </c>
      <c r="G643" s="68" t="s">
        <v>104</v>
      </c>
      <c r="H643" s="67">
        <v>2</v>
      </c>
      <c r="I643" s="68" t="s">
        <v>43</v>
      </c>
      <c r="J643" s="69">
        <f>4750*12</f>
        <v>57000</v>
      </c>
      <c r="K643" s="65" t="s">
        <v>43</v>
      </c>
      <c r="L643" s="70">
        <v>0.125</v>
      </c>
      <c r="M643" s="70">
        <v>0.05</v>
      </c>
      <c r="N643" s="64">
        <v>3</v>
      </c>
      <c r="O643" s="68" t="s">
        <v>43</v>
      </c>
      <c r="P643" s="64">
        <f t="shared" si="175"/>
        <v>0</v>
      </c>
      <c r="Q643" s="68" t="s">
        <v>43</v>
      </c>
      <c r="R643" s="69">
        <f t="shared" si="176"/>
        <v>0</v>
      </c>
      <c r="S643" s="23">
        <f t="shared" si="167"/>
        <v>0</v>
      </c>
    </row>
    <row r="644" spans="1:19" s="63" customFormat="1">
      <c r="A644" s="72" t="s">
        <v>606</v>
      </c>
      <c r="B644" s="63" t="s">
        <v>19</v>
      </c>
      <c r="C644" s="64">
        <v>3</v>
      </c>
      <c r="D644" s="65" t="s">
        <v>43</v>
      </c>
      <c r="E644" s="66"/>
      <c r="F644" s="67">
        <v>18</v>
      </c>
      <c r="G644" s="68" t="s">
        <v>104</v>
      </c>
      <c r="H644" s="67">
        <v>1</v>
      </c>
      <c r="I644" s="68" t="s">
        <v>43</v>
      </c>
      <c r="J644" s="69">
        <f>6100*12</f>
        <v>73200</v>
      </c>
      <c r="K644" s="65" t="s">
        <v>43</v>
      </c>
      <c r="L644" s="70">
        <v>0.125</v>
      </c>
      <c r="M644" s="70">
        <v>0.05</v>
      </c>
      <c r="N644" s="64">
        <v>3</v>
      </c>
      <c r="O644" s="68" t="s">
        <v>43</v>
      </c>
      <c r="P644" s="64">
        <f t="shared" si="175"/>
        <v>0</v>
      </c>
      <c r="Q644" s="68" t="s">
        <v>43</v>
      </c>
      <c r="R644" s="69">
        <f t="shared" si="176"/>
        <v>0</v>
      </c>
      <c r="S644" s="23">
        <f t="shared" si="167"/>
        <v>0</v>
      </c>
    </row>
    <row r="645" spans="1:19" s="63" customFormat="1">
      <c r="A645" s="72" t="s">
        <v>607</v>
      </c>
      <c r="B645" s="63" t="s">
        <v>19</v>
      </c>
      <c r="C645" s="64"/>
      <c r="D645" s="65" t="s">
        <v>43</v>
      </c>
      <c r="E645" s="66"/>
      <c r="F645" s="67">
        <v>24</v>
      </c>
      <c r="G645" s="68" t="s">
        <v>104</v>
      </c>
      <c r="H645" s="67">
        <v>6</v>
      </c>
      <c r="I645" s="68" t="s">
        <v>20</v>
      </c>
      <c r="J645" s="69">
        <v>12600</v>
      </c>
      <c r="K645" s="65" t="s">
        <v>20</v>
      </c>
      <c r="L645" s="70">
        <v>0.125</v>
      </c>
      <c r="M645" s="70">
        <v>0.05</v>
      </c>
      <c r="N645" s="64"/>
      <c r="O645" s="68" t="s">
        <v>20</v>
      </c>
      <c r="P645" s="64">
        <f t="shared" si="175"/>
        <v>0</v>
      </c>
      <c r="Q645" s="68" t="s">
        <v>20</v>
      </c>
      <c r="R645" s="69">
        <f t="shared" si="176"/>
        <v>0</v>
      </c>
      <c r="S645" s="23">
        <f t="shared" si="167"/>
        <v>0</v>
      </c>
    </row>
    <row r="646" spans="1:19" s="45" customFormat="1">
      <c r="A646" s="44" t="s">
        <v>608</v>
      </c>
      <c r="B646" s="45" t="s">
        <v>26</v>
      </c>
      <c r="C646" s="46">
        <v>45</v>
      </c>
      <c r="D646" s="47" t="s">
        <v>43</v>
      </c>
      <c r="E646" s="48"/>
      <c r="F646" s="49">
        <v>1</v>
      </c>
      <c r="G646" s="50" t="s">
        <v>21</v>
      </c>
      <c r="H646" s="49">
        <v>18</v>
      </c>
      <c r="I646" s="50" t="s">
        <v>43</v>
      </c>
      <c r="J646" s="51">
        <f>1069200/18</f>
        <v>59400</v>
      </c>
      <c r="K646" s="47" t="s">
        <v>43</v>
      </c>
      <c r="L646" s="52"/>
      <c r="M646" s="52">
        <v>0.17</v>
      </c>
      <c r="N646" s="46">
        <f>2+3+1+1</f>
        <v>7</v>
      </c>
      <c r="O646" s="50" t="s">
        <v>43</v>
      </c>
      <c r="P646" s="46">
        <f t="shared" si="175"/>
        <v>38</v>
      </c>
      <c r="Q646" s="50" t="s">
        <v>43</v>
      </c>
      <c r="R646" s="51">
        <f t="shared" si="176"/>
        <v>1873476</v>
      </c>
      <c r="S646" s="51">
        <f t="shared" si="167"/>
        <v>1687816.2162162161</v>
      </c>
    </row>
    <row r="647" spans="1:19" s="26" customFormat="1">
      <c r="A647" s="25" t="s">
        <v>609</v>
      </c>
      <c r="B647" s="26" t="s">
        <v>26</v>
      </c>
      <c r="C647" s="27">
        <v>8</v>
      </c>
      <c r="D647" s="28" t="s">
        <v>43</v>
      </c>
      <c r="E647" s="29"/>
      <c r="F647" s="30">
        <v>1</v>
      </c>
      <c r="G647" s="31" t="s">
        <v>21</v>
      </c>
      <c r="H647" s="30">
        <v>18</v>
      </c>
      <c r="I647" s="31" t="s">
        <v>43</v>
      </c>
      <c r="J647" s="32">
        <f>1274400/18</f>
        <v>70800</v>
      </c>
      <c r="K647" s="28" t="s">
        <v>43</v>
      </c>
      <c r="L647" s="33"/>
      <c r="M647" s="33">
        <v>0.17</v>
      </c>
      <c r="N647" s="27">
        <v>1</v>
      </c>
      <c r="O647" s="31" t="s">
        <v>43</v>
      </c>
      <c r="P647" s="27">
        <f t="shared" si="175"/>
        <v>7</v>
      </c>
      <c r="Q647" s="31" t="s">
        <v>43</v>
      </c>
      <c r="R647" s="32">
        <f t="shared" si="176"/>
        <v>411348</v>
      </c>
      <c r="S647" s="32">
        <f t="shared" si="167"/>
        <v>370583.78378378373</v>
      </c>
    </row>
    <row r="648" spans="1:19">
      <c r="S648" s="23"/>
    </row>
    <row r="649" spans="1:19" ht="15.75">
      <c r="A649" s="14" t="s">
        <v>610</v>
      </c>
      <c r="S649" s="23"/>
    </row>
    <row r="650" spans="1:19">
      <c r="A650" s="15" t="s">
        <v>611</v>
      </c>
      <c r="S650" s="23"/>
    </row>
    <row r="651" spans="1:19" s="17" customFormat="1">
      <c r="A651" s="16" t="s">
        <v>612</v>
      </c>
      <c r="B651" s="63" t="s">
        <v>19</v>
      </c>
      <c r="C651" s="18"/>
      <c r="D651" s="19" t="s">
        <v>20</v>
      </c>
      <c r="E651" s="20"/>
      <c r="F651" s="21">
        <v>1</v>
      </c>
      <c r="G651" s="22" t="s">
        <v>21</v>
      </c>
      <c r="H651" s="21">
        <v>24</v>
      </c>
      <c r="I651" s="22" t="s">
        <v>20</v>
      </c>
      <c r="J651" s="23">
        <v>97000</v>
      </c>
      <c r="K651" s="19" t="s">
        <v>20</v>
      </c>
      <c r="L651" s="24">
        <v>0.125</v>
      </c>
      <c r="M651" s="24">
        <v>0.05</v>
      </c>
      <c r="N651" s="18"/>
      <c r="O651" s="22" t="s">
        <v>20</v>
      </c>
      <c r="P651" s="18">
        <f>(C651+(E651*F651*H651))-N651</f>
        <v>0</v>
      </c>
      <c r="Q651" s="22" t="s">
        <v>20</v>
      </c>
      <c r="R651" s="23">
        <f>P651*(J651-(J651*L651)-((J651-(J651*L651))*M651))</f>
        <v>0</v>
      </c>
      <c r="S651" s="23">
        <f t="shared" si="167"/>
        <v>0</v>
      </c>
    </row>
    <row r="652" spans="1:19" s="17" customFormat="1">
      <c r="A652" s="16" t="s">
        <v>613</v>
      </c>
      <c r="B652" s="17" t="s">
        <v>26</v>
      </c>
      <c r="C652" s="18"/>
      <c r="D652" s="19" t="s">
        <v>43</v>
      </c>
      <c r="E652" s="20"/>
      <c r="F652" s="21">
        <v>1</v>
      </c>
      <c r="G652" s="22" t="s">
        <v>21</v>
      </c>
      <c r="H652" s="21">
        <v>48</v>
      </c>
      <c r="I652" s="22" t="s">
        <v>20</v>
      </c>
      <c r="J652" s="23">
        <f>2400000/48</f>
        <v>50000</v>
      </c>
      <c r="K652" s="19" t="s">
        <v>20</v>
      </c>
      <c r="L652" s="24"/>
      <c r="M652" s="24">
        <v>0.17</v>
      </c>
      <c r="N652" s="18"/>
      <c r="O652" s="22" t="s">
        <v>20</v>
      </c>
      <c r="P652" s="18">
        <f>(C652+(E652*F652*H652))-N652</f>
        <v>0</v>
      </c>
      <c r="Q652" s="22" t="s">
        <v>20</v>
      </c>
      <c r="R652" s="23">
        <f>P652*(J652-(J652*L652)-((J652-(J652*L652))*M652))</f>
        <v>0</v>
      </c>
      <c r="S652" s="23">
        <f t="shared" si="167"/>
        <v>0</v>
      </c>
    </row>
    <row r="653" spans="1:19">
      <c r="A653" s="15" t="s">
        <v>614</v>
      </c>
      <c r="S653" s="23"/>
    </row>
    <row r="654" spans="1:19" s="45" customFormat="1">
      <c r="A654" s="44" t="s">
        <v>615</v>
      </c>
      <c r="B654" s="45" t="s">
        <v>19</v>
      </c>
      <c r="C654" s="46">
        <v>6</v>
      </c>
      <c r="D654" s="47" t="s">
        <v>43</v>
      </c>
      <c r="E654" s="48">
        <f>1+6</f>
        <v>7</v>
      </c>
      <c r="F654" s="49">
        <v>1</v>
      </c>
      <c r="G654" s="50" t="s">
        <v>21</v>
      </c>
      <c r="H654" s="49">
        <v>20</v>
      </c>
      <c r="I654" s="50" t="s">
        <v>43</v>
      </c>
      <c r="J654" s="51">
        <v>82800</v>
      </c>
      <c r="K654" s="47" t="s">
        <v>43</v>
      </c>
      <c r="L654" s="52">
        <v>0.125</v>
      </c>
      <c r="M654" s="52">
        <v>0.05</v>
      </c>
      <c r="N654" s="46">
        <f>20+20+100</f>
        <v>140</v>
      </c>
      <c r="O654" s="50" t="s">
        <v>43</v>
      </c>
      <c r="P654" s="46">
        <f t="shared" ref="P654:P691" si="177">(C654+(E654*F654*H654))-N654</f>
        <v>6</v>
      </c>
      <c r="Q654" s="50" t="s">
        <v>43</v>
      </c>
      <c r="R654" s="51">
        <f t="shared" ref="R654:R691" si="178">P654*(J654-(J654*L654)-((J654-(J654*L654))*M654))</f>
        <v>412965</v>
      </c>
      <c r="S654" s="51">
        <f t="shared" si="167"/>
        <v>372040.54054054053</v>
      </c>
    </row>
    <row r="655" spans="1:19" s="17" customFormat="1">
      <c r="A655" s="16" t="s">
        <v>616</v>
      </c>
      <c r="B655" s="17" t="s">
        <v>19</v>
      </c>
      <c r="C655" s="18">
        <v>12</v>
      </c>
      <c r="D655" s="19" t="s">
        <v>20</v>
      </c>
      <c r="E655" s="20"/>
      <c r="F655" s="21">
        <v>24</v>
      </c>
      <c r="G655" s="22" t="s">
        <v>34</v>
      </c>
      <c r="H655" s="21">
        <v>10</v>
      </c>
      <c r="I655" s="22" t="s">
        <v>20</v>
      </c>
      <c r="J655" s="23">
        <v>9400</v>
      </c>
      <c r="K655" s="19" t="s">
        <v>20</v>
      </c>
      <c r="L655" s="24">
        <v>0.125</v>
      </c>
      <c r="M655" s="24">
        <v>0.05</v>
      </c>
      <c r="N655" s="18">
        <f>(1*12)</f>
        <v>12</v>
      </c>
      <c r="O655" s="22" t="s">
        <v>20</v>
      </c>
      <c r="P655" s="18">
        <f t="shared" si="177"/>
        <v>0</v>
      </c>
      <c r="Q655" s="22" t="s">
        <v>20</v>
      </c>
      <c r="R655" s="23">
        <f t="shared" si="178"/>
        <v>0</v>
      </c>
      <c r="S655" s="23">
        <f t="shared" si="167"/>
        <v>0</v>
      </c>
    </row>
    <row r="656" spans="1:19" s="17" customFormat="1">
      <c r="A656" s="16" t="s">
        <v>617</v>
      </c>
      <c r="B656" s="17" t="s">
        <v>19</v>
      </c>
      <c r="C656" s="18">
        <v>13</v>
      </c>
      <c r="D656" s="19" t="s">
        <v>43</v>
      </c>
      <c r="E656" s="20">
        <f>1+1</f>
        <v>2</v>
      </c>
      <c r="F656" s="21">
        <v>1</v>
      </c>
      <c r="G656" s="22" t="s">
        <v>21</v>
      </c>
      <c r="H656" s="21">
        <v>25</v>
      </c>
      <c r="I656" s="22" t="s">
        <v>43</v>
      </c>
      <c r="J656" s="23">
        <v>70800</v>
      </c>
      <c r="K656" s="19" t="s">
        <v>43</v>
      </c>
      <c r="L656" s="24">
        <v>0.125</v>
      </c>
      <c r="M656" s="24">
        <v>0.05</v>
      </c>
      <c r="N656" s="18">
        <f>25+12+25+1</f>
        <v>63</v>
      </c>
      <c r="O656" s="22" t="s">
        <v>43</v>
      </c>
      <c r="P656" s="18">
        <f t="shared" si="177"/>
        <v>0</v>
      </c>
      <c r="Q656" s="22" t="s">
        <v>43</v>
      </c>
      <c r="R656" s="23">
        <f t="shared" si="178"/>
        <v>0</v>
      </c>
      <c r="S656" s="23">
        <f t="shared" si="167"/>
        <v>0</v>
      </c>
    </row>
    <row r="657" spans="1:19" s="45" customFormat="1">
      <c r="A657" s="44" t="s">
        <v>618</v>
      </c>
      <c r="B657" s="45" t="s">
        <v>19</v>
      </c>
      <c r="C657" s="46">
        <v>200</v>
      </c>
      <c r="D657" s="47" t="s">
        <v>43</v>
      </c>
      <c r="E657" s="48"/>
      <c r="F657" s="49">
        <v>20</v>
      </c>
      <c r="G657" s="50" t="s">
        <v>34</v>
      </c>
      <c r="H657" s="49">
        <v>1</v>
      </c>
      <c r="I657" s="50" t="s">
        <v>43</v>
      </c>
      <c r="J657" s="51">
        <f>6600*12</f>
        <v>79200</v>
      </c>
      <c r="K657" s="47" t="s">
        <v>43</v>
      </c>
      <c r="L657" s="52">
        <v>0.125</v>
      </c>
      <c r="M657" s="52">
        <v>0.05</v>
      </c>
      <c r="N657" s="46"/>
      <c r="O657" s="50" t="s">
        <v>43</v>
      </c>
      <c r="P657" s="46">
        <f t="shared" si="177"/>
        <v>200</v>
      </c>
      <c r="Q657" s="50" t="s">
        <v>43</v>
      </c>
      <c r="R657" s="51">
        <f t="shared" si="178"/>
        <v>13167000</v>
      </c>
      <c r="S657" s="51">
        <f t="shared" si="167"/>
        <v>11862162.162162161</v>
      </c>
    </row>
    <row r="658" spans="1:19">
      <c r="A658" s="159" t="s">
        <v>619</v>
      </c>
      <c r="B658" s="160" t="s">
        <v>19</v>
      </c>
      <c r="C658" s="161">
        <v>342</v>
      </c>
      <c r="D658" s="162" t="s">
        <v>20</v>
      </c>
      <c r="E658" s="163"/>
      <c r="F658" s="164">
        <v>20</v>
      </c>
      <c r="G658" s="165" t="s">
        <v>34</v>
      </c>
      <c r="H658" s="164">
        <v>6</v>
      </c>
      <c r="I658" s="165" t="s">
        <v>20</v>
      </c>
      <c r="J658" s="166">
        <v>16700</v>
      </c>
      <c r="K658" s="162" t="s">
        <v>20</v>
      </c>
      <c r="L658" s="167">
        <v>0.125</v>
      </c>
      <c r="M658" s="167">
        <v>0.05</v>
      </c>
      <c r="N658" s="161">
        <f>240+(1*12)</f>
        <v>252</v>
      </c>
      <c r="O658" s="165" t="s">
        <v>20</v>
      </c>
      <c r="P658" s="161">
        <f t="shared" si="177"/>
        <v>90</v>
      </c>
      <c r="Q658" s="165" t="s">
        <v>20</v>
      </c>
      <c r="R658" s="166">
        <f t="shared" si="178"/>
        <v>1249368.75</v>
      </c>
      <c r="S658" s="42">
        <f t="shared" si="167"/>
        <v>1125557.4324324324</v>
      </c>
    </row>
    <row r="659" spans="1:19">
      <c r="A659" s="159" t="s">
        <v>619</v>
      </c>
      <c r="B659" s="160" t="s">
        <v>19</v>
      </c>
      <c r="C659" s="161"/>
      <c r="D659" s="162" t="s">
        <v>20</v>
      </c>
      <c r="E659" s="163">
        <v>2</v>
      </c>
      <c r="F659" s="164">
        <v>20</v>
      </c>
      <c r="G659" s="165" t="s">
        <v>34</v>
      </c>
      <c r="H659" s="164">
        <v>6</v>
      </c>
      <c r="I659" s="165" t="s">
        <v>20</v>
      </c>
      <c r="J659" s="166">
        <v>18000</v>
      </c>
      <c r="K659" s="162" t="s">
        <v>20</v>
      </c>
      <c r="L659" s="167">
        <v>0.125</v>
      </c>
      <c r="M659" s="167">
        <v>0.05</v>
      </c>
      <c r="N659" s="161"/>
      <c r="O659" s="165" t="s">
        <v>20</v>
      </c>
      <c r="P659" s="161">
        <f t="shared" ref="P659" si="179">(C659+(E659*F659*H659))-N659</f>
        <v>240</v>
      </c>
      <c r="Q659" s="165" t="s">
        <v>20</v>
      </c>
      <c r="R659" s="166">
        <f t="shared" ref="R659" si="180">P659*(J659-(J659*L659)-((J659-(J659*L659))*M659))</f>
        <v>3591000</v>
      </c>
      <c r="S659" s="42">
        <f t="shared" ref="S659" si="181">R659/1.11</f>
        <v>3235135.1351351347</v>
      </c>
    </row>
    <row r="660" spans="1:19" s="17" customFormat="1">
      <c r="A660" s="16" t="s">
        <v>620</v>
      </c>
      <c r="B660" s="17" t="s">
        <v>19</v>
      </c>
      <c r="C660" s="18"/>
      <c r="D660" s="19" t="s">
        <v>20</v>
      </c>
      <c r="E660" s="20"/>
      <c r="F660" s="21">
        <v>20</v>
      </c>
      <c r="G660" s="22" t="s">
        <v>34</v>
      </c>
      <c r="H660" s="21">
        <v>6</v>
      </c>
      <c r="I660" s="22" t="s">
        <v>20</v>
      </c>
      <c r="J660" s="23">
        <v>14800</v>
      </c>
      <c r="K660" s="19" t="s">
        <v>20</v>
      </c>
      <c r="L660" s="24">
        <v>0.125</v>
      </c>
      <c r="M660" s="24">
        <v>0.05</v>
      </c>
      <c r="N660" s="18"/>
      <c r="O660" s="22" t="s">
        <v>20</v>
      </c>
      <c r="P660" s="18">
        <f t="shared" si="177"/>
        <v>0</v>
      </c>
      <c r="Q660" s="22" t="s">
        <v>20</v>
      </c>
      <c r="R660" s="23">
        <f t="shared" si="178"/>
        <v>0</v>
      </c>
      <c r="S660" s="23">
        <f t="shared" si="167"/>
        <v>0</v>
      </c>
    </row>
    <row r="661" spans="1:19" s="17" customFormat="1">
      <c r="A661" s="16" t="s">
        <v>621</v>
      </c>
      <c r="B661" s="17" t="s">
        <v>19</v>
      </c>
      <c r="C661" s="18"/>
      <c r="D661" s="19" t="s">
        <v>20</v>
      </c>
      <c r="E661" s="20"/>
      <c r="F661" s="21">
        <v>1</v>
      </c>
      <c r="G661" s="22" t="s">
        <v>21</v>
      </c>
      <c r="H661" s="21">
        <v>12</v>
      </c>
      <c r="I661" s="22" t="s">
        <v>20</v>
      </c>
      <c r="J661" s="23">
        <v>162000</v>
      </c>
      <c r="K661" s="19" t="s">
        <v>20</v>
      </c>
      <c r="L661" s="24">
        <v>0.125</v>
      </c>
      <c r="M661" s="24">
        <v>0.05</v>
      </c>
      <c r="N661" s="18"/>
      <c r="O661" s="22" t="s">
        <v>20</v>
      </c>
      <c r="P661" s="18">
        <f t="shared" si="177"/>
        <v>0</v>
      </c>
      <c r="Q661" s="22" t="s">
        <v>20</v>
      </c>
      <c r="R661" s="23">
        <f t="shared" si="178"/>
        <v>0</v>
      </c>
      <c r="S661" s="23">
        <f t="shared" si="167"/>
        <v>0</v>
      </c>
    </row>
    <row r="662" spans="1:19" s="17" customFormat="1">
      <c r="A662" s="16" t="s">
        <v>622</v>
      </c>
      <c r="B662" s="17" t="s">
        <v>19</v>
      </c>
      <c r="C662" s="18">
        <v>1</v>
      </c>
      <c r="D662" s="19" t="s">
        <v>20</v>
      </c>
      <c r="E662" s="20">
        <v>1</v>
      </c>
      <c r="F662" s="21">
        <v>1</v>
      </c>
      <c r="G662" s="22" t="s">
        <v>21</v>
      </c>
      <c r="H662" s="21">
        <v>36</v>
      </c>
      <c r="I662" s="22" t="s">
        <v>20</v>
      </c>
      <c r="J662" s="23">
        <v>58000</v>
      </c>
      <c r="K662" s="19" t="s">
        <v>20</v>
      </c>
      <c r="L662" s="24">
        <v>0.125</v>
      </c>
      <c r="M662" s="24">
        <v>0.05</v>
      </c>
      <c r="N662" s="18">
        <f>36+1</f>
        <v>37</v>
      </c>
      <c r="O662" s="22" t="s">
        <v>20</v>
      </c>
      <c r="P662" s="18">
        <f t="shared" si="177"/>
        <v>0</v>
      </c>
      <c r="Q662" s="22" t="s">
        <v>20</v>
      </c>
      <c r="R662" s="23">
        <f t="shared" si="178"/>
        <v>0</v>
      </c>
      <c r="S662" s="23">
        <f t="shared" si="167"/>
        <v>0</v>
      </c>
    </row>
    <row r="663" spans="1:19" s="26" customFormat="1">
      <c r="A663" s="25" t="s">
        <v>623</v>
      </c>
      <c r="B663" s="26" t="s">
        <v>19</v>
      </c>
      <c r="C663" s="27">
        <v>12</v>
      </c>
      <c r="D663" s="28" t="s">
        <v>20</v>
      </c>
      <c r="E663" s="29"/>
      <c r="F663" s="30">
        <v>1</v>
      </c>
      <c r="G663" s="31" t="s">
        <v>21</v>
      </c>
      <c r="H663" s="30">
        <v>12</v>
      </c>
      <c r="I663" s="31" t="s">
        <v>20</v>
      </c>
      <c r="J663" s="32">
        <v>97000</v>
      </c>
      <c r="K663" s="28" t="s">
        <v>20</v>
      </c>
      <c r="L663" s="33">
        <v>0.125</v>
      </c>
      <c r="M663" s="33">
        <v>0.05</v>
      </c>
      <c r="N663" s="27"/>
      <c r="O663" s="31" t="s">
        <v>20</v>
      </c>
      <c r="P663" s="27">
        <f t="shared" si="177"/>
        <v>12</v>
      </c>
      <c r="Q663" s="31" t="s">
        <v>20</v>
      </c>
      <c r="R663" s="32">
        <f t="shared" si="178"/>
        <v>967575</v>
      </c>
      <c r="S663" s="32">
        <f t="shared" si="167"/>
        <v>871689.18918918911</v>
      </c>
    </row>
    <row r="664" spans="1:19" s="17" customFormat="1">
      <c r="A664" s="16" t="s">
        <v>624</v>
      </c>
      <c r="B664" s="17" t="s">
        <v>19</v>
      </c>
      <c r="C664" s="18">
        <v>12</v>
      </c>
      <c r="D664" s="19" t="s">
        <v>20</v>
      </c>
      <c r="E664" s="20">
        <v>1</v>
      </c>
      <c r="F664" s="21">
        <v>1</v>
      </c>
      <c r="G664" s="22" t="s">
        <v>21</v>
      </c>
      <c r="H664" s="21">
        <v>12</v>
      </c>
      <c r="I664" s="22" t="s">
        <v>20</v>
      </c>
      <c r="J664" s="23">
        <v>95000</v>
      </c>
      <c r="K664" s="19" t="s">
        <v>20</v>
      </c>
      <c r="L664" s="24">
        <v>0.125</v>
      </c>
      <c r="M664" s="24">
        <v>0.05</v>
      </c>
      <c r="N664" s="18">
        <f>12+12</f>
        <v>24</v>
      </c>
      <c r="O664" s="22" t="s">
        <v>20</v>
      </c>
      <c r="P664" s="18">
        <f t="shared" si="177"/>
        <v>0</v>
      </c>
      <c r="Q664" s="22" t="s">
        <v>20</v>
      </c>
      <c r="R664" s="23">
        <f t="shared" si="178"/>
        <v>0</v>
      </c>
      <c r="S664" s="23">
        <f t="shared" si="167"/>
        <v>0</v>
      </c>
    </row>
    <row r="665" spans="1:19" s="17" customFormat="1">
      <c r="A665" s="16" t="s">
        <v>625</v>
      </c>
      <c r="B665" s="17" t="s">
        <v>19</v>
      </c>
      <c r="C665" s="18"/>
      <c r="D665" s="19" t="s">
        <v>20</v>
      </c>
      <c r="E665" s="20"/>
      <c r="F665" s="21">
        <v>1</v>
      </c>
      <c r="G665" s="22" t="s">
        <v>21</v>
      </c>
      <c r="H665" s="21">
        <v>6</v>
      </c>
      <c r="I665" s="22" t="s">
        <v>20</v>
      </c>
      <c r="J665" s="23">
        <v>187000</v>
      </c>
      <c r="K665" s="19" t="s">
        <v>20</v>
      </c>
      <c r="L665" s="24">
        <v>0.125</v>
      </c>
      <c r="M665" s="24">
        <v>0.05</v>
      </c>
      <c r="N665" s="18"/>
      <c r="O665" s="22" t="s">
        <v>20</v>
      </c>
      <c r="P665" s="18">
        <f t="shared" si="177"/>
        <v>0</v>
      </c>
      <c r="Q665" s="22" t="s">
        <v>20</v>
      </c>
      <c r="R665" s="23">
        <f t="shared" si="178"/>
        <v>0</v>
      </c>
      <c r="S665" s="23">
        <f t="shared" si="167"/>
        <v>0</v>
      </c>
    </row>
    <row r="666" spans="1:19" s="17" customFormat="1">
      <c r="A666" s="16" t="s">
        <v>626</v>
      </c>
      <c r="B666" s="17" t="s">
        <v>19</v>
      </c>
      <c r="C666" s="18">
        <v>6</v>
      </c>
      <c r="D666" s="19" t="s">
        <v>20</v>
      </c>
      <c r="E666" s="20"/>
      <c r="F666" s="21">
        <v>1</v>
      </c>
      <c r="G666" s="22" t="s">
        <v>21</v>
      </c>
      <c r="H666" s="21">
        <v>6</v>
      </c>
      <c r="I666" s="22" t="s">
        <v>20</v>
      </c>
      <c r="J666" s="23">
        <v>420000</v>
      </c>
      <c r="K666" s="19" t="s">
        <v>20</v>
      </c>
      <c r="L666" s="24">
        <v>0.125</v>
      </c>
      <c r="M666" s="24">
        <v>0.05</v>
      </c>
      <c r="N666" s="18">
        <v>6</v>
      </c>
      <c r="O666" s="22" t="s">
        <v>20</v>
      </c>
      <c r="P666" s="18">
        <f t="shared" si="177"/>
        <v>0</v>
      </c>
      <c r="Q666" s="22" t="s">
        <v>20</v>
      </c>
      <c r="R666" s="23">
        <f t="shared" si="178"/>
        <v>0</v>
      </c>
      <c r="S666" s="23">
        <f t="shared" si="167"/>
        <v>0</v>
      </c>
    </row>
    <row r="667" spans="1:19" s="17" customFormat="1">
      <c r="A667" s="95" t="s">
        <v>627</v>
      </c>
      <c r="B667" s="96" t="s">
        <v>26</v>
      </c>
      <c r="C667" s="97">
        <v>18</v>
      </c>
      <c r="D667" s="98" t="s">
        <v>43</v>
      </c>
      <c r="E667" s="105"/>
      <c r="F667" s="100">
        <v>1</v>
      </c>
      <c r="G667" s="101" t="s">
        <v>21</v>
      </c>
      <c r="H667" s="100">
        <v>20</v>
      </c>
      <c r="I667" s="101" t="s">
        <v>43</v>
      </c>
      <c r="J667" s="102">
        <f>1680000/20</f>
        <v>84000</v>
      </c>
      <c r="K667" s="98" t="s">
        <v>43</v>
      </c>
      <c r="L667" s="103"/>
      <c r="M667" s="103">
        <v>0.17</v>
      </c>
      <c r="N667" s="97">
        <f>60-42</f>
        <v>18</v>
      </c>
      <c r="O667" s="101" t="s">
        <v>43</v>
      </c>
      <c r="P667" s="97">
        <f t="shared" si="177"/>
        <v>0</v>
      </c>
      <c r="Q667" s="101" t="s">
        <v>43</v>
      </c>
      <c r="R667" s="102">
        <f t="shared" si="178"/>
        <v>0</v>
      </c>
      <c r="S667" s="102">
        <f t="shared" si="167"/>
        <v>0</v>
      </c>
    </row>
    <row r="668" spans="1:19" s="26" customFormat="1">
      <c r="A668" s="35" t="s">
        <v>627</v>
      </c>
      <c r="B668" s="36" t="s">
        <v>26</v>
      </c>
      <c r="C668" s="37">
        <v>110</v>
      </c>
      <c r="D668" s="38" t="s">
        <v>43</v>
      </c>
      <c r="E668" s="39">
        <f>2+2+15+5</f>
        <v>24</v>
      </c>
      <c r="F668" s="40">
        <v>1</v>
      </c>
      <c r="G668" s="41" t="s">
        <v>21</v>
      </c>
      <c r="H668" s="40">
        <v>20</v>
      </c>
      <c r="I668" s="41" t="s">
        <v>43</v>
      </c>
      <c r="J668" s="42">
        <f>1740000/20</f>
        <v>87000</v>
      </c>
      <c r="K668" s="38" t="s">
        <v>43</v>
      </c>
      <c r="L668" s="43"/>
      <c r="M668" s="43">
        <v>0.17</v>
      </c>
      <c r="N668" s="37">
        <f>(60-18)+10+200+20+100+20+20+20+20+20+5+6+1</f>
        <v>484</v>
      </c>
      <c r="O668" s="41" t="s">
        <v>43</v>
      </c>
      <c r="P668" s="37">
        <f t="shared" si="177"/>
        <v>106</v>
      </c>
      <c r="Q668" s="41" t="s">
        <v>43</v>
      </c>
      <c r="R668" s="42">
        <f t="shared" si="178"/>
        <v>7654260</v>
      </c>
      <c r="S668" s="42">
        <f t="shared" si="167"/>
        <v>6895729.7297297288</v>
      </c>
    </row>
    <row r="669" spans="1:19">
      <c r="A669" s="34" t="s">
        <v>628</v>
      </c>
      <c r="B669" s="2" t="s">
        <v>26</v>
      </c>
      <c r="C669" s="3">
        <v>180</v>
      </c>
      <c r="D669" s="4" t="s">
        <v>43</v>
      </c>
      <c r="F669" s="6">
        <v>1</v>
      </c>
      <c r="G669" s="7" t="s">
        <v>21</v>
      </c>
      <c r="H669" s="6">
        <v>20</v>
      </c>
      <c r="I669" s="7" t="s">
        <v>43</v>
      </c>
      <c r="J669" s="8">
        <f>1680000/20</f>
        <v>84000</v>
      </c>
      <c r="K669" s="4" t="s">
        <v>43</v>
      </c>
      <c r="M669" s="9">
        <v>0.17</v>
      </c>
      <c r="O669" s="7" t="s">
        <v>43</v>
      </c>
      <c r="P669" s="3">
        <f t="shared" si="177"/>
        <v>180</v>
      </c>
      <c r="Q669" s="7" t="s">
        <v>43</v>
      </c>
      <c r="R669" s="8">
        <f t="shared" si="178"/>
        <v>12549600</v>
      </c>
      <c r="S669" s="32">
        <f t="shared" si="167"/>
        <v>11305945.945945945</v>
      </c>
    </row>
    <row r="670" spans="1:19">
      <c r="A670" s="34" t="s">
        <v>629</v>
      </c>
      <c r="B670" s="2" t="s">
        <v>26</v>
      </c>
      <c r="C670" s="3">
        <v>100</v>
      </c>
      <c r="D670" s="4" t="s">
        <v>43</v>
      </c>
      <c r="F670" s="6">
        <v>1</v>
      </c>
      <c r="G670" s="7" t="s">
        <v>21</v>
      </c>
      <c r="H670" s="6">
        <v>20</v>
      </c>
      <c r="I670" s="7" t="s">
        <v>43</v>
      </c>
      <c r="J670" s="8">
        <f>1680000/20</f>
        <v>84000</v>
      </c>
      <c r="K670" s="4" t="s">
        <v>43</v>
      </c>
      <c r="M670" s="9">
        <v>0.17</v>
      </c>
      <c r="O670" s="7" t="s">
        <v>43</v>
      </c>
      <c r="P670" s="3">
        <f t="shared" si="177"/>
        <v>100</v>
      </c>
      <c r="Q670" s="7" t="s">
        <v>43</v>
      </c>
      <c r="R670" s="8">
        <f t="shared" si="178"/>
        <v>6972000</v>
      </c>
      <c r="S670" s="32">
        <f t="shared" si="167"/>
        <v>6281081.0810810803</v>
      </c>
    </row>
    <row r="671" spans="1:19" s="45" customFormat="1">
      <c r="A671" s="44" t="s">
        <v>630</v>
      </c>
      <c r="B671" s="45" t="s">
        <v>26</v>
      </c>
      <c r="C671" s="46">
        <v>77</v>
      </c>
      <c r="D671" s="47" t="s">
        <v>43</v>
      </c>
      <c r="E671" s="48"/>
      <c r="F671" s="49">
        <v>1</v>
      </c>
      <c r="G671" s="50" t="s">
        <v>21</v>
      </c>
      <c r="H671" s="49">
        <v>20</v>
      </c>
      <c r="I671" s="50" t="s">
        <v>43</v>
      </c>
      <c r="J671" s="51">
        <f>2352000/20</f>
        <v>117600</v>
      </c>
      <c r="K671" s="47" t="s">
        <v>43</v>
      </c>
      <c r="L671" s="52"/>
      <c r="M671" s="52">
        <v>0.17</v>
      </c>
      <c r="N671" s="168">
        <f>20+6+20+10+0.5+5</f>
        <v>61.5</v>
      </c>
      <c r="O671" s="169" t="s">
        <v>43</v>
      </c>
      <c r="P671" s="168">
        <f t="shared" si="177"/>
        <v>15.5</v>
      </c>
      <c r="Q671" s="50" t="s">
        <v>43</v>
      </c>
      <c r="R671" s="51">
        <f t="shared" si="178"/>
        <v>1512924</v>
      </c>
      <c r="S671" s="51">
        <f t="shared" si="167"/>
        <v>1362994.5945945946</v>
      </c>
    </row>
    <row r="672" spans="1:19" s="63" customFormat="1">
      <c r="A672" s="72" t="s">
        <v>724</v>
      </c>
      <c r="B672" s="63" t="s">
        <v>26</v>
      </c>
      <c r="C672" s="64"/>
      <c r="D672" s="65" t="s">
        <v>43</v>
      </c>
      <c r="E672" s="66">
        <v>1</v>
      </c>
      <c r="F672" s="67">
        <v>1</v>
      </c>
      <c r="G672" s="68" t="s">
        <v>21</v>
      </c>
      <c r="H672" s="67">
        <v>20</v>
      </c>
      <c r="I672" s="68" t="s">
        <v>43</v>
      </c>
      <c r="J672" s="69">
        <f>2352000/20</f>
        <v>117600</v>
      </c>
      <c r="K672" s="65" t="s">
        <v>43</v>
      </c>
      <c r="L672" s="70"/>
      <c r="M672" s="70">
        <v>0.17</v>
      </c>
      <c r="N672" s="199">
        <v>20</v>
      </c>
      <c r="O672" s="200" t="s">
        <v>43</v>
      </c>
      <c r="P672" s="199">
        <f t="shared" ref="P672" si="182">(C672+(E672*F672*H672))-N672</f>
        <v>0</v>
      </c>
      <c r="Q672" s="68" t="s">
        <v>43</v>
      </c>
      <c r="R672" s="69">
        <f t="shared" ref="R672" si="183">P672*(J672-(J672*L672)-((J672-(J672*L672))*M672))</f>
        <v>0</v>
      </c>
      <c r="S672" s="69">
        <f t="shared" ref="S672" si="184">R672/1.11</f>
        <v>0</v>
      </c>
    </row>
    <row r="673" spans="1:19">
      <c r="A673" s="34" t="s">
        <v>631</v>
      </c>
      <c r="B673" s="2" t="s">
        <v>26</v>
      </c>
      <c r="C673" s="3">
        <v>100</v>
      </c>
      <c r="D673" s="4" t="s">
        <v>43</v>
      </c>
      <c r="F673" s="6">
        <v>1</v>
      </c>
      <c r="G673" s="7" t="s">
        <v>21</v>
      </c>
      <c r="H673" s="6">
        <v>20</v>
      </c>
      <c r="I673" s="7" t="s">
        <v>43</v>
      </c>
      <c r="J673" s="8">
        <f>2280000/20</f>
        <v>114000</v>
      </c>
      <c r="K673" s="4" t="s">
        <v>43</v>
      </c>
      <c r="M673" s="9">
        <v>0.17</v>
      </c>
      <c r="O673" s="7" t="s">
        <v>43</v>
      </c>
      <c r="P673" s="3">
        <f t="shared" si="177"/>
        <v>100</v>
      </c>
      <c r="Q673" s="7" t="s">
        <v>43</v>
      </c>
      <c r="R673" s="8">
        <f t="shared" si="178"/>
        <v>9462000</v>
      </c>
      <c r="S673" s="32">
        <f t="shared" si="167"/>
        <v>8524324.3243243229</v>
      </c>
    </row>
    <row r="674" spans="1:19">
      <c r="A674" s="34" t="s">
        <v>632</v>
      </c>
      <c r="B674" s="2" t="s">
        <v>26</v>
      </c>
      <c r="C674" s="3">
        <v>26</v>
      </c>
      <c r="D674" s="4" t="s">
        <v>43</v>
      </c>
      <c r="F674" s="6">
        <v>1</v>
      </c>
      <c r="G674" s="7" t="s">
        <v>21</v>
      </c>
      <c r="H674" s="6">
        <v>40</v>
      </c>
      <c r="I674" s="7" t="s">
        <v>43</v>
      </c>
      <c r="J674" s="8">
        <f>2688000/40</f>
        <v>67200</v>
      </c>
      <c r="K674" s="4" t="s">
        <v>43</v>
      </c>
      <c r="M674" s="9">
        <v>0.17</v>
      </c>
      <c r="O674" s="7" t="s">
        <v>43</v>
      </c>
      <c r="P674" s="3">
        <f t="shared" si="177"/>
        <v>26</v>
      </c>
      <c r="Q674" s="7" t="s">
        <v>43</v>
      </c>
      <c r="R674" s="8">
        <f t="shared" si="178"/>
        <v>1450176</v>
      </c>
      <c r="S674" s="32">
        <f t="shared" si="167"/>
        <v>1306464.8648648649</v>
      </c>
    </row>
    <row r="675" spans="1:19" s="17" customFormat="1">
      <c r="A675" s="16" t="s">
        <v>633</v>
      </c>
      <c r="B675" s="17" t="s">
        <v>26</v>
      </c>
      <c r="C675" s="18"/>
      <c r="D675" s="19" t="s">
        <v>43</v>
      </c>
      <c r="E675" s="20"/>
      <c r="F675" s="21">
        <v>1</v>
      </c>
      <c r="G675" s="22" t="s">
        <v>21</v>
      </c>
      <c r="H675" s="21">
        <v>20</v>
      </c>
      <c r="I675" s="22" t="s">
        <v>43</v>
      </c>
      <c r="J675" s="23">
        <v>120000</v>
      </c>
      <c r="K675" s="19" t="s">
        <v>43</v>
      </c>
      <c r="L675" s="24"/>
      <c r="M675" s="24">
        <v>0.17</v>
      </c>
      <c r="N675" s="18"/>
      <c r="O675" s="22" t="s">
        <v>43</v>
      </c>
      <c r="P675" s="18">
        <f t="shared" si="177"/>
        <v>0</v>
      </c>
      <c r="Q675" s="22" t="s">
        <v>43</v>
      </c>
      <c r="R675" s="23">
        <f t="shared" si="178"/>
        <v>0</v>
      </c>
      <c r="S675" s="23">
        <f t="shared" si="167"/>
        <v>0</v>
      </c>
    </row>
    <row r="676" spans="1:19" s="26" customFormat="1">
      <c r="A676" s="25" t="s">
        <v>634</v>
      </c>
      <c r="B676" s="26" t="s">
        <v>26</v>
      </c>
      <c r="C676" s="27">
        <v>11</v>
      </c>
      <c r="D676" s="28" t="s">
        <v>43</v>
      </c>
      <c r="E676" s="29"/>
      <c r="F676" s="30">
        <v>1</v>
      </c>
      <c r="G676" s="31" t="s">
        <v>21</v>
      </c>
      <c r="H676" s="30">
        <v>25</v>
      </c>
      <c r="I676" s="31" t="s">
        <v>43</v>
      </c>
      <c r="J676" s="32">
        <f>1560000/25</f>
        <v>62400</v>
      </c>
      <c r="K676" s="28" t="s">
        <v>43</v>
      </c>
      <c r="L676" s="33"/>
      <c r="M676" s="33">
        <v>0.17</v>
      </c>
      <c r="N676" s="27"/>
      <c r="O676" s="31" t="s">
        <v>43</v>
      </c>
      <c r="P676" s="27">
        <f t="shared" si="177"/>
        <v>11</v>
      </c>
      <c r="Q676" s="31" t="s">
        <v>43</v>
      </c>
      <c r="R676" s="32">
        <f t="shared" si="178"/>
        <v>569712</v>
      </c>
      <c r="S676" s="32">
        <f t="shared" si="167"/>
        <v>513254.05405405402</v>
      </c>
    </row>
    <row r="677" spans="1:19" s="45" customFormat="1">
      <c r="A677" s="44" t="s">
        <v>635</v>
      </c>
      <c r="B677" s="45" t="s">
        <v>26</v>
      </c>
      <c r="C677" s="46">
        <v>52</v>
      </c>
      <c r="D677" s="47" t="s">
        <v>43</v>
      </c>
      <c r="E677" s="48"/>
      <c r="F677" s="49">
        <v>1</v>
      </c>
      <c r="G677" s="50" t="s">
        <v>21</v>
      </c>
      <c r="H677" s="49">
        <v>10</v>
      </c>
      <c r="I677" s="50" t="s">
        <v>43</v>
      </c>
      <c r="J677" s="51">
        <f>2280000/10</f>
        <v>228000</v>
      </c>
      <c r="K677" s="47" t="s">
        <v>43</v>
      </c>
      <c r="L677" s="52"/>
      <c r="M677" s="52">
        <v>0.17</v>
      </c>
      <c r="N677" s="46">
        <f>10+1+3+3+10+20</f>
        <v>47</v>
      </c>
      <c r="O677" s="50" t="s">
        <v>43</v>
      </c>
      <c r="P677" s="46">
        <f t="shared" si="177"/>
        <v>5</v>
      </c>
      <c r="Q677" s="50" t="s">
        <v>43</v>
      </c>
      <c r="R677" s="51">
        <f t="shared" si="178"/>
        <v>946200</v>
      </c>
      <c r="S677" s="32">
        <f t="shared" si="167"/>
        <v>852432.43243243231</v>
      </c>
    </row>
    <row r="678" spans="1:19" s="45" customFormat="1">
      <c r="A678" s="44" t="s">
        <v>636</v>
      </c>
      <c r="B678" s="45" t="s">
        <v>26</v>
      </c>
      <c r="C678" s="46">
        <v>10.5</v>
      </c>
      <c r="D678" s="47" t="s">
        <v>43</v>
      </c>
      <c r="E678" s="48">
        <f>1+1+1</f>
        <v>3</v>
      </c>
      <c r="F678" s="49">
        <v>1</v>
      </c>
      <c r="G678" s="50" t="s">
        <v>21</v>
      </c>
      <c r="H678" s="49">
        <v>10</v>
      </c>
      <c r="I678" s="50" t="s">
        <v>43</v>
      </c>
      <c r="J678" s="51">
        <f>2280000/10</f>
        <v>228000</v>
      </c>
      <c r="K678" s="47" t="s">
        <v>43</v>
      </c>
      <c r="L678" s="52"/>
      <c r="M678" s="52">
        <v>0.17</v>
      </c>
      <c r="N678" s="83">
        <f>(144/12)+1+10+1+2+7</f>
        <v>33</v>
      </c>
      <c r="O678" s="142" t="s">
        <v>43</v>
      </c>
      <c r="P678" s="83">
        <f t="shared" si="177"/>
        <v>7.5</v>
      </c>
      <c r="Q678" s="50" t="s">
        <v>43</v>
      </c>
      <c r="R678" s="51">
        <f t="shared" si="178"/>
        <v>1419300</v>
      </c>
      <c r="S678" s="32">
        <f t="shared" si="167"/>
        <v>1278648.6486486485</v>
      </c>
    </row>
    <row r="679" spans="1:19" s="45" customFormat="1">
      <c r="A679" s="44" t="s">
        <v>637</v>
      </c>
      <c r="B679" s="45" t="s">
        <v>26</v>
      </c>
      <c r="C679" s="46">
        <v>80</v>
      </c>
      <c r="D679" s="47" t="s">
        <v>43</v>
      </c>
      <c r="E679" s="48"/>
      <c r="F679" s="49">
        <v>1</v>
      </c>
      <c r="G679" s="50" t="s">
        <v>21</v>
      </c>
      <c r="H679" s="49">
        <v>10</v>
      </c>
      <c r="I679" s="50" t="s">
        <v>43</v>
      </c>
      <c r="J679" s="51">
        <f>2040000/10</f>
        <v>204000</v>
      </c>
      <c r="K679" s="47" t="s">
        <v>43</v>
      </c>
      <c r="L679" s="52"/>
      <c r="M679" s="52">
        <v>0.17</v>
      </c>
      <c r="N679" s="46"/>
      <c r="O679" s="50" t="s">
        <v>43</v>
      </c>
      <c r="P679" s="46">
        <f t="shared" si="177"/>
        <v>80</v>
      </c>
      <c r="Q679" s="50" t="s">
        <v>43</v>
      </c>
      <c r="R679" s="51">
        <f t="shared" si="178"/>
        <v>13545600</v>
      </c>
      <c r="S679" s="32">
        <f t="shared" si="167"/>
        <v>12203243.243243242</v>
      </c>
    </row>
    <row r="680" spans="1:19" s="85" customFormat="1">
      <c r="A680" s="84" t="s">
        <v>638</v>
      </c>
      <c r="B680" s="85" t="s">
        <v>26</v>
      </c>
      <c r="C680" s="86">
        <v>45</v>
      </c>
      <c r="D680" s="87" t="s">
        <v>43</v>
      </c>
      <c r="E680" s="92"/>
      <c r="F680" s="88">
        <v>1</v>
      </c>
      <c r="G680" s="89" t="s">
        <v>21</v>
      </c>
      <c r="H680" s="88">
        <v>10</v>
      </c>
      <c r="I680" s="89" t="s">
        <v>43</v>
      </c>
      <c r="J680" s="90">
        <f>2040000/10</f>
        <v>204000</v>
      </c>
      <c r="K680" s="87" t="s">
        <v>43</v>
      </c>
      <c r="L680" s="91"/>
      <c r="M680" s="91">
        <v>0.17</v>
      </c>
      <c r="N680" s="86"/>
      <c r="O680" s="89" t="s">
        <v>43</v>
      </c>
      <c r="P680" s="86">
        <f t="shared" si="177"/>
        <v>45</v>
      </c>
      <c r="Q680" s="89" t="s">
        <v>43</v>
      </c>
      <c r="R680" s="90">
        <f t="shared" si="178"/>
        <v>7619400</v>
      </c>
      <c r="S680" s="32">
        <f t="shared" si="167"/>
        <v>6864324.3243243238</v>
      </c>
    </row>
    <row r="681" spans="1:19" s="17" customFormat="1">
      <c r="A681" s="16" t="s">
        <v>639</v>
      </c>
      <c r="B681" s="17" t="s">
        <v>26</v>
      </c>
      <c r="C681" s="18"/>
      <c r="D681" s="19" t="s">
        <v>20</v>
      </c>
      <c r="E681" s="20"/>
      <c r="F681" s="21">
        <v>20</v>
      </c>
      <c r="G681" s="22" t="s">
        <v>34</v>
      </c>
      <c r="H681" s="21">
        <v>6</v>
      </c>
      <c r="I681" s="22" t="s">
        <v>20</v>
      </c>
      <c r="J681" s="23">
        <v>14500</v>
      </c>
      <c r="K681" s="19" t="s">
        <v>20</v>
      </c>
      <c r="L681" s="24"/>
      <c r="M681" s="24">
        <v>0.17</v>
      </c>
      <c r="N681" s="18"/>
      <c r="O681" s="22" t="s">
        <v>20</v>
      </c>
      <c r="P681" s="18">
        <f t="shared" si="177"/>
        <v>0</v>
      </c>
      <c r="Q681" s="22" t="s">
        <v>20</v>
      </c>
      <c r="R681" s="23">
        <f t="shared" si="178"/>
        <v>0</v>
      </c>
      <c r="S681" s="23">
        <f t="shared" si="167"/>
        <v>0</v>
      </c>
    </row>
    <row r="682" spans="1:19" s="45" customFormat="1">
      <c r="A682" s="44" t="s">
        <v>640</v>
      </c>
      <c r="B682" s="45" t="s">
        <v>26</v>
      </c>
      <c r="C682" s="46">
        <v>23</v>
      </c>
      <c r="D682" s="47" t="s">
        <v>20</v>
      </c>
      <c r="E682" s="48"/>
      <c r="F682" s="49">
        <v>1</v>
      </c>
      <c r="G682" s="50" t="s">
        <v>21</v>
      </c>
      <c r="H682" s="49">
        <v>6</v>
      </c>
      <c r="I682" s="50" t="s">
        <v>20</v>
      </c>
      <c r="J682" s="51">
        <f>2130000/6</f>
        <v>355000</v>
      </c>
      <c r="K682" s="47" t="s">
        <v>20</v>
      </c>
      <c r="L682" s="52"/>
      <c r="M682" s="52">
        <v>0.17</v>
      </c>
      <c r="N682" s="46">
        <v>3</v>
      </c>
      <c r="O682" s="50" t="s">
        <v>20</v>
      </c>
      <c r="P682" s="46">
        <f t="shared" si="177"/>
        <v>20</v>
      </c>
      <c r="Q682" s="50" t="s">
        <v>20</v>
      </c>
      <c r="R682" s="51">
        <f t="shared" si="178"/>
        <v>5893000</v>
      </c>
      <c r="S682" s="51">
        <f t="shared" si="167"/>
        <v>5309009.0090090083</v>
      </c>
    </row>
    <row r="683" spans="1:19" s="63" customFormat="1">
      <c r="A683" s="72" t="s">
        <v>641</v>
      </c>
      <c r="B683" s="63" t="s">
        <v>26</v>
      </c>
      <c r="C683" s="64"/>
      <c r="D683" s="65" t="s">
        <v>20</v>
      </c>
      <c r="E683" s="66"/>
      <c r="F683" s="67">
        <v>1</v>
      </c>
      <c r="G683" s="68" t="s">
        <v>21</v>
      </c>
      <c r="H683" s="67">
        <v>6</v>
      </c>
      <c r="I683" s="68" t="s">
        <v>20</v>
      </c>
      <c r="J683" s="69">
        <f>930000/6</f>
        <v>155000</v>
      </c>
      <c r="K683" s="65" t="s">
        <v>20</v>
      </c>
      <c r="L683" s="70"/>
      <c r="M683" s="70">
        <v>0.17</v>
      </c>
      <c r="N683" s="64"/>
      <c r="O683" s="68" t="s">
        <v>20</v>
      </c>
      <c r="P683" s="64">
        <f t="shared" si="177"/>
        <v>0</v>
      </c>
      <c r="Q683" s="68" t="s">
        <v>20</v>
      </c>
      <c r="R683" s="69">
        <f t="shared" si="178"/>
        <v>0</v>
      </c>
      <c r="S683" s="69">
        <f t="shared" si="167"/>
        <v>0</v>
      </c>
    </row>
    <row r="684" spans="1:19" s="45" customFormat="1">
      <c r="A684" s="44" t="s">
        <v>642</v>
      </c>
      <c r="B684" s="45" t="s">
        <v>26</v>
      </c>
      <c r="C684" s="46">
        <v>40</v>
      </c>
      <c r="D684" s="47" t="s">
        <v>20</v>
      </c>
      <c r="E684" s="48"/>
      <c r="F684" s="49">
        <v>1</v>
      </c>
      <c r="G684" s="50" t="s">
        <v>21</v>
      </c>
      <c r="H684" s="49">
        <v>6</v>
      </c>
      <c r="I684" s="50" t="s">
        <v>20</v>
      </c>
      <c r="J684" s="51">
        <f>480000/6</f>
        <v>80000</v>
      </c>
      <c r="K684" s="47" t="s">
        <v>20</v>
      </c>
      <c r="L684" s="52"/>
      <c r="M684" s="52">
        <v>0.17</v>
      </c>
      <c r="N684" s="46">
        <f>3+12</f>
        <v>15</v>
      </c>
      <c r="O684" s="50" t="s">
        <v>20</v>
      </c>
      <c r="P684" s="46">
        <f t="shared" si="177"/>
        <v>25</v>
      </c>
      <c r="Q684" s="50" t="s">
        <v>20</v>
      </c>
      <c r="R684" s="51">
        <f t="shared" si="178"/>
        <v>1660000</v>
      </c>
      <c r="S684" s="51">
        <f t="shared" si="167"/>
        <v>1495495.4954954954</v>
      </c>
    </row>
    <row r="685" spans="1:19" s="17" customFormat="1">
      <c r="A685" s="16" t="s">
        <v>643</v>
      </c>
      <c r="B685" s="17" t="s">
        <v>26</v>
      </c>
      <c r="C685" s="18"/>
      <c r="D685" s="19" t="s">
        <v>20</v>
      </c>
      <c r="E685" s="20"/>
      <c r="F685" s="21">
        <v>1</v>
      </c>
      <c r="G685" s="22" t="s">
        <v>21</v>
      </c>
      <c r="H685" s="21">
        <v>6</v>
      </c>
      <c r="I685" s="22" t="s">
        <v>20</v>
      </c>
      <c r="J685" s="23">
        <f>990000/6</f>
        <v>165000</v>
      </c>
      <c r="K685" s="19" t="s">
        <v>20</v>
      </c>
      <c r="L685" s="24"/>
      <c r="M685" s="24">
        <v>0.17</v>
      </c>
      <c r="N685" s="18"/>
      <c r="O685" s="22" t="s">
        <v>20</v>
      </c>
      <c r="P685" s="18">
        <f t="shared" si="177"/>
        <v>0</v>
      </c>
      <c r="Q685" s="22" t="s">
        <v>20</v>
      </c>
      <c r="R685" s="23">
        <f t="shared" si="178"/>
        <v>0</v>
      </c>
      <c r="S685" s="23">
        <f t="shared" si="167"/>
        <v>0</v>
      </c>
    </row>
    <row r="686" spans="1:19" s="26" customFormat="1">
      <c r="A686" s="138" t="s">
        <v>644</v>
      </c>
      <c r="B686" s="26" t="s">
        <v>645</v>
      </c>
      <c r="C686" s="27"/>
      <c r="D686" s="28" t="s">
        <v>43</v>
      </c>
      <c r="E686" s="29">
        <v>3</v>
      </c>
      <c r="F686" s="30">
        <v>1</v>
      </c>
      <c r="G686" s="31" t="s">
        <v>21</v>
      </c>
      <c r="H686" s="30">
        <v>30</v>
      </c>
      <c r="I686" s="31" t="s">
        <v>43</v>
      </c>
      <c r="J686" s="32">
        <v>130000</v>
      </c>
      <c r="K686" s="28" t="s">
        <v>43</v>
      </c>
      <c r="L686" s="33">
        <v>0.17499999999999999</v>
      </c>
      <c r="M686" s="33">
        <v>0.03</v>
      </c>
      <c r="N686" s="27"/>
      <c r="O686" s="31" t="s">
        <v>43</v>
      </c>
      <c r="P686" s="27">
        <f t="shared" si="177"/>
        <v>90</v>
      </c>
      <c r="Q686" s="31" t="s">
        <v>43</v>
      </c>
      <c r="R686" s="32">
        <f t="shared" si="178"/>
        <v>9362925</v>
      </c>
      <c r="S686" s="32">
        <f t="shared" si="167"/>
        <v>8435067.5675675664</v>
      </c>
    </row>
    <row r="687" spans="1:19" s="17" customFormat="1">
      <c r="A687" s="137" t="s">
        <v>646</v>
      </c>
      <c r="B687" s="17" t="s">
        <v>645</v>
      </c>
      <c r="C687" s="18"/>
      <c r="D687" s="19" t="s">
        <v>43</v>
      </c>
      <c r="E687" s="20"/>
      <c r="F687" s="21">
        <v>1</v>
      </c>
      <c r="G687" s="22" t="s">
        <v>21</v>
      </c>
      <c r="H687" s="21">
        <v>30</v>
      </c>
      <c r="I687" s="22" t="s">
        <v>43</v>
      </c>
      <c r="J687" s="23">
        <v>216000</v>
      </c>
      <c r="K687" s="19" t="s">
        <v>43</v>
      </c>
      <c r="L687" s="24"/>
      <c r="M687" s="24">
        <v>0.15</v>
      </c>
      <c r="N687" s="143"/>
      <c r="O687" s="22" t="s">
        <v>43</v>
      </c>
      <c r="P687" s="143">
        <f t="shared" si="177"/>
        <v>0</v>
      </c>
      <c r="Q687" s="22" t="s">
        <v>43</v>
      </c>
      <c r="R687" s="23">
        <f t="shared" si="178"/>
        <v>0</v>
      </c>
      <c r="S687" s="23">
        <f t="shared" si="167"/>
        <v>0</v>
      </c>
    </row>
    <row r="688" spans="1:19" s="17" customFormat="1">
      <c r="A688" s="137" t="s">
        <v>647</v>
      </c>
      <c r="B688" s="17" t="s">
        <v>645</v>
      </c>
      <c r="C688" s="18">
        <v>1</v>
      </c>
      <c r="D688" s="19" t="s">
        <v>43</v>
      </c>
      <c r="E688" s="20"/>
      <c r="F688" s="21">
        <v>1</v>
      </c>
      <c r="G688" s="22" t="s">
        <v>21</v>
      </c>
      <c r="H688" s="21">
        <v>30</v>
      </c>
      <c r="I688" s="22" t="s">
        <v>43</v>
      </c>
      <c r="J688" s="23">
        <v>216000</v>
      </c>
      <c r="K688" s="19" t="s">
        <v>43</v>
      </c>
      <c r="L688" s="24"/>
      <c r="M688" s="24">
        <v>0.15</v>
      </c>
      <c r="N688" s="143">
        <v>1</v>
      </c>
      <c r="O688" s="22" t="s">
        <v>43</v>
      </c>
      <c r="P688" s="143">
        <f t="shared" si="177"/>
        <v>0</v>
      </c>
      <c r="Q688" s="22" t="s">
        <v>43</v>
      </c>
      <c r="R688" s="23">
        <f t="shared" si="178"/>
        <v>0</v>
      </c>
      <c r="S688" s="23">
        <f t="shared" si="167"/>
        <v>0</v>
      </c>
    </row>
    <row r="689" spans="1:19" s="17" customFormat="1">
      <c r="A689" s="137" t="s">
        <v>648</v>
      </c>
      <c r="B689" s="17" t="s">
        <v>645</v>
      </c>
      <c r="C689" s="18">
        <v>1</v>
      </c>
      <c r="D689" s="19" t="s">
        <v>43</v>
      </c>
      <c r="E689" s="20"/>
      <c r="F689" s="21">
        <v>1</v>
      </c>
      <c r="G689" s="22" t="s">
        <v>21</v>
      </c>
      <c r="H689" s="21">
        <v>30</v>
      </c>
      <c r="I689" s="22" t="s">
        <v>43</v>
      </c>
      <c r="J689" s="23">
        <v>220000</v>
      </c>
      <c r="K689" s="19" t="s">
        <v>43</v>
      </c>
      <c r="L689" s="24"/>
      <c r="M689" s="24">
        <v>0.15</v>
      </c>
      <c r="N689" s="143">
        <v>1</v>
      </c>
      <c r="O689" s="22" t="s">
        <v>43</v>
      </c>
      <c r="P689" s="143">
        <f t="shared" si="177"/>
        <v>0</v>
      </c>
      <c r="Q689" s="22" t="s">
        <v>43</v>
      </c>
      <c r="R689" s="23">
        <f t="shared" si="178"/>
        <v>0</v>
      </c>
      <c r="S689" s="23">
        <f t="shared" si="167"/>
        <v>0</v>
      </c>
    </row>
    <row r="690" spans="1:19" s="26" customFormat="1">
      <c r="A690" s="138" t="s">
        <v>649</v>
      </c>
      <c r="B690" s="26" t="s">
        <v>645</v>
      </c>
      <c r="C690" s="27">
        <v>12</v>
      </c>
      <c r="D690" s="28" t="s">
        <v>43</v>
      </c>
      <c r="E690" s="29"/>
      <c r="F690" s="30">
        <v>1</v>
      </c>
      <c r="G690" s="31" t="s">
        <v>21</v>
      </c>
      <c r="H690" s="30">
        <v>20</v>
      </c>
      <c r="I690" s="31" t="s">
        <v>43</v>
      </c>
      <c r="J690" s="32">
        <v>285600</v>
      </c>
      <c r="K690" s="28" t="s">
        <v>43</v>
      </c>
      <c r="L690" s="33">
        <v>0.17499999999999999</v>
      </c>
      <c r="M690" s="33">
        <v>0.03</v>
      </c>
      <c r="N690" s="27">
        <f>1+1+1</f>
        <v>3</v>
      </c>
      <c r="O690" s="31" t="s">
        <v>43</v>
      </c>
      <c r="P690" s="27">
        <f t="shared" si="177"/>
        <v>9</v>
      </c>
      <c r="Q690" s="31" t="s">
        <v>43</v>
      </c>
      <c r="R690" s="32">
        <f t="shared" si="178"/>
        <v>2056962.5999999999</v>
      </c>
      <c r="S690" s="32">
        <f t="shared" si="167"/>
        <v>1853119.4594594592</v>
      </c>
    </row>
    <row r="691" spans="1:19" s="17" customFormat="1">
      <c r="A691" s="137" t="s">
        <v>650</v>
      </c>
      <c r="B691" s="63" t="s">
        <v>192</v>
      </c>
      <c r="C691" s="18"/>
      <c r="D691" s="19" t="s">
        <v>43</v>
      </c>
      <c r="E691" s="20"/>
      <c r="F691" s="21">
        <v>1</v>
      </c>
      <c r="G691" s="22" t="s">
        <v>21</v>
      </c>
      <c r="H691" s="21">
        <v>5</v>
      </c>
      <c r="I691" s="22" t="s">
        <v>43</v>
      </c>
      <c r="J691" s="23">
        <v>250000</v>
      </c>
      <c r="K691" s="19" t="s">
        <v>43</v>
      </c>
      <c r="L691" s="24"/>
      <c r="M691" s="24"/>
      <c r="N691" s="144"/>
      <c r="O691" s="145" t="s">
        <v>43</v>
      </c>
      <c r="P691" s="144">
        <f t="shared" si="177"/>
        <v>0</v>
      </c>
      <c r="Q691" s="22" t="s">
        <v>43</v>
      </c>
      <c r="R691" s="23">
        <f t="shared" si="178"/>
        <v>0</v>
      </c>
      <c r="S691" s="23">
        <f t="shared" si="167"/>
        <v>0</v>
      </c>
    </row>
    <row r="692" spans="1:19">
      <c r="A692" s="15" t="s">
        <v>651</v>
      </c>
      <c r="S692" s="23"/>
    </row>
    <row r="693" spans="1:19" s="63" customFormat="1">
      <c r="A693" s="95" t="s">
        <v>653</v>
      </c>
      <c r="B693" s="96" t="s">
        <v>645</v>
      </c>
      <c r="C693" s="97">
        <v>2444</v>
      </c>
      <c r="D693" s="98" t="s">
        <v>104</v>
      </c>
      <c r="E693" s="105"/>
      <c r="F693" s="100">
        <v>1</v>
      </c>
      <c r="G693" s="101" t="s">
        <v>21</v>
      </c>
      <c r="H693" s="100">
        <v>100</v>
      </c>
      <c r="I693" s="101" t="s">
        <v>104</v>
      </c>
      <c r="J693" s="102">
        <v>14000</v>
      </c>
      <c r="K693" s="98" t="s">
        <v>104</v>
      </c>
      <c r="L693" s="103">
        <v>0.15</v>
      </c>
      <c r="M693" s="103"/>
      <c r="N693" s="97">
        <f>1500+(1000-56)</f>
        <v>2444</v>
      </c>
      <c r="O693" s="101" t="s">
        <v>104</v>
      </c>
      <c r="P693" s="97">
        <f t="shared" ref="P693:P700" si="185">(C693+(E693*F693*H693))-N693</f>
        <v>0</v>
      </c>
      <c r="Q693" s="101" t="s">
        <v>104</v>
      </c>
      <c r="R693" s="102">
        <f t="shared" ref="R693:R700" si="186">P693*(J693-(J693*L693)-((J693-(J693*L693))*M693))</f>
        <v>0</v>
      </c>
      <c r="S693" s="102">
        <f t="shared" ref="S693:S761" si="187">R693/1.11</f>
        <v>0</v>
      </c>
    </row>
    <row r="694" spans="1:19" s="45" customFormat="1">
      <c r="A694" s="35" t="s">
        <v>653</v>
      </c>
      <c r="B694" s="36" t="s">
        <v>645</v>
      </c>
      <c r="C694" s="37"/>
      <c r="D694" s="38" t="s">
        <v>104</v>
      </c>
      <c r="E694" s="39">
        <v>40</v>
      </c>
      <c r="F694" s="40">
        <v>1</v>
      </c>
      <c r="G694" s="41" t="s">
        <v>21</v>
      </c>
      <c r="H694" s="40">
        <v>100</v>
      </c>
      <c r="I694" s="41" t="s">
        <v>104</v>
      </c>
      <c r="J694" s="42">
        <v>14000</v>
      </c>
      <c r="K694" s="38" t="s">
        <v>104</v>
      </c>
      <c r="L694" s="43">
        <v>0.1</v>
      </c>
      <c r="M694" s="43"/>
      <c r="N694" s="37">
        <f>(1000-944)+500+500+200+100+200</f>
        <v>1556</v>
      </c>
      <c r="O694" s="41" t="s">
        <v>104</v>
      </c>
      <c r="P694" s="37">
        <f t="shared" ref="P694" si="188">(C694+(E694*F694*H694))-N694</f>
        <v>2444</v>
      </c>
      <c r="Q694" s="41" t="s">
        <v>104</v>
      </c>
      <c r="R694" s="42">
        <f t="shared" ref="R694" si="189">P694*(J694-(J694*L694)-((J694-(J694*L694))*M694))</f>
        <v>30794400</v>
      </c>
      <c r="S694" s="42">
        <f t="shared" ref="S694" si="190">R694/1.11</f>
        <v>27742702.702702701</v>
      </c>
    </row>
    <row r="695" spans="1:19" s="45" customFormat="1">
      <c r="A695" s="44" t="s">
        <v>654</v>
      </c>
      <c r="B695" s="45" t="s">
        <v>645</v>
      </c>
      <c r="C695" s="46">
        <v>1275</v>
      </c>
      <c r="D695" s="47" t="s">
        <v>104</v>
      </c>
      <c r="E695" s="48"/>
      <c r="F695" s="49">
        <v>1</v>
      </c>
      <c r="G695" s="50" t="s">
        <v>21</v>
      </c>
      <c r="H695" s="49">
        <v>50</v>
      </c>
      <c r="I695" s="50" t="s">
        <v>104</v>
      </c>
      <c r="J695" s="51">
        <v>24000</v>
      </c>
      <c r="K695" s="47" t="s">
        <v>104</v>
      </c>
      <c r="L695" s="52"/>
      <c r="M695" s="52"/>
      <c r="N695" s="46">
        <f>500+50+50</f>
        <v>600</v>
      </c>
      <c r="O695" s="50" t="s">
        <v>104</v>
      </c>
      <c r="P695" s="46">
        <f t="shared" si="185"/>
        <v>675</v>
      </c>
      <c r="Q695" s="50" t="s">
        <v>104</v>
      </c>
      <c r="R695" s="51">
        <f t="shared" si="186"/>
        <v>16200000</v>
      </c>
      <c r="S695" s="51">
        <f t="shared" si="187"/>
        <v>14594594.594594594</v>
      </c>
    </row>
    <row r="696" spans="1:19" s="26" customFormat="1">
      <c r="A696" s="25" t="s">
        <v>652</v>
      </c>
      <c r="B696" s="26" t="s">
        <v>19</v>
      </c>
      <c r="C696" s="27">
        <v>50</v>
      </c>
      <c r="D696" s="28" t="s">
        <v>34</v>
      </c>
      <c r="E696" s="29"/>
      <c r="F696" s="30">
        <v>1</v>
      </c>
      <c r="G696" s="31" t="s">
        <v>21</v>
      </c>
      <c r="H696" s="30">
        <v>50</v>
      </c>
      <c r="I696" s="31" t="s">
        <v>34</v>
      </c>
      <c r="J696" s="32">
        <v>28000</v>
      </c>
      <c r="K696" s="28" t="s">
        <v>34</v>
      </c>
      <c r="L696" s="33">
        <v>0.125</v>
      </c>
      <c r="M696" s="33">
        <v>0.05</v>
      </c>
      <c r="N696" s="27"/>
      <c r="O696" s="31" t="s">
        <v>34</v>
      </c>
      <c r="P696" s="27">
        <f>(C696+(E696*F696*H696))-N696</f>
        <v>50</v>
      </c>
      <c r="Q696" s="31" t="s">
        <v>34</v>
      </c>
      <c r="R696" s="32">
        <f>P696*(J696-(J696*L696)-((J696-(J696*L696))*M696))</f>
        <v>1163750</v>
      </c>
      <c r="S696" s="32">
        <f>R696/1.11</f>
        <v>1048423.4234234233</v>
      </c>
    </row>
    <row r="697" spans="1:19" s="17" customFormat="1">
      <c r="A697" s="109" t="s">
        <v>655</v>
      </c>
      <c r="B697" s="17" t="s">
        <v>26</v>
      </c>
      <c r="C697" s="18">
        <v>2660</v>
      </c>
      <c r="D697" s="19" t="s">
        <v>34</v>
      </c>
      <c r="E697" s="20"/>
      <c r="F697" s="21">
        <v>40</v>
      </c>
      <c r="G697" s="22" t="s">
        <v>104</v>
      </c>
      <c r="H697" s="21">
        <v>20</v>
      </c>
      <c r="I697" s="22" t="s">
        <v>34</v>
      </c>
      <c r="J697" s="23">
        <f>20000/20</f>
        <v>1000</v>
      </c>
      <c r="K697" s="19" t="s">
        <v>34</v>
      </c>
      <c r="L697" s="24"/>
      <c r="M697" s="24">
        <v>0.17</v>
      </c>
      <c r="N697" s="18">
        <f>1040+(80*20)+(1*20)</f>
        <v>2660</v>
      </c>
      <c r="O697" s="22" t="s">
        <v>34</v>
      </c>
      <c r="P697" s="18">
        <f>(C697+(E697*F697*H697))-N697</f>
        <v>0</v>
      </c>
      <c r="Q697" s="22" t="s">
        <v>34</v>
      </c>
      <c r="R697" s="23">
        <f>P697*(J697-(J697*L697)-((J697-(J697*L697))*M697))</f>
        <v>0</v>
      </c>
      <c r="S697" s="23">
        <f t="shared" si="187"/>
        <v>0</v>
      </c>
    </row>
    <row r="698" spans="1:19" s="26" customFormat="1">
      <c r="A698" s="108" t="s">
        <v>656</v>
      </c>
      <c r="B698" s="26" t="s">
        <v>26</v>
      </c>
      <c r="C698" s="27">
        <v>40</v>
      </c>
      <c r="D698" s="28" t="s">
        <v>104</v>
      </c>
      <c r="E698" s="29"/>
      <c r="F698" s="30">
        <v>1</v>
      </c>
      <c r="G698" s="31" t="s">
        <v>21</v>
      </c>
      <c r="H698" s="30">
        <v>20</v>
      </c>
      <c r="I698" s="31" t="s">
        <v>104</v>
      </c>
      <c r="J698" s="32">
        <f>780000/20</f>
        <v>39000</v>
      </c>
      <c r="K698" s="28" t="s">
        <v>104</v>
      </c>
      <c r="L698" s="33"/>
      <c r="M698" s="33">
        <v>0.17</v>
      </c>
      <c r="N698" s="27"/>
      <c r="O698" s="31" t="s">
        <v>104</v>
      </c>
      <c r="P698" s="27">
        <f>(C698+(E698*F698*H698))-N698</f>
        <v>40</v>
      </c>
      <c r="Q698" s="31" t="s">
        <v>104</v>
      </c>
      <c r="R698" s="32">
        <f>P698*(J698-(J698*L698)-((J698-(J698*L698))*M698))</f>
        <v>1294800</v>
      </c>
      <c r="S698" s="32">
        <f t="shared" si="187"/>
        <v>1166486.4864864864</v>
      </c>
    </row>
    <row r="699" spans="1:19" s="16" customFormat="1">
      <c r="A699" s="72" t="s">
        <v>657</v>
      </c>
      <c r="B699" s="16" t="s">
        <v>26</v>
      </c>
      <c r="C699" s="129"/>
      <c r="D699" s="130" t="s">
        <v>104</v>
      </c>
      <c r="E699" s="131">
        <f>3+2</f>
        <v>5</v>
      </c>
      <c r="F699" s="132">
        <v>1</v>
      </c>
      <c r="G699" s="133" t="s">
        <v>21</v>
      </c>
      <c r="H699" s="132">
        <v>15</v>
      </c>
      <c r="I699" s="133" t="s">
        <v>104</v>
      </c>
      <c r="J699" s="134">
        <f>525000/15</f>
        <v>35000</v>
      </c>
      <c r="K699" s="130" t="s">
        <v>104</v>
      </c>
      <c r="L699" s="135"/>
      <c r="M699" s="135">
        <v>0.17</v>
      </c>
      <c r="N699" s="129">
        <f>45+30</f>
        <v>75</v>
      </c>
      <c r="O699" s="133" t="s">
        <v>104</v>
      </c>
      <c r="P699" s="129">
        <f>(C699+(E699*F699*H699))-N699</f>
        <v>0</v>
      </c>
      <c r="Q699" s="133" t="s">
        <v>104</v>
      </c>
      <c r="R699" s="134">
        <f>P699*(J699-(J699*L699)-((J699-(J699*L699))*M699))</f>
        <v>0</v>
      </c>
      <c r="S699" s="134">
        <f t="shared" si="187"/>
        <v>0</v>
      </c>
    </row>
    <row r="700" spans="1:19" s="45" customFormat="1">
      <c r="A700" s="108" t="s">
        <v>658</v>
      </c>
      <c r="B700" s="45" t="s">
        <v>659</v>
      </c>
      <c r="C700" s="46">
        <v>100</v>
      </c>
      <c r="D700" s="47" t="s">
        <v>34</v>
      </c>
      <c r="E700" s="48">
        <v>2</v>
      </c>
      <c r="F700" s="49">
        <v>1</v>
      </c>
      <c r="G700" s="50" t="s">
        <v>21</v>
      </c>
      <c r="H700" s="49">
        <v>200</v>
      </c>
      <c r="I700" s="50" t="s">
        <v>34</v>
      </c>
      <c r="J700" s="51">
        <v>11500</v>
      </c>
      <c r="K700" s="47" t="s">
        <v>104</v>
      </c>
      <c r="L700" s="52">
        <v>0.17499999999999999</v>
      </c>
      <c r="M700" s="52">
        <v>0.03</v>
      </c>
      <c r="N700" s="46">
        <v>10</v>
      </c>
      <c r="O700" s="50" t="s">
        <v>34</v>
      </c>
      <c r="P700" s="46">
        <f t="shared" si="185"/>
        <v>490</v>
      </c>
      <c r="Q700" s="50" t="s">
        <v>34</v>
      </c>
      <c r="R700" s="51">
        <f t="shared" si="186"/>
        <v>4509408.75</v>
      </c>
      <c r="S700" s="32">
        <f t="shared" si="187"/>
        <v>4062530.405405405</v>
      </c>
    </row>
    <row r="701" spans="1:19" s="45" customFormat="1">
      <c r="A701" s="108" t="s">
        <v>736</v>
      </c>
      <c r="B701" s="45" t="s">
        <v>659</v>
      </c>
      <c r="C701" s="46"/>
      <c r="D701" s="47" t="s">
        <v>34</v>
      </c>
      <c r="E701" s="48">
        <v>2</v>
      </c>
      <c r="F701" s="49">
        <v>1</v>
      </c>
      <c r="G701" s="50" t="s">
        <v>21</v>
      </c>
      <c r="H701" s="49">
        <v>200</v>
      </c>
      <c r="I701" s="50" t="s">
        <v>34</v>
      </c>
      <c r="J701" s="51">
        <v>13800</v>
      </c>
      <c r="K701" s="47" t="s">
        <v>104</v>
      </c>
      <c r="L701" s="52">
        <v>0.17499999999999999</v>
      </c>
      <c r="M701" s="52">
        <v>0.03</v>
      </c>
      <c r="N701" s="46"/>
      <c r="O701" s="50" t="s">
        <v>34</v>
      </c>
      <c r="P701" s="46">
        <f t="shared" ref="P701" si="191">(C701+(E701*F701*H701))-N701</f>
        <v>400</v>
      </c>
      <c r="Q701" s="50" t="s">
        <v>34</v>
      </c>
      <c r="R701" s="51">
        <f t="shared" ref="R701" si="192">P701*(J701-(J701*L701)-((J701-(J701*L701))*M701))</f>
        <v>4417380</v>
      </c>
      <c r="S701" s="32">
        <f t="shared" ref="S701" si="193">R701/1.11</f>
        <v>3979621.6216216213</v>
      </c>
    </row>
    <row r="702" spans="1:19">
      <c r="S702" s="23"/>
    </row>
    <row r="703" spans="1:19" ht="15.75">
      <c r="A703" s="14" t="s">
        <v>660</v>
      </c>
      <c r="S703" s="23"/>
    </row>
    <row r="704" spans="1:19" s="26" customFormat="1">
      <c r="A704" s="94" t="s">
        <v>661</v>
      </c>
      <c r="B704" s="26" t="s">
        <v>182</v>
      </c>
      <c r="C704" s="27">
        <v>385</v>
      </c>
      <c r="D704" s="28" t="s">
        <v>104</v>
      </c>
      <c r="E704" s="29"/>
      <c r="F704" s="30">
        <v>1</v>
      </c>
      <c r="G704" s="31" t="s">
        <v>21</v>
      </c>
      <c r="H704" s="30">
        <v>60</v>
      </c>
      <c r="I704" s="31" t="s">
        <v>104</v>
      </c>
      <c r="J704" s="32">
        <v>8600</v>
      </c>
      <c r="K704" s="28" t="s">
        <v>104</v>
      </c>
      <c r="L704" s="33">
        <v>0.05</v>
      </c>
      <c r="M704" s="33"/>
      <c r="N704" s="27">
        <v>2</v>
      </c>
      <c r="O704" s="31" t="s">
        <v>104</v>
      </c>
      <c r="P704" s="27">
        <f t="shared" ref="P704:P720" si="194">(C704+(E704*F704*H704))-N704</f>
        <v>383</v>
      </c>
      <c r="Q704" s="31" t="s">
        <v>104</v>
      </c>
      <c r="R704" s="32">
        <f t="shared" ref="R704:R720" si="195">P704*(J704-(J704*L704)-((J704-(J704*L704))*M704))</f>
        <v>3129110</v>
      </c>
      <c r="S704" s="32">
        <f t="shared" si="187"/>
        <v>2819018.018018018</v>
      </c>
    </row>
    <row r="705" spans="1:19" s="45" customFormat="1">
      <c r="A705" s="94" t="s">
        <v>662</v>
      </c>
      <c r="B705" s="45" t="s">
        <v>19</v>
      </c>
      <c r="C705" s="46"/>
      <c r="D705" s="47" t="s">
        <v>34</v>
      </c>
      <c r="E705" s="48">
        <f>1+1+5+6</f>
        <v>13</v>
      </c>
      <c r="F705" s="49">
        <v>1</v>
      </c>
      <c r="G705" s="50" t="s">
        <v>21</v>
      </c>
      <c r="H705" s="49">
        <v>50</v>
      </c>
      <c r="I705" s="50" t="s">
        <v>34</v>
      </c>
      <c r="J705" s="51">
        <v>34100</v>
      </c>
      <c r="K705" s="47" t="s">
        <v>34</v>
      </c>
      <c r="L705" s="52">
        <v>0.125</v>
      </c>
      <c r="M705" s="52">
        <v>0.05</v>
      </c>
      <c r="N705" s="46">
        <f>6+50+100+50+50+200+50</f>
        <v>506</v>
      </c>
      <c r="O705" s="50" t="s">
        <v>34</v>
      </c>
      <c r="P705" s="46">
        <f t="shared" si="194"/>
        <v>144</v>
      </c>
      <c r="Q705" s="50" t="s">
        <v>34</v>
      </c>
      <c r="R705" s="51">
        <f t="shared" si="195"/>
        <v>4081770</v>
      </c>
      <c r="S705" s="32">
        <f t="shared" si="187"/>
        <v>3677270.2702702698</v>
      </c>
    </row>
    <row r="706" spans="1:19" s="45" customFormat="1">
      <c r="A706" s="44" t="s">
        <v>663</v>
      </c>
      <c r="B706" s="45" t="s">
        <v>19</v>
      </c>
      <c r="C706" s="46">
        <v>20</v>
      </c>
      <c r="D706" s="47" t="s">
        <v>34</v>
      </c>
      <c r="E706" s="48">
        <v>2</v>
      </c>
      <c r="F706" s="49">
        <v>1</v>
      </c>
      <c r="G706" s="50" t="s">
        <v>21</v>
      </c>
      <c r="H706" s="49">
        <v>50</v>
      </c>
      <c r="I706" s="50" t="s">
        <v>34</v>
      </c>
      <c r="J706" s="51">
        <v>34100</v>
      </c>
      <c r="K706" s="47" t="s">
        <v>34</v>
      </c>
      <c r="L706" s="52">
        <v>0.125</v>
      </c>
      <c r="M706" s="52">
        <v>0.05</v>
      </c>
      <c r="N706" s="46">
        <f>6+100</f>
        <v>106</v>
      </c>
      <c r="O706" s="50" t="s">
        <v>34</v>
      </c>
      <c r="P706" s="46">
        <f t="shared" si="194"/>
        <v>14</v>
      </c>
      <c r="Q706" s="50" t="s">
        <v>34</v>
      </c>
      <c r="R706" s="51">
        <f t="shared" si="195"/>
        <v>396838.75</v>
      </c>
      <c r="S706" s="51">
        <f t="shared" si="187"/>
        <v>357512.38738738734</v>
      </c>
    </row>
    <row r="707" spans="1:19" s="45" customFormat="1">
      <c r="A707" s="44" t="s">
        <v>664</v>
      </c>
      <c r="B707" s="45" t="s">
        <v>19</v>
      </c>
      <c r="C707" s="46">
        <v>23</v>
      </c>
      <c r="D707" s="47" t="s">
        <v>34</v>
      </c>
      <c r="E707" s="48">
        <v>2</v>
      </c>
      <c r="F707" s="49">
        <v>1</v>
      </c>
      <c r="G707" s="50" t="s">
        <v>21</v>
      </c>
      <c r="H707" s="49">
        <v>50</v>
      </c>
      <c r="I707" s="50" t="s">
        <v>34</v>
      </c>
      <c r="J707" s="51">
        <v>32000</v>
      </c>
      <c r="K707" s="47" t="s">
        <v>34</v>
      </c>
      <c r="L707" s="52">
        <v>0.125</v>
      </c>
      <c r="M707" s="52">
        <v>0.05</v>
      </c>
      <c r="N707" s="46">
        <v>50</v>
      </c>
      <c r="O707" s="50" t="s">
        <v>34</v>
      </c>
      <c r="P707" s="46">
        <f t="shared" si="194"/>
        <v>73</v>
      </c>
      <c r="Q707" s="50" t="s">
        <v>34</v>
      </c>
      <c r="R707" s="51">
        <f t="shared" si="195"/>
        <v>1941800</v>
      </c>
      <c r="S707" s="51">
        <f t="shared" si="187"/>
        <v>1749369.3693693692</v>
      </c>
    </row>
    <row r="708" spans="1:19" s="85" customFormat="1">
      <c r="A708" s="94" t="s">
        <v>665</v>
      </c>
      <c r="B708" s="85" t="s">
        <v>19</v>
      </c>
      <c r="C708" s="86">
        <v>12</v>
      </c>
      <c r="D708" s="87" t="s">
        <v>34</v>
      </c>
      <c r="E708" s="92">
        <f>1+2+5</f>
        <v>8</v>
      </c>
      <c r="F708" s="88">
        <v>1</v>
      </c>
      <c r="G708" s="89" t="s">
        <v>21</v>
      </c>
      <c r="H708" s="88">
        <v>50</v>
      </c>
      <c r="I708" s="89" t="s">
        <v>34</v>
      </c>
      <c r="J708" s="90">
        <v>32000</v>
      </c>
      <c r="K708" s="87" t="s">
        <v>34</v>
      </c>
      <c r="L708" s="91">
        <v>0.125</v>
      </c>
      <c r="M708" s="91">
        <v>0.05</v>
      </c>
      <c r="N708" s="86">
        <f>100+100+150</f>
        <v>350</v>
      </c>
      <c r="O708" s="89" t="s">
        <v>34</v>
      </c>
      <c r="P708" s="86">
        <f t="shared" si="194"/>
        <v>62</v>
      </c>
      <c r="Q708" s="89" t="s">
        <v>34</v>
      </c>
      <c r="R708" s="90">
        <f t="shared" si="195"/>
        <v>1649200</v>
      </c>
      <c r="S708" s="32">
        <f t="shared" si="187"/>
        <v>1485765.7657657657</v>
      </c>
    </row>
    <row r="709" spans="1:19" s="17" customFormat="1">
      <c r="A709" s="93" t="s">
        <v>666</v>
      </c>
      <c r="B709" s="17" t="s">
        <v>19</v>
      </c>
      <c r="C709" s="18"/>
      <c r="D709" s="19" t="s">
        <v>34</v>
      </c>
      <c r="E709" s="20"/>
      <c r="F709" s="21">
        <v>1</v>
      </c>
      <c r="G709" s="22" t="s">
        <v>21</v>
      </c>
      <c r="H709" s="21">
        <v>50</v>
      </c>
      <c r="I709" s="22" t="s">
        <v>34</v>
      </c>
      <c r="J709" s="23">
        <v>31200</v>
      </c>
      <c r="K709" s="19" t="s">
        <v>34</v>
      </c>
      <c r="L709" s="24">
        <v>0.125</v>
      </c>
      <c r="M709" s="24">
        <v>0.05</v>
      </c>
      <c r="N709" s="18"/>
      <c r="O709" s="22" t="s">
        <v>34</v>
      </c>
      <c r="P709" s="18">
        <f t="shared" si="194"/>
        <v>0</v>
      </c>
      <c r="Q709" s="22" t="s">
        <v>34</v>
      </c>
      <c r="R709" s="23">
        <f t="shared" si="195"/>
        <v>0</v>
      </c>
      <c r="S709" s="23">
        <f t="shared" si="187"/>
        <v>0</v>
      </c>
    </row>
    <row r="710" spans="1:19" s="17" customFormat="1">
      <c r="A710" s="93" t="s">
        <v>667</v>
      </c>
      <c r="B710" s="17" t="s">
        <v>19</v>
      </c>
      <c r="C710" s="18"/>
      <c r="D710" s="19" t="s">
        <v>34</v>
      </c>
      <c r="E710" s="20"/>
      <c r="F710" s="21">
        <v>1</v>
      </c>
      <c r="G710" s="22" t="s">
        <v>21</v>
      </c>
      <c r="H710" s="21">
        <v>50</v>
      </c>
      <c r="I710" s="22" t="s">
        <v>34</v>
      </c>
      <c r="J710" s="23">
        <v>12000</v>
      </c>
      <c r="K710" s="19" t="s">
        <v>34</v>
      </c>
      <c r="L710" s="24">
        <v>0.125</v>
      </c>
      <c r="M710" s="24">
        <v>0.05</v>
      </c>
      <c r="N710" s="18"/>
      <c r="O710" s="22" t="s">
        <v>34</v>
      </c>
      <c r="P710" s="18">
        <f t="shared" si="194"/>
        <v>0</v>
      </c>
      <c r="Q710" s="22" t="s">
        <v>34</v>
      </c>
      <c r="R710" s="23">
        <f t="shared" si="195"/>
        <v>0</v>
      </c>
      <c r="S710" s="23">
        <f t="shared" si="187"/>
        <v>0</v>
      </c>
    </row>
    <row r="711" spans="1:19" s="17" customFormat="1">
      <c r="A711" s="93" t="s">
        <v>668</v>
      </c>
      <c r="B711" s="17" t="s">
        <v>19</v>
      </c>
      <c r="C711" s="18"/>
      <c r="D711" s="19" t="s">
        <v>34</v>
      </c>
      <c r="E711" s="20"/>
      <c r="F711" s="21">
        <v>1</v>
      </c>
      <c r="G711" s="22" t="s">
        <v>21</v>
      </c>
      <c r="H711" s="21">
        <v>50</v>
      </c>
      <c r="I711" s="22" t="s">
        <v>34</v>
      </c>
      <c r="J711" s="23">
        <v>36200</v>
      </c>
      <c r="K711" s="19" t="s">
        <v>34</v>
      </c>
      <c r="L711" s="24">
        <v>0.125</v>
      </c>
      <c r="M711" s="24">
        <v>0.05</v>
      </c>
      <c r="N711" s="18"/>
      <c r="O711" s="22" t="s">
        <v>34</v>
      </c>
      <c r="P711" s="18">
        <f t="shared" si="194"/>
        <v>0</v>
      </c>
      <c r="Q711" s="22" t="s">
        <v>34</v>
      </c>
      <c r="R711" s="23">
        <f t="shared" si="195"/>
        <v>0</v>
      </c>
      <c r="S711" s="23">
        <f t="shared" si="187"/>
        <v>0</v>
      </c>
    </row>
    <row r="712" spans="1:19" s="45" customFormat="1">
      <c r="A712" s="94" t="s">
        <v>669</v>
      </c>
      <c r="B712" s="45" t="s">
        <v>19</v>
      </c>
      <c r="C712" s="46">
        <v>184</v>
      </c>
      <c r="D712" s="47" t="s">
        <v>34</v>
      </c>
      <c r="E712" s="48">
        <f>2+2+5+12</f>
        <v>21</v>
      </c>
      <c r="F712" s="49">
        <v>1</v>
      </c>
      <c r="G712" s="50" t="s">
        <v>21</v>
      </c>
      <c r="H712" s="49">
        <v>50</v>
      </c>
      <c r="I712" s="50" t="s">
        <v>34</v>
      </c>
      <c r="J712" s="51">
        <v>28300</v>
      </c>
      <c r="K712" s="47" t="s">
        <v>34</v>
      </c>
      <c r="L712" s="52">
        <v>0.125</v>
      </c>
      <c r="M712" s="52">
        <v>0.05</v>
      </c>
      <c r="N712" s="46">
        <f>100+50+50+150+150+100+50+250</f>
        <v>900</v>
      </c>
      <c r="O712" s="50" t="s">
        <v>34</v>
      </c>
      <c r="P712" s="46">
        <f t="shared" si="194"/>
        <v>334</v>
      </c>
      <c r="Q712" s="50" t="s">
        <v>34</v>
      </c>
      <c r="R712" s="51">
        <f t="shared" si="195"/>
        <v>7857141.25</v>
      </c>
      <c r="S712" s="51">
        <f t="shared" si="187"/>
        <v>7078505.6306306301</v>
      </c>
    </row>
    <row r="713" spans="1:19" s="45" customFormat="1">
      <c r="A713" s="94" t="s">
        <v>670</v>
      </c>
      <c r="B713" s="45" t="s">
        <v>19</v>
      </c>
      <c r="C713" s="46">
        <v>6</v>
      </c>
      <c r="D713" s="47" t="s">
        <v>34</v>
      </c>
      <c r="E713" s="48">
        <f>1+3</f>
        <v>4</v>
      </c>
      <c r="F713" s="49">
        <v>1</v>
      </c>
      <c r="G713" s="50" t="s">
        <v>21</v>
      </c>
      <c r="H713" s="49">
        <v>50</v>
      </c>
      <c r="I713" s="50" t="s">
        <v>34</v>
      </c>
      <c r="J713" s="51">
        <v>28300</v>
      </c>
      <c r="K713" s="47" t="s">
        <v>34</v>
      </c>
      <c r="L713" s="52">
        <v>0.125</v>
      </c>
      <c r="M713" s="52">
        <v>0.05</v>
      </c>
      <c r="N713" s="46">
        <f>50+150</f>
        <v>200</v>
      </c>
      <c r="O713" s="50" t="s">
        <v>34</v>
      </c>
      <c r="P713" s="46">
        <f t="shared" si="194"/>
        <v>6</v>
      </c>
      <c r="Q713" s="50" t="s">
        <v>34</v>
      </c>
      <c r="R713" s="51">
        <f t="shared" si="195"/>
        <v>141146.25</v>
      </c>
      <c r="S713" s="51">
        <f t="shared" si="187"/>
        <v>127158.78378378377</v>
      </c>
    </row>
    <row r="714" spans="1:19" s="17" customFormat="1">
      <c r="A714" s="93" t="s">
        <v>671</v>
      </c>
      <c r="B714" s="17" t="s">
        <v>19</v>
      </c>
      <c r="C714" s="18"/>
      <c r="D714" s="19" t="s">
        <v>34</v>
      </c>
      <c r="E714" s="20"/>
      <c r="F714" s="21">
        <v>1</v>
      </c>
      <c r="G714" s="22" t="s">
        <v>21</v>
      </c>
      <c r="H714" s="21">
        <v>50</v>
      </c>
      <c r="I714" s="22" t="s">
        <v>34</v>
      </c>
      <c r="J714" s="23">
        <v>26500</v>
      </c>
      <c r="K714" s="19" t="s">
        <v>34</v>
      </c>
      <c r="L714" s="24">
        <v>0.125</v>
      </c>
      <c r="M714" s="24">
        <v>0.05</v>
      </c>
      <c r="N714" s="18"/>
      <c r="O714" s="22" t="s">
        <v>34</v>
      </c>
      <c r="P714" s="18">
        <f t="shared" si="194"/>
        <v>0</v>
      </c>
      <c r="Q714" s="22" t="s">
        <v>34</v>
      </c>
      <c r="R714" s="23">
        <f t="shared" si="195"/>
        <v>0</v>
      </c>
      <c r="S714" s="23">
        <f t="shared" si="187"/>
        <v>0</v>
      </c>
    </row>
    <row r="715" spans="1:19" s="26" customFormat="1">
      <c r="A715" s="107" t="s">
        <v>672</v>
      </c>
      <c r="B715" s="26" t="s">
        <v>26</v>
      </c>
      <c r="C715" s="27">
        <v>138</v>
      </c>
      <c r="D715" s="28" t="s">
        <v>34</v>
      </c>
      <c r="E715" s="29"/>
      <c r="F715" s="30">
        <v>1</v>
      </c>
      <c r="G715" s="31" t="s">
        <v>21</v>
      </c>
      <c r="H715" s="30">
        <v>50</v>
      </c>
      <c r="I715" s="31" t="s">
        <v>34</v>
      </c>
      <c r="J715" s="32">
        <f>1375000/50</f>
        <v>27500</v>
      </c>
      <c r="K715" s="28" t="s">
        <v>34</v>
      </c>
      <c r="L715" s="33"/>
      <c r="M715" s="33">
        <v>0.17</v>
      </c>
      <c r="N715" s="27">
        <f>10+50+25</f>
        <v>85</v>
      </c>
      <c r="O715" s="31" t="s">
        <v>34</v>
      </c>
      <c r="P715" s="27">
        <f t="shared" si="194"/>
        <v>53</v>
      </c>
      <c r="Q715" s="31" t="s">
        <v>34</v>
      </c>
      <c r="R715" s="32">
        <f t="shared" si="195"/>
        <v>1209725</v>
      </c>
      <c r="S715" s="32">
        <f t="shared" si="187"/>
        <v>1089842.3423423423</v>
      </c>
    </row>
    <row r="716" spans="1:19" s="26" customFormat="1">
      <c r="A716" s="107" t="s">
        <v>673</v>
      </c>
      <c r="B716" s="26" t="s">
        <v>26</v>
      </c>
      <c r="C716" s="27">
        <v>333</v>
      </c>
      <c r="D716" s="28" t="s">
        <v>34</v>
      </c>
      <c r="E716" s="29"/>
      <c r="F716" s="30">
        <v>1</v>
      </c>
      <c r="G716" s="31" t="s">
        <v>21</v>
      </c>
      <c r="H716" s="30">
        <v>50</v>
      </c>
      <c r="I716" s="31" t="s">
        <v>34</v>
      </c>
      <c r="J716" s="32">
        <f>1375000/50</f>
        <v>27500</v>
      </c>
      <c r="K716" s="28" t="s">
        <v>34</v>
      </c>
      <c r="L716" s="33"/>
      <c r="M716" s="33">
        <v>0.17</v>
      </c>
      <c r="N716" s="27">
        <f>10+10+50</f>
        <v>70</v>
      </c>
      <c r="O716" s="31" t="s">
        <v>34</v>
      </c>
      <c r="P716" s="27">
        <f t="shared" si="194"/>
        <v>263</v>
      </c>
      <c r="Q716" s="31" t="s">
        <v>34</v>
      </c>
      <c r="R716" s="32">
        <f t="shared" si="195"/>
        <v>6002975</v>
      </c>
      <c r="S716" s="32">
        <f t="shared" si="187"/>
        <v>5408085.5855855849</v>
      </c>
    </row>
    <row r="717" spans="1:19" s="17" customFormat="1">
      <c r="A717" s="93" t="s">
        <v>674</v>
      </c>
      <c r="B717" s="17" t="s">
        <v>26</v>
      </c>
      <c r="C717" s="18"/>
      <c r="D717" s="19" t="s">
        <v>34</v>
      </c>
      <c r="E717" s="20"/>
      <c r="F717" s="21">
        <v>1</v>
      </c>
      <c r="G717" s="22" t="s">
        <v>21</v>
      </c>
      <c r="H717" s="21">
        <v>50</v>
      </c>
      <c r="I717" s="22" t="s">
        <v>34</v>
      </c>
      <c r="J717" s="23">
        <v>28500</v>
      </c>
      <c r="K717" s="19" t="s">
        <v>34</v>
      </c>
      <c r="L717" s="24"/>
      <c r="M717" s="24">
        <v>0.17</v>
      </c>
      <c r="N717" s="18"/>
      <c r="O717" s="22" t="s">
        <v>34</v>
      </c>
      <c r="P717" s="18">
        <f t="shared" si="194"/>
        <v>0</v>
      </c>
      <c r="Q717" s="22" t="s">
        <v>34</v>
      </c>
      <c r="R717" s="23">
        <f t="shared" si="195"/>
        <v>0</v>
      </c>
      <c r="S717" s="23">
        <f t="shared" si="187"/>
        <v>0</v>
      </c>
    </row>
    <row r="718" spans="1:19" s="17" customFormat="1">
      <c r="A718" s="93" t="s">
        <v>675</v>
      </c>
      <c r="B718" s="17" t="s">
        <v>26</v>
      </c>
      <c r="C718" s="18"/>
      <c r="D718" s="19" t="s">
        <v>34</v>
      </c>
      <c r="E718" s="20"/>
      <c r="F718" s="21">
        <v>1</v>
      </c>
      <c r="G718" s="22" t="s">
        <v>21</v>
      </c>
      <c r="H718" s="21">
        <v>50</v>
      </c>
      <c r="I718" s="22" t="s">
        <v>34</v>
      </c>
      <c r="J718" s="23">
        <v>28500</v>
      </c>
      <c r="K718" s="19" t="s">
        <v>34</v>
      </c>
      <c r="L718" s="24"/>
      <c r="M718" s="24">
        <v>0.17</v>
      </c>
      <c r="N718" s="18"/>
      <c r="O718" s="22" t="s">
        <v>34</v>
      </c>
      <c r="P718" s="18">
        <f t="shared" si="194"/>
        <v>0</v>
      </c>
      <c r="Q718" s="22" t="s">
        <v>34</v>
      </c>
      <c r="R718" s="23">
        <f t="shared" si="195"/>
        <v>0</v>
      </c>
      <c r="S718" s="23">
        <f t="shared" si="187"/>
        <v>0</v>
      </c>
    </row>
    <row r="719" spans="1:19" s="45" customFormat="1">
      <c r="A719" s="107" t="s">
        <v>676</v>
      </c>
      <c r="B719" s="45" t="s">
        <v>26</v>
      </c>
      <c r="C719" s="46">
        <v>550</v>
      </c>
      <c r="D719" s="47" t="s">
        <v>34</v>
      </c>
      <c r="E719" s="48"/>
      <c r="F719" s="49">
        <v>1</v>
      </c>
      <c r="G719" s="50" t="s">
        <v>21</v>
      </c>
      <c r="H719" s="49">
        <v>50</v>
      </c>
      <c r="I719" s="50" t="s">
        <v>34</v>
      </c>
      <c r="J719" s="51">
        <f>1375000/50</f>
        <v>27500</v>
      </c>
      <c r="K719" s="47" t="s">
        <v>34</v>
      </c>
      <c r="L719" s="52"/>
      <c r="M719" s="52">
        <v>0.17</v>
      </c>
      <c r="N719" s="46">
        <f>200+10+10+50</f>
        <v>270</v>
      </c>
      <c r="O719" s="50" t="s">
        <v>34</v>
      </c>
      <c r="P719" s="46">
        <f t="shared" si="194"/>
        <v>280</v>
      </c>
      <c r="Q719" s="50" t="s">
        <v>34</v>
      </c>
      <c r="R719" s="51">
        <f t="shared" si="195"/>
        <v>6391000</v>
      </c>
      <c r="S719" s="51">
        <f t="shared" si="187"/>
        <v>5757657.6576576568</v>
      </c>
    </row>
    <row r="720" spans="1:19" s="45" customFormat="1">
      <c r="A720" s="107" t="s">
        <v>677</v>
      </c>
      <c r="B720" s="45" t="s">
        <v>26</v>
      </c>
      <c r="C720" s="46">
        <v>244</v>
      </c>
      <c r="D720" s="47" t="s">
        <v>34</v>
      </c>
      <c r="E720" s="48"/>
      <c r="F720" s="49">
        <v>1</v>
      </c>
      <c r="G720" s="50" t="s">
        <v>21</v>
      </c>
      <c r="H720" s="49">
        <v>50</v>
      </c>
      <c r="I720" s="50" t="s">
        <v>34</v>
      </c>
      <c r="J720" s="51">
        <f>1375000/50</f>
        <v>27500</v>
      </c>
      <c r="K720" s="47" t="s">
        <v>34</v>
      </c>
      <c r="L720" s="52"/>
      <c r="M720" s="52">
        <v>0.17</v>
      </c>
      <c r="N720" s="46">
        <f>100+20+20+3</f>
        <v>143</v>
      </c>
      <c r="O720" s="50" t="s">
        <v>34</v>
      </c>
      <c r="P720" s="46">
        <f t="shared" si="194"/>
        <v>101</v>
      </c>
      <c r="Q720" s="50" t="s">
        <v>34</v>
      </c>
      <c r="R720" s="51">
        <f t="shared" si="195"/>
        <v>2305325</v>
      </c>
      <c r="S720" s="51">
        <f t="shared" si="187"/>
        <v>2076869.3693693692</v>
      </c>
    </row>
    <row r="721" spans="1:19">
      <c r="S721" s="23"/>
    </row>
    <row r="722" spans="1:19" ht="15.75">
      <c r="A722" s="14" t="s">
        <v>678</v>
      </c>
      <c r="S722" s="23"/>
    </row>
    <row r="723" spans="1:19">
      <c r="A723" s="15" t="s">
        <v>679</v>
      </c>
      <c r="S723" s="23"/>
    </row>
    <row r="724" spans="1:19" s="63" customFormat="1">
      <c r="A724" s="111" t="s">
        <v>680</v>
      </c>
      <c r="B724" s="63" t="s">
        <v>192</v>
      </c>
      <c r="C724" s="64">
        <v>120</v>
      </c>
      <c r="D724" s="65" t="s">
        <v>292</v>
      </c>
      <c r="E724" s="66"/>
      <c r="F724" s="67">
        <v>1</v>
      </c>
      <c r="G724" s="68" t="s">
        <v>21</v>
      </c>
      <c r="H724" s="67">
        <v>720</v>
      </c>
      <c r="I724" s="68" t="s">
        <v>292</v>
      </c>
      <c r="J724" s="69">
        <v>3100</v>
      </c>
      <c r="K724" s="65" t="s">
        <v>292</v>
      </c>
      <c r="L724" s="70"/>
      <c r="M724" s="70">
        <v>0.15</v>
      </c>
      <c r="N724" s="64">
        <f>(2*12)+(1*12)+(4*12)+(1*12)+(1*12)+12</f>
        <v>120</v>
      </c>
      <c r="O724" s="68" t="s">
        <v>292</v>
      </c>
      <c r="P724" s="64">
        <f t="shared" ref="P724:P732" si="196">(C724+(E724*F724*H724))-N724</f>
        <v>0</v>
      </c>
      <c r="Q724" s="68" t="s">
        <v>292</v>
      </c>
      <c r="R724" s="69">
        <f t="shared" ref="R724:R732" si="197">P724*(J724-(J724*L724)-((J724-(J724*L724))*M724))</f>
        <v>0</v>
      </c>
      <c r="S724" s="23">
        <f t="shared" si="187"/>
        <v>0</v>
      </c>
    </row>
    <row r="725" spans="1:19" s="63" customFormat="1">
      <c r="A725" s="111" t="s">
        <v>681</v>
      </c>
      <c r="B725" s="63" t="s">
        <v>192</v>
      </c>
      <c r="C725" s="64">
        <v>92</v>
      </c>
      <c r="D725" s="65" t="s">
        <v>292</v>
      </c>
      <c r="E725" s="66"/>
      <c r="F725" s="67">
        <v>1</v>
      </c>
      <c r="G725" s="68" t="s">
        <v>21</v>
      </c>
      <c r="H725" s="67">
        <v>480</v>
      </c>
      <c r="I725" s="68" t="s">
        <v>292</v>
      </c>
      <c r="J725" s="69">
        <v>4750</v>
      </c>
      <c r="K725" s="65" t="s">
        <v>292</v>
      </c>
      <c r="L725" s="70"/>
      <c r="M725" s="70">
        <v>0.15</v>
      </c>
      <c r="N725" s="64">
        <f>(3*12)+(1*12)+((2*12)+8)+(1*12)</f>
        <v>92</v>
      </c>
      <c r="O725" s="68" t="s">
        <v>292</v>
      </c>
      <c r="P725" s="64">
        <f t="shared" si="196"/>
        <v>0</v>
      </c>
      <c r="Q725" s="68" t="s">
        <v>292</v>
      </c>
      <c r="R725" s="69">
        <f t="shared" si="197"/>
        <v>0</v>
      </c>
      <c r="S725" s="23">
        <f t="shared" si="187"/>
        <v>0</v>
      </c>
    </row>
    <row r="726" spans="1:19" s="17" customFormat="1">
      <c r="A726" s="111" t="s">
        <v>682</v>
      </c>
      <c r="B726" s="63" t="s">
        <v>192</v>
      </c>
      <c r="C726" s="18">
        <v>48</v>
      </c>
      <c r="D726" s="19" t="s">
        <v>292</v>
      </c>
      <c r="E726" s="20"/>
      <c r="F726" s="21">
        <v>1</v>
      </c>
      <c r="G726" s="22" t="s">
        <v>21</v>
      </c>
      <c r="H726" s="21">
        <v>360</v>
      </c>
      <c r="I726" s="22" t="s">
        <v>292</v>
      </c>
      <c r="J726" s="23">
        <v>6000</v>
      </c>
      <c r="K726" s="19" t="s">
        <v>292</v>
      </c>
      <c r="L726" s="24"/>
      <c r="M726" s="24">
        <v>0.15</v>
      </c>
      <c r="N726" s="64">
        <f>(1*12)+(2*12)+(1*12)</f>
        <v>48</v>
      </c>
      <c r="O726" s="22" t="s">
        <v>292</v>
      </c>
      <c r="P726" s="18">
        <f t="shared" si="196"/>
        <v>0</v>
      </c>
      <c r="Q726" s="22" t="s">
        <v>292</v>
      </c>
      <c r="R726" s="23">
        <f t="shared" si="197"/>
        <v>0</v>
      </c>
      <c r="S726" s="23">
        <f t="shared" si="187"/>
        <v>0</v>
      </c>
    </row>
    <row r="727" spans="1:19" s="17" customFormat="1">
      <c r="A727" s="93" t="s">
        <v>683</v>
      </c>
      <c r="B727" s="17" t="s">
        <v>19</v>
      </c>
      <c r="C727" s="18"/>
      <c r="D727" s="19" t="s">
        <v>292</v>
      </c>
      <c r="E727" s="20"/>
      <c r="F727" s="21">
        <v>10</v>
      </c>
      <c r="G727" s="22" t="s">
        <v>104</v>
      </c>
      <c r="H727" s="21">
        <v>24</v>
      </c>
      <c r="I727" s="22" t="s">
        <v>292</v>
      </c>
      <c r="J727" s="23">
        <v>2300</v>
      </c>
      <c r="K727" s="19" t="s">
        <v>292</v>
      </c>
      <c r="L727" s="24">
        <v>0.125</v>
      </c>
      <c r="M727" s="24">
        <v>0.05</v>
      </c>
      <c r="N727" s="18"/>
      <c r="O727" s="22" t="s">
        <v>292</v>
      </c>
      <c r="P727" s="18">
        <f t="shared" si="196"/>
        <v>0</v>
      </c>
      <c r="Q727" s="22" t="s">
        <v>292</v>
      </c>
      <c r="R727" s="23">
        <f t="shared" si="197"/>
        <v>0</v>
      </c>
      <c r="S727" s="23">
        <f t="shared" si="187"/>
        <v>0</v>
      </c>
    </row>
    <row r="728" spans="1:19" s="17" customFormat="1">
      <c r="A728" s="93" t="s">
        <v>684</v>
      </c>
      <c r="B728" s="17" t="s">
        <v>19</v>
      </c>
      <c r="C728" s="18"/>
      <c r="D728" s="19" t="s">
        <v>292</v>
      </c>
      <c r="E728" s="20"/>
      <c r="F728" s="21">
        <v>10</v>
      </c>
      <c r="G728" s="22" t="s">
        <v>104</v>
      </c>
      <c r="H728" s="21">
        <v>12</v>
      </c>
      <c r="I728" s="22" t="s">
        <v>292</v>
      </c>
      <c r="J728" s="23">
        <v>4600</v>
      </c>
      <c r="K728" s="19" t="s">
        <v>292</v>
      </c>
      <c r="L728" s="24">
        <v>0.125</v>
      </c>
      <c r="M728" s="24">
        <v>0.05</v>
      </c>
      <c r="N728" s="18"/>
      <c r="O728" s="22" t="s">
        <v>292</v>
      </c>
      <c r="P728" s="18">
        <f t="shared" si="196"/>
        <v>0</v>
      </c>
      <c r="Q728" s="22" t="s">
        <v>292</v>
      </c>
      <c r="R728" s="23">
        <f t="shared" si="197"/>
        <v>0</v>
      </c>
      <c r="S728" s="23">
        <f t="shared" si="187"/>
        <v>0</v>
      </c>
    </row>
    <row r="729" spans="1:19" s="17" customFormat="1">
      <c r="A729" s="109" t="s">
        <v>685</v>
      </c>
      <c r="B729" s="17" t="s">
        <v>26</v>
      </c>
      <c r="C729" s="18"/>
      <c r="D729" s="19" t="s">
        <v>292</v>
      </c>
      <c r="E729" s="20">
        <v>1</v>
      </c>
      <c r="F729" s="21">
        <v>1</v>
      </c>
      <c r="G729" s="22" t="s">
        <v>21</v>
      </c>
      <c r="H729" s="21">
        <v>480</v>
      </c>
      <c r="I729" s="22" t="s">
        <v>292</v>
      </c>
      <c r="J729" s="23">
        <f>588000/480</f>
        <v>1225</v>
      </c>
      <c r="K729" s="19" t="s">
        <v>292</v>
      </c>
      <c r="L729" s="24"/>
      <c r="M729" s="24">
        <v>0.17</v>
      </c>
      <c r="N729" s="18">
        <v>480</v>
      </c>
      <c r="O729" s="22" t="s">
        <v>292</v>
      </c>
      <c r="P729" s="18">
        <f t="shared" si="196"/>
        <v>0</v>
      </c>
      <c r="Q729" s="22" t="s">
        <v>292</v>
      </c>
      <c r="R729" s="23">
        <f t="shared" si="197"/>
        <v>0</v>
      </c>
      <c r="S729" s="23">
        <f t="shared" si="187"/>
        <v>0</v>
      </c>
    </row>
    <row r="730" spans="1:19" s="17" customFormat="1">
      <c r="A730" s="109" t="s">
        <v>686</v>
      </c>
      <c r="B730" s="17" t="s">
        <v>26</v>
      </c>
      <c r="C730" s="18"/>
      <c r="D730" s="19" t="s">
        <v>292</v>
      </c>
      <c r="E730" s="20">
        <v>1</v>
      </c>
      <c r="F730" s="21">
        <v>1</v>
      </c>
      <c r="G730" s="22" t="s">
        <v>21</v>
      </c>
      <c r="H730" s="21">
        <v>240</v>
      </c>
      <c r="I730" s="22" t="s">
        <v>292</v>
      </c>
      <c r="J730" s="23">
        <f>588000/240</f>
        <v>2450</v>
      </c>
      <c r="K730" s="19" t="s">
        <v>292</v>
      </c>
      <c r="L730" s="24"/>
      <c r="M730" s="24">
        <v>0.17</v>
      </c>
      <c r="N730" s="18">
        <v>240</v>
      </c>
      <c r="O730" s="22" t="s">
        <v>292</v>
      </c>
      <c r="P730" s="18">
        <f t="shared" si="196"/>
        <v>0</v>
      </c>
      <c r="Q730" s="22" t="s">
        <v>292</v>
      </c>
      <c r="R730" s="23">
        <f t="shared" si="197"/>
        <v>0</v>
      </c>
      <c r="S730" s="23">
        <f t="shared" si="187"/>
        <v>0</v>
      </c>
    </row>
    <row r="731" spans="1:19" s="17" customFormat="1">
      <c r="A731" s="109" t="s">
        <v>687</v>
      </c>
      <c r="B731" s="17" t="s">
        <v>26</v>
      </c>
      <c r="C731" s="18"/>
      <c r="D731" s="19" t="s">
        <v>292</v>
      </c>
      <c r="E731" s="20"/>
      <c r="F731" s="21">
        <v>1</v>
      </c>
      <c r="G731" s="22" t="s">
        <v>21</v>
      </c>
      <c r="H731" s="21">
        <v>120</v>
      </c>
      <c r="I731" s="22" t="s">
        <v>292</v>
      </c>
      <c r="J731" s="23">
        <v>4800</v>
      </c>
      <c r="K731" s="19" t="s">
        <v>292</v>
      </c>
      <c r="L731" s="24"/>
      <c r="M731" s="24">
        <v>0.17</v>
      </c>
      <c r="N731" s="18"/>
      <c r="O731" s="22" t="s">
        <v>292</v>
      </c>
      <c r="P731" s="18">
        <f t="shared" si="196"/>
        <v>0</v>
      </c>
      <c r="Q731" s="22" t="s">
        <v>292</v>
      </c>
      <c r="R731" s="23">
        <f t="shared" si="197"/>
        <v>0</v>
      </c>
      <c r="S731" s="23">
        <f t="shared" si="187"/>
        <v>0</v>
      </c>
    </row>
    <row r="732" spans="1:19" s="17" customFormat="1">
      <c r="A732" s="109" t="s">
        <v>688</v>
      </c>
      <c r="B732" s="17" t="s">
        <v>26</v>
      </c>
      <c r="C732" s="18"/>
      <c r="D732" s="19" t="s">
        <v>292</v>
      </c>
      <c r="E732" s="20"/>
      <c r="F732" s="21">
        <v>1</v>
      </c>
      <c r="G732" s="22" t="s">
        <v>21</v>
      </c>
      <c r="H732" s="21">
        <v>120</v>
      </c>
      <c r="I732" s="22" t="s">
        <v>292</v>
      </c>
      <c r="J732" s="23">
        <v>9500</v>
      </c>
      <c r="K732" s="19" t="s">
        <v>292</v>
      </c>
      <c r="L732" s="24"/>
      <c r="M732" s="24">
        <v>0.17</v>
      </c>
      <c r="N732" s="18"/>
      <c r="O732" s="22" t="s">
        <v>292</v>
      </c>
      <c r="P732" s="18">
        <f t="shared" si="196"/>
        <v>0</v>
      </c>
      <c r="Q732" s="22" t="s">
        <v>292</v>
      </c>
      <c r="R732" s="23">
        <f t="shared" si="197"/>
        <v>0</v>
      </c>
      <c r="S732" s="23">
        <f t="shared" si="187"/>
        <v>0</v>
      </c>
    </row>
    <row r="733" spans="1:19">
      <c r="A733" s="15" t="s">
        <v>689</v>
      </c>
      <c r="S733" s="23"/>
    </row>
    <row r="734" spans="1:19" s="85" customFormat="1">
      <c r="A734" s="84" t="s">
        <v>690</v>
      </c>
      <c r="B734" s="85" t="s">
        <v>26</v>
      </c>
      <c r="C734" s="86">
        <v>144</v>
      </c>
      <c r="D734" s="87" t="s">
        <v>292</v>
      </c>
      <c r="E734" s="92"/>
      <c r="F734" s="88">
        <v>1</v>
      </c>
      <c r="G734" s="89" t="s">
        <v>21</v>
      </c>
      <c r="H734" s="88">
        <v>72</v>
      </c>
      <c r="I734" s="89" t="s">
        <v>292</v>
      </c>
      <c r="J734" s="90">
        <f>900000/72</f>
        <v>12500</v>
      </c>
      <c r="K734" s="87" t="s">
        <v>292</v>
      </c>
      <c r="L734" s="91"/>
      <c r="M734" s="91">
        <v>0.17</v>
      </c>
      <c r="N734" s="86"/>
      <c r="O734" s="89" t="s">
        <v>292</v>
      </c>
      <c r="P734" s="86">
        <f>(C734+(E734*F734*H734))-N734</f>
        <v>144</v>
      </c>
      <c r="Q734" s="89" t="s">
        <v>292</v>
      </c>
      <c r="R734" s="90">
        <f>P734*(J734-(J734*L734)-((J734-(J734*L734))*M734))</f>
        <v>1494000</v>
      </c>
      <c r="S734" s="32">
        <f t="shared" si="187"/>
        <v>1345945.9459459458</v>
      </c>
    </row>
    <row r="735" spans="1:19" s="17" customFormat="1">
      <c r="A735" s="16" t="s">
        <v>691</v>
      </c>
      <c r="B735" s="17" t="s">
        <v>26</v>
      </c>
      <c r="C735" s="18"/>
      <c r="D735" s="19" t="s">
        <v>292</v>
      </c>
      <c r="E735" s="20"/>
      <c r="F735" s="21">
        <v>1</v>
      </c>
      <c r="G735" s="22" t="s">
        <v>21</v>
      </c>
      <c r="H735" s="21">
        <v>72</v>
      </c>
      <c r="I735" s="22" t="s">
        <v>292</v>
      </c>
      <c r="J735" s="23">
        <f>900000/72</f>
        <v>12500</v>
      </c>
      <c r="K735" s="19" t="s">
        <v>292</v>
      </c>
      <c r="L735" s="24"/>
      <c r="M735" s="24">
        <v>0.17</v>
      </c>
      <c r="N735" s="18"/>
      <c r="O735" s="22" t="s">
        <v>292</v>
      </c>
      <c r="P735" s="18">
        <f>(C735+(E735*F735*H735))-N735</f>
        <v>0</v>
      </c>
      <c r="Q735" s="22" t="s">
        <v>292</v>
      </c>
      <c r="R735" s="23">
        <f>P735*(J735-(J735*L735)-((J735-(J735*L735))*M735))</f>
        <v>0</v>
      </c>
      <c r="S735" s="23">
        <f t="shared" si="187"/>
        <v>0</v>
      </c>
    </row>
    <row r="736" spans="1:19" s="26" customFormat="1">
      <c r="A736" s="25" t="s">
        <v>692</v>
      </c>
      <c r="B736" s="26" t="s">
        <v>26</v>
      </c>
      <c r="C736" s="27">
        <v>210</v>
      </c>
      <c r="D736" s="28" t="s">
        <v>292</v>
      </c>
      <c r="E736" s="29"/>
      <c r="F736" s="30">
        <v>1</v>
      </c>
      <c r="G736" s="31" t="s">
        <v>21</v>
      </c>
      <c r="H736" s="30">
        <v>72</v>
      </c>
      <c r="I736" s="31" t="s">
        <v>292</v>
      </c>
      <c r="J736" s="32">
        <f>705600/72</f>
        <v>9800</v>
      </c>
      <c r="K736" s="28" t="s">
        <v>292</v>
      </c>
      <c r="L736" s="33"/>
      <c r="M736" s="33">
        <v>0.17</v>
      </c>
      <c r="N736" s="27"/>
      <c r="O736" s="31" t="s">
        <v>292</v>
      </c>
      <c r="P736" s="27">
        <f>(C736+(E736*F736*H736))-N736</f>
        <v>210</v>
      </c>
      <c r="Q736" s="31" t="s">
        <v>292</v>
      </c>
      <c r="R736" s="32">
        <f>P736*(J736-(J736*L736)-((J736-(J736*L736))*M736))</f>
        <v>1708140</v>
      </c>
      <c r="S736" s="32">
        <f t="shared" si="187"/>
        <v>1538864.8648648646</v>
      </c>
    </row>
    <row r="737" spans="1:19" s="26" customFormat="1">
      <c r="A737" s="25" t="s">
        <v>693</v>
      </c>
      <c r="B737" s="26" t="s">
        <v>26</v>
      </c>
      <c r="C737" s="27">
        <v>36</v>
      </c>
      <c r="D737" s="28" t="s">
        <v>292</v>
      </c>
      <c r="E737" s="29"/>
      <c r="F737" s="30">
        <v>1</v>
      </c>
      <c r="G737" s="31" t="s">
        <v>21</v>
      </c>
      <c r="H737" s="30">
        <v>72</v>
      </c>
      <c r="I737" s="31" t="s">
        <v>292</v>
      </c>
      <c r="J737" s="32">
        <f>705600/72</f>
        <v>9800</v>
      </c>
      <c r="K737" s="28" t="s">
        <v>292</v>
      </c>
      <c r="L737" s="33"/>
      <c r="M737" s="33">
        <v>0.17</v>
      </c>
      <c r="N737" s="27"/>
      <c r="O737" s="31" t="s">
        <v>292</v>
      </c>
      <c r="P737" s="27">
        <f>(C737+(E737*F737*H737))-N737</f>
        <v>36</v>
      </c>
      <c r="Q737" s="31" t="s">
        <v>292</v>
      </c>
      <c r="R737" s="32">
        <f>P737*(J737-(J737*L737)-((J737-(J737*L737))*M737))</f>
        <v>292824</v>
      </c>
      <c r="S737" s="32">
        <f t="shared" si="187"/>
        <v>263805.40540540538</v>
      </c>
    </row>
    <row r="738" spans="1:19">
      <c r="A738" s="15" t="s">
        <v>694</v>
      </c>
      <c r="S738" s="23">
        <f t="shared" si="187"/>
        <v>0</v>
      </c>
    </row>
    <row r="739" spans="1:19">
      <c r="A739" s="34" t="s">
        <v>695</v>
      </c>
      <c r="B739" s="2" t="s">
        <v>26</v>
      </c>
      <c r="C739" s="3">
        <v>108</v>
      </c>
      <c r="D739" s="4" t="s">
        <v>292</v>
      </c>
      <c r="F739" s="6">
        <v>1</v>
      </c>
      <c r="G739" s="7" t="s">
        <v>21</v>
      </c>
      <c r="H739" s="6">
        <v>120</v>
      </c>
      <c r="I739" s="7" t="s">
        <v>292</v>
      </c>
      <c r="J739" s="8">
        <f>762000/120</f>
        <v>6350</v>
      </c>
      <c r="K739" s="4" t="s">
        <v>292</v>
      </c>
      <c r="M739" s="9">
        <v>0.17</v>
      </c>
      <c r="O739" s="7" t="s">
        <v>292</v>
      </c>
      <c r="P739" s="3">
        <f>(C739+(E739*F739*H739))-N739</f>
        <v>108</v>
      </c>
      <c r="Q739" s="7" t="s">
        <v>292</v>
      </c>
      <c r="R739" s="8">
        <f>P739*(J739-(J739*L739)-((J739-(J739*L739))*M739))</f>
        <v>569214</v>
      </c>
      <c r="S739" s="32">
        <f t="shared" si="187"/>
        <v>512805.40540540538</v>
      </c>
    </row>
    <row r="740" spans="1:19" s="17" customFormat="1">
      <c r="A740" s="16" t="s">
        <v>696</v>
      </c>
      <c r="B740" s="17" t="s">
        <v>26</v>
      </c>
      <c r="C740" s="18"/>
      <c r="D740" s="19" t="s">
        <v>292</v>
      </c>
      <c r="E740" s="20"/>
      <c r="F740" s="21">
        <v>1</v>
      </c>
      <c r="G740" s="22" t="s">
        <v>21</v>
      </c>
      <c r="H740" s="21">
        <v>80</v>
      </c>
      <c r="I740" s="22" t="s">
        <v>292</v>
      </c>
      <c r="J740" s="23">
        <f>732000/80</f>
        <v>9150</v>
      </c>
      <c r="K740" s="19" t="s">
        <v>292</v>
      </c>
      <c r="L740" s="24"/>
      <c r="M740" s="24">
        <v>0.17</v>
      </c>
      <c r="N740" s="18"/>
      <c r="O740" s="22" t="s">
        <v>292</v>
      </c>
      <c r="P740" s="18">
        <f>(C740+(E740*F740*H740))-N740</f>
        <v>0</v>
      </c>
      <c r="Q740" s="22" t="s">
        <v>292</v>
      </c>
      <c r="R740" s="23">
        <f>P740*(J740-(J740*L740)-((J740-(J740*L740))*M740))</f>
        <v>0</v>
      </c>
      <c r="S740" s="23">
        <f t="shared" si="187"/>
        <v>0</v>
      </c>
    </row>
    <row r="741" spans="1:19" s="26" customFormat="1">
      <c r="A741" s="25" t="s">
        <v>697</v>
      </c>
      <c r="B741" s="26" t="s">
        <v>26</v>
      </c>
      <c r="C741" s="27">
        <v>234</v>
      </c>
      <c r="D741" s="28" t="s">
        <v>292</v>
      </c>
      <c r="E741" s="29">
        <v>2</v>
      </c>
      <c r="F741" s="30">
        <v>1</v>
      </c>
      <c r="G741" s="31" t="s">
        <v>21</v>
      </c>
      <c r="H741" s="30">
        <v>60</v>
      </c>
      <c r="I741" s="31" t="s">
        <v>292</v>
      </c>
      <c r="J741" s="32">
        <f>732000/60</f>
        <v>12200</v>
      </c>
      <c r="K741" s="28" t="s">
        <v>292</v>
      </c>
      <c r="L741" s="33"/>
      <c r="M741" s="33">
        <v>0.17</v>
      </c>
      <c r="N741" s="27">
        <v>120</v>
      </c>
      <c r="O741" s="31" t="s">
        <v>292</v>
      </c>
      <c r="P741" s="27">
        <f>(C741+(E741*F741*H741))-N741</f>
        <v>234</v>
      </c>
      <c r="Q741" s="31" t="s">
        <v>292</v>
      </c>
      <c r="R741" s="32">
        <f>P741*(J741-(J741*L741)-((J741-(J741*L741))*M741))</f>
        <v>2369484</v>
      </c>
      <c r="S741" s="32">
        <f t="shared" si="187"/>
        <v>2134670.2702702703</v>
      </c>
    </row>
    <row r="742" spans="1:19" s="17" customFormat="1">
      <c r="A742" s="16" t="s">
        <v>725</v>
      </c>
      <c r="B742" s="17" t="s">
        <v>26</v>
      </c>
      <c r="C742" s="18"/>
      <c r="D742" s="19" t="s">
        <v>292</v>
      </c>
      <c r="E742" s="20">
        <v>1</v>
      </c>
      <c r="F742" s="21">
        <v>1</v>
      </c>
      <c r="G742" s="22" t="s">
        <v>21</v>
      </c>
      <c r="H742" s="21">
        <v>80</v>
      </c>
      <c r="I742" s="22" t="s">
        <v>292</v>
      </c>
      <c r="J742" s="23">
        <f>848000/80</f>
        <v>10600</v>
      </c>
      <c r="K742" s="19" t="s">
        <v>292</v>
      </c>
      <c r="L742" s="24"/>
      <c r="M742" s="24">
        <v>0.17</v>
      </c>
      <c r="N742" s="18">
        <v>80</v>
      </c>
      <c r="O742" s="22" t="s">
        <v>292</v>
      </c>
      <c r="P742" s="18">
        <f>(C742+(E742*F742*H742))-N742</f>
        <v>0</v>
      </c>
      <c r="Q742" s="22" t="s">
        <v>292</v>
      </c>
      <c r="R742" s="23">
        <f>P742*(J742-(J742*L742)-((J742-(J742*L742))*M742))</f>
        <v>0</v>
      </c>
      <c r="S742" s="23">
        <f t="shared" ref="S742" si="198">R742/1.11</f>
        <v>0</v>
      </c>
    </row>
    <row r="743" spans="1:19" s="17" customFormat="1">
      <c r="A743" s="16" t="s">
        <v>698</v>
      </c>
      <c r="B743" s="17" t="s">
        <v>26</v>
      </c>
      <c r="C743" s="18"/>
      <c r="D743" s="19" t="s">
        <v>292</v>
      </c>
      <c r="E743" s="20">
        <v>1</v>
      </c>
      <c r="F743" s="21">
        <v>1</v>
      </c>
      <c r="G743" s="22" t="s">
        <v>21</v>
      </c>
      <c r="H743" s="21">
        <v>60</v>
      </c>
      <c r="I743" s="22" t="s">
        <v>292</v>
      </c>
      <c r="J743" s="23">
        <f>852000/60</f>
        <v>14200</v>
      </c>
      <c r="K743" s="19" t="s">
        <v>292</v>
      </c>
      <c r="L743" s="24"/>
      <c r="M743" s="24">
        <v>0.17</v>
      </c>
      <c r="N743" s="18">
        <v>60</v>
      </c>
      <c r="O743" s="22" t="s">
        <v>292</v>
      </c>
      <c r="P743" s="18">
        <f>(C743+(E743*F743*H743))-N743</f>
        <v>0</v>
      </c>
      <c r="Q743" s="22" t="s">
        <v>292</v>
      </c>
      <c r="R743" s="23">
        <f>P743*(J743-(J743*L743)-((J743-(J743*L743))*M743))</f>
        <v>0</v>
      </c>
      <c r="S743" s="23">
        <f t="shared" si="187"/>
        <v>0</v>
      </c>
    </row>
    <row r="744" spans="1:19">
      <c r="S744" s="23"/>
    </row>
    <row r="745" spans="1:19" ht="15.75">
      <c r="A745" s="14" t="s">
        <v>699</v>
      </c>
      <c r="S745" s="23"/>
    </row>
    <row r="746" spans="1:19" s="63" customFormat="1">
      <c r="A746" s="72" t="s">
        <v>719</v>
      </c>
      <c r="B746" s="63" t="s">
        <v>19</v>
      </c>
      <c r="C746" s="64">
        <v>24</v>
      </c>
      <c r="D746" s="65" t="s">
        <v>20</v>
      </c>
      <c r="E746" s="66"/>
      <c r="F746" s="67">
        <v>12</v>
      </c>
      <c r="G746" s="68" t="s">
        <v>34</v>
      </c>
      <c r="H746" s="67">
        <v>20</v>
      </c>
      <c r="I746" s="68" t="s">
        <v>20</v>
      </c>
      <c r="J746" s="69">
        <v>5050</v>
      </c>
      <c r="K746" s="65" t="s">
        <v>20</v>
      </c>
      <c r="L746" s="70">
        <v>0.125</v>
      </c>
      <c r="M746" s="70">
        <v>0.05</v>
      </c>
      <c r="N746" s="64">
        <v>24</v>
      </c>
      <c r="O746" s="68" t="s">
        <v>20</v>
      </c>
      <c r="P746" s="64">
        <f t="shared" ref="P746" si="199">(C746+(E746*F746*H746))-N746</f>
        <v>0</v>
      </c>
      <c r="Q746" s="68" t="s">
        <v>20</v>
      </c>
      <c r="R746" s="69">
        <f t="shared" ref="R746" si="200">P746*(J746-(J746*L746)-((J746-(J746*L746))*M746))</f>
        <v>0</v>
      </c>
      <c r="S746" s="69">
        <f t="shared" ref="S746" si="201">R746/1.11</f>
        <v>0</v>
      </c>
    </row>
    <row r="747" spans="1:19" s="17" customFormat="1">
      <c r="A747" s="16" t="s">
        <v>700</v>
      </c>
      <c r="B747" s="17" t="s">
        <v>19</v>
      </c>
      <c r="C747" s="18"/>
      <c r="D747" s="19" t="s">
        <v>20</v>
      </c>
      <c r="E747" s="20"/>
      <c r="F747" s="21">
        <v>1</v>
      </c>
      <c r="G747" s="22" t="s">
        <v>21</v>
      </c>
      <c r="H747" s="21">
        <v>24</v>
      </c>
      <c r="I747" s="22" t="s">
        <v>20</v>
      </c>
      <c r="J747" s="23">
        <v>17200</v>
      </c>
      <c r="K747" s="19" t="s">
        <v>20</v>
      </c>
      <c r="L747" s="24">
        <v>0.125</v>
      </c>
      <c r="M747" s="24">
        <v>0.05</v>
      </c>
      <c r="N747" s="18"/>
      <c r="O747" s="22" t="s">
        <v>20</v>
      </c>
      <c r="P747" s="18">
        <f t="shared" ref="P747:P761" si="202">(C747+(E747*F747*H747))-N747</f>
        <v>0</v>
      </c>
      <c r="Q747" s="22" t="s">
        <v>20</v>
      </c>
      <c r="R747" s="23">
        <f t="shared" ref="R747:R763" si="203">P747*(J747-(J747*L747)-((J747-(J747*L747))*M747))</f>
        <v>0</v>
      </c>
      <c r="S747" s="23">
        <f t="shared" si="187"/>
        <v>0</v>
      </c>
    </row>
    <row r="748" spans="1:19" s="26" customFormat="1">
      <c r="A748" s="25" t="s">
        <v>701</v>
      </c>
      <c r="B748" s="26" t="s">
        <v>19</v>
      </c>
      <c r="C748" s="27"/>
      <c r="D748" s="28" t="s">
        <v>20</v>
      </c>
      <c r="E748" s="29">
        <v>1</v>
      </c>
      <c r="F748" s="30">
        <v>1</v>
      </c>
      <c r="G748" s="31" t="s">
        <v>21</v>
      </c>
      <c r="H748" s="30">
        <v>24</v>
      </c>
      <c r="I748" s="31" t="s">
        <v>20</v>
      </c>
      <c r="J748" s="32">
        <v>21100</v>
      </c>
      <c r="K748" s="28" t="s">
        <v>20</v>
      </c>
      <c r="L748" s="33">
        <v>0.125</v>
      </c>
      <c r="M748" s="33">
        <v>0.05</v>
      </c>
      <c r="N748" s="27"/>
      <c r="O748" s="31" t="s">
        <v>20</v>
      </c>
      <c r="P748" s="27">
        <f t="shared" si="202"/>
        <v>24</v>
      </c>
      <c r="Q748" s="31" t="s">
        <v>20</v>
      </c>
      <c r="R748" s="32">
        <f t="shared" si="203"/>
        <v>420945</v>
      </c>
      <c r="S748" s="32">
        <f t="shared" si="187"/>
        <v>379229.7297297297</v>
      </c>
    </row>
    <row r="749" spans="1:19" s="26" customFormat="1">
      <c r="A749" s="25" t="s">
        <v>702</v>
      </c>
      <c r="B749" s="26" t="s">
        <v>19</v>
      </c>
      <c r="C749" s="27"/>
      <c r="D749" s="28" t="s">
        <v>20</v>
      </c>
      <c r="E749" s="29">
        <v>1</v>
      </c>
      <c r="F749" s="30">
        <v>1</v>
      </c>
      <c r="G749" s="31" t="s">
        <v>21</v>
      </c>
      <c r="H749" s="30">
        <v>24</v>
      </c>
      <c r="I749" s="31" t="s">
        <v>20</v>
      </c>
      <c r="J749" s="32">
        <v>23100</v>
      </c>
      <c r="K749" s="28" t="s">
        <v>20</v>
      </c>
      <c r="L749" s="33">
        <v>0.125</v>
      </c>
      <c r="M749" s="33">
        <v>0.05</v>
      </c>
      <c r="N749" s="27"/>
      <c r="O749" s="31" t="s">
        <v>20</v>
      </c>
      <c r="P749" s="27">
        <f t="shared" si="202"/>
        <v>24</v>
      </c>
      <c r="Q749" s="31" t="s">
        <v>20</v>
      </c>
      <c r="R749" s="32">
        <f t="shared" si="203"/>
        <v>460845</v>
      </c>
      <c r="S749" s="32">
        <f t="shared" si="187"/>
        <v>415175.67567567562</v>
      </c>
    </row>
    <row r="750" spans="1:19" s="63" customFormat="1">
      <c r="A750" s="72" t="s">
        <v>703</v>
      </c>
      <c r="B750" s="63" t="s">
        <v>19</v>
      </c>
      <c r="C750" s="64"/>
      <c r="D750" s="65" t="s">
        <v>20</v>
      </c>
      <c r="E750" s="66">
        <f>3+4</f>
        <v>7</v>
      </c>
      <c r="F750" s="67">
        <v>1</v>
      </c>
      <c r="G750" s="68" t="s">
        <v>21</v>
      </c>
      <c r="H750" s="67">
        <v>24</v>
      </c>
      <c r="I750" s="68" t="s">
        <v>20</v>
      </c>
      <c r="J750" s="69">
        <v>10450</v>
      </c>
      <c r="K750" s="65" t="s">
        <v>20</v>
      </c>
      <c r="L750" s="70">
        <v>0.125</v>
      </c>
      <c r="M750" s="70">
        <v>0.05</v>
      </c>
      <c r="N750" s="64">
        <f>72+96</f>
        <v>168</v>
      </c>
      <c r="O750" s="68" t="s">
        <v>20</v>
      </c>
      <c r="P750" s="64">
        <f t="shared" si="202"/>
        <v>0</v>
      </c>
      <c r="Q750" s="68" t="s">
        <v>20</v>
      </c>
      <c r="R750" s="69">
        <f t="shared" si="203"/>
        <v>0</v>
      </c>
      <c r="S750" s="69">
        <f t="shared" si="187"/>
        <v>0</v>
      </c>
    </row>
    <row r="751" spans="1:19" s="45" customFormat="1">
      <c r="A751" s="44" t="s">
        <v>704</v>
      </c>
      <c r="B751" s="45" t="s">
        <v>19</v>
      </c>
      <c r="C751" s="46">
        <v>48</v>
      </c>
      <c r="D751" s="47" t="s">
        <v>20</v>
      </c>
      <c r="E751" s="48">
        <f>3+4+1</f>
        <v>8</v>
      </c>
      <c r="F751" s="49">
        <v>1</v>
      </c>
      <c r="G751" s="50" t="s">
        <v>21</v>
      </c>
      <c r="H751" s="49">
        <v>24</v>
      </c>
      <c r="I751" s="50" t="s">
        <v>20</v>
      </c>
      <c r="J751" s="51">
        <v>18150</v>
      </c>
      <c r="K751" s="47" t="s">
        <v>20</v>
      </c>
      <c r="L751" s="52">
        <v>0.125</v>
      </c>
      <c r="M751" s="52">
        <v>0.05</v>
      </c>
      <c r="N751" s="46">
        <f>48+72+96</f>
        <v>216</v>
      </c>
      <c r="O751" s="50" t="s">
        <v>20</v>
      </c>
      <c r="P751" s="46">
        <f t="shared" si="202"/>
        <v>24</v>
      </c>
      <c r="Q751" s="50" t="s">
        <v>20</v>
      </c>
      <c r="R751" s="51">
        <f t="shared" si="203"/>
        <v>362092.5</v>
      </c>
      <c r="S751" s="32">
        <f t="shared" si="187"/>
        <v>326209.45945945941</v>
      </c>
    </row>
    <row r="752" spans="1:19" s="63" customFormat="1">
      <c r="A752" s="72" t="s">
        <v>705</v>
      </c>
      <c r="B752" s="63" t="s">
        <v>19</v>
      </c>
      <c r="C752" s="64"/>
      <c r="D752" s="65" t="s">
        <v>20</v>
      </c>
      <c r="E752" s="66"/>
      <c r="F752" s="67">
        <v>1</v>
      </c>
      <c r="G752" s="68" t="s">
        <v>21</v>
      </c>
      <c r="H752" s="67">
        <v>24</v>
      </c>
      <c r="I752" s="68" t="s">
        <v>20</v>
      </c>
      <c r="J752" s="69">
        <v>15000</v>
      </c>
      <c r="K752" s="65" t="s">
        <v>20</v>
      </c>
      <c r="L752" s="70">
        <v>0.125</v>
      </c>
      <c r="M752" s="70">
        <v>0.05</v>
      </c>
      <c r="N752" s="64"/>
      <c r="O752" s="68" t="s">
        <v>20</v>
      </c>
      <c r="P752" s="64">
        <f t="shared" si="202"/>
        <v>0</v>
      </c>
      <c r="Q752" s="68" t="s">
        <v>20</v>
      </c>
      <c r="R752" s="69">
        <f t="shared" si="203"/>
        <v>0</v>
      </c>
      <c r="S752" s="23">
        <f t="shared" si="187"/>
        <v>0</v>
      </c>
    </row>
    <row r="753" spans="1:19" s="45" customFormat="1">
      <c r="A753" s="44" t="s">
        <v>706</v>
      </c>
      <c r="B753" s="45" t="s">
        <v>19</v>
      </c>
      <c r="C753" s="46">
        <v>73</v>
      </c>
      <c r="D753" s="47" t="s">
        <v>20</v>
      </c>
      <c r="E753" s="48"/>
      <c r="F753" s="49">
        <v>1</v>
      </c>
      <c r="G753" s="50" t="s">
        <v>21</v>
      </c>
      <c r="H753" s="49">
        <v>96</v>
      </c>
      <c r="I753" s="50" t="s">
        <v>20</v>
      </c>
      <c r="J753" s="51">
        <v>14000</v>
      </c>
      <c r="K753" s="47" t="s">
        <v>20</v>
      </c>
      <c r="L753" s="52">
        <v>0.125</v>
      </c>
      <c r="M753" s="52">
        <v>0.05</v>
      </c>
      <c r="N753" s="46"/>
      <c r="O753" s="50" t="s">
        <v>20</v>
      </c>
      <c r="P753" s="46">
        <f t="shared" si="202"/>
        <v>73</v>
      </c>
      <c r="Q753" s="50" t="s">
        <v>20</v>
      </c>
      <c r="R753" s="51">
        <f t="shared" si="203"/>
        <v>849537.5</v>
      </c>
      <c r="S753" s="32">
        <f t="shared" si="187"/>
        <v>765349.09909909905</v>
      </c>
    </row>
    <row r="754" spans="1:19" s="17" customFormat="1">
      <c r="A754" s="16" t="s">
        <v>707</v>
      </c>
      <c r="B754" s="17" t="s">
        <v>19</v>
      </c>
      <c r="C754" s="18"/>
      <c r="D754" s="19" t="s">
        <v>20</v>
      </c>
      <c r="E754" s="20">
        <v>1</v>
      </c>
      <c r="F754" s="21">
        <v>1</v>
      </c>
      <c r="G754" s="22" t="s">
        <v>21</v>
      </c>
      <c r="H754" s="21">
        <v>24</v>
      </c>
      <c r="I754" s="22" t="s">
        <v>20</v>
      </c>
      <c r="J754" s="23">
        <v>41000</v>
      </c>
      <c r="K754" s="19" t="s">
        <v>20</v>
      </c>
      <c r="L754" s="24">
        <v>0.125</v>
      </c>
      <c r="M754" s="24">
        <v>0.05</v>
      </c>
      <c r="N754" s="18">
        <v>24</v>
      </c>
      <c r="O754" s="22" t="s">
        <v>20</v>
      </c>
      <c r="P754" s="18">
        <f t="shared" si="202"/>
        <v>0</v>
      </c>
      <c r="Q754" s="22" t="s">
        <v>20</v>
      </c>
      <c r="R754" s="23">
        <f t="shared" si="203"/>
        <v>0</v>
      </c>
      <c r="S754" s="23">
        <f t="shared" si="187"/>
        <v>0</v>
      </c>
    </row>
    <row r="755" spans="1:19" s="26" customFormat="1">
      <c r="A755" s="25" t="s">
        <v>708</v>
      </c>
      <c r="B755" s="26" t="s">
        <v>19</v>
      </c>
      <c r="C755" s="27">
        <v>346</v>
      </c>
      <c r="D755" s="28" t="s">
        <v>20</v>
      </c>
      <c r="E755" s="29"/>
      <c r="F755" s="30">
        <v>1</v>
      </c>
      <c r="G755" s="31" t="s">
        <v>21</v>
      </c>
      <c r="H755" s="30">
        <v>100</v>
      </c>
      <c r="I755" s="31" t="s">
        <v>20</v>
      </c>
      <c r="J755" s="32">
        <v>15500</v>
      </c>
      <c r="K755" s="28" t="s">
        <v>20</v>
      </c>
      <c r="L755" s="33">
        <v>0.125</v>
      </c>
      <c r="M755" s="33">
        <v>0.05</v>
      </c>
      <c r="N755" s="27"/>
      <c r="O755" s="31" t="s">
        <v>20</v>
      </c>
      <c r="P755" s="27">
        <f t="shared" si="202"/>
        <v>346</v>
      </c>
      <c r="Q755" s="31" t="s">
        <v>20</v>
      </c>
      <c r="R755" s="32">
        <f t="shared" si="203"/>
        <v>4457993.75</v>
      </c>
      <c r="S755" s="32">
        <f t="shared" si="187"/>
        <v>4016210.5855855853</v>
      </c>
    </row>
    <row r="756" spans="1:19" s="17" customFormat="1">
      <c r="A756" s="111" t="s">
        <v>710</v>
      </c>
      <c r="B756" s="17" t="s">
        <v>26</v>
      </c>
      <c r="C756" s="18">
        <f>24+24</f>
        <v>48</v>
      </c>
      <c r="D756" s="19" t="s">
        <v>20</v>
      </c>
      <c r="E756" s="20"/>
      <c r="F756" s="21">
        <v>1</v>
      </c>
      <c r="G756" s="22" t="s">
        <v>21</v>
      </c>
      <c r="H756" s="21">
        <v>24</v>
      </c>
      <c r="I756" s="22" t="s">
        <v>20</v>
      </c>
      <c r="J756" s="23">
        <f>420000/24</f>
        <v>17500</v>
      </c>
      <c r="K756" s="19" t="s">
        <v>20</v>
      </c>
      <c r="L756" s="24"/>
      <c r="M756" s="24">
        <v>0.17</v>
      </c>
      <c r="N756" s="18">
        <f>24+24</f>
        <v>48</v>
      </c>
      <c r="O756" s="22" t="s">
        <v>20</v>
      </c>
      <c r="P756" s="18">
        <f t="shared" si="202"/>
        <v>0</v>
      </c>
      <c r="Q756" s="22" t="s">
        <v>20</v>
      </c>
      <c r="R756" s="23">
        <f t="shared" si="203"/>
        <v>0</v>
      </c>
      <c r="S756" s="23">
        <f t="shared" si="187"/>
        <v>0</v>
      </c>
    </row>
    <row r="757" spans="1:19" s="63" customFormat="1">
      <c r="A757" s="111" t="s">
        <v>711</v>
      </c>
      <c r="B757" s="63" t="s">
        <v>26</v>
      </c>
      <c r="C757" s="64"/>
      <c r="D757" s="65" t="s">
        <v>20</v>
      </c>
      <c r="E757" s="66"/>
      <c r="F757" s="67">
        <v>1</v>
      </c>
      <c r="G757" s="68" t="s">
        <v>21</v>
      </c>
      <c r="H757" s="67">
        <v>24</v>
      </c>
      <c r="I757" s="68" t="s">
        <v>20</v>
      </c>
      <c r="J757" s="69">
        <f>450000/24</f>
        <v>18750</v>
      </c>
      <c r="K757" s="65" t="s">
        <v>20</v>
      </c>
      <c r="L757" s="70"/>
      <c r="M757" s="70">
        <v>0.17</v>
      </c>
      <c r="N757" s="64"/>
      <c r="O757" s="68" t="s">
        <v>20</v>
      </c>
      <c r="P757" s="64">
        <f t="shared" si="202"/>
        <v>0</v>
      </c>
      <c r="Q757" s="68" t="s">
        <v>20</v>
      </c>
      <c r="R757" s="69">
        <f t="shared" si="203"/>
        <v>0</v>
      </c>
      <c r="S757" s="23">
        <f t="shared" si="187"/>
        <v>0</v>
      </c>
    </row>
    <row r="758" spans="1:19" s="17" customFormat="1">
      <c r="A758" s="111" t="s">
        <v>712</v>
      </c>
      <c r="B758" s="17" t="s">
        <v>26</v>
      </c>
      <c r="C758" s="18"/>
      <c r="D758" s="19" t="s">
        <v>20</v>
      </c>
      <c r="E758" s="20"/>
      <c r="F758" s="21">
        <v>1</v>
      </c>
      <c r="G758" s="22" t="s">
        <v>21</v>
      </c>
      <c r="H758" s="21">
        <v>24</v>
      </c>
      <c r="I758" s="22" t="s">
        <v>20</v>
      </c>
      <c r="J758" s="23">
        <v>17250</v>
      </c>
      <c r="K758" s="19" t="s">
        <v>20</v>
      </c>
      <c r="L758" s="24"/>
      <c r="M758" s="24">
        <v>0.17</v>
      </c>
      <c r="N758" s="18"/>
      <c r="O758" s="22" t="s">
        <v>20</v>
      </c>
      <c r="P758" s="18">
        <f t="shared" si="202"/>
        <v>0</v>
      </c>
      <c r="Q758" s="22" t="s">
        <v>20</v>
      </c>
      <c r="R758" s="23">
        <f t="shared" si="203"/>
        <v>0</v>
      </c>
      <c r="S758" s="23">
        <f t="shared" si="187"/>
        <v>0</v>
      </c>
    </row>
    <row r="759" spans="1:19" s="17" customFormat="1">
      <c r="A759" s="111" t="s">
        <v>713</v>
      </c>
      <c r="B759" s="17" t="s">
        <v>26</v>
      </c>
      <c r="C759" s="18"/>
      <c r="D759" s="19" t="s">
        <v>20</v>
      </c>
      <c r="E759" s="20"/>
      <c r="F759" s="21">
        <v>1</v>
      </c>
      <c r="G759" s="22" t="s">
        <v>21</v>
      </c>
      <c r="H759" s="21">
        <v>12</v>
      </c>
      <c r="I759" s="22" t="s">
        <v>20</v>
      </c>
      <c r="J759" s="23">
        <f>336000/12</f>
        <v>28000</v>
      </c>
      <c r="K759" s="19" t="s">
        <v>20</v>
      </c>
      <c r="L759" s="24"/>
      <c r="M759" s="24">
        <v>0.17</v>
      </c>
      <c r="N759" s="18"/>
      <c r="O759" s="22" t="s">
        <v>20</v>
      </c>
      <c r="P759" s="18">
        <f t="shared" si="202"/>
        <v>0</v>
      </c>
      <c r="Q759" s="22" t="s">
        <v>20</v>
      </c>
      <c r="R759" s="23">
        <f t="shared" si="203"/>
        <v>0</v>
      </c>
      <c r="S759" s="23">
        <f t="shared" si="187"/>
        <v>0</v>
      </c>
    </row>
    <row r="760" spans="1:19" s="17" customFormat="1">
      <c r="A760" s="111" t="s">
        <v>714</v>
      </c>
      <c r="B760" s="17" t="s">
        <v>26</v>
      </c>
      <c r="C760" s="18"/>
      <c r="D760" s="19" t="s">
        <v>20</v>
      </c>
      <c r="E760" s="20"/>
      <c r="F760" s="21">
        <v>1</v>
      </c>
      <c r="G760" s="22" t="s">
        <v>21</v>
      </c>
      <c r="H760" s="21">
        <v>12</v>
      </c>
      <c r="I760" s="22" t="s">
        <v>20</v>
      </c>
      <c r="J760" s="23">
        <f>294000/12</f>
        <v>24500</v>
      </c>
      <c r="K760" s="19" t="s">
        <v>20</v>
      </c>
      <c r="L760" s="24"/>
      <c r="M760" s="24">
        <v>0.17</v>
      </c>
      <c r="N760" s="18"/>
      <c r="O760" s="22" t="s">
        <v>20</v>
      </c>
      <c r="P760" s="18">
        <f t="shared" si="202"/>
        <v>0</v>
      </c>
      <c r="Q760" s="22" t="s">
        <v>20</v>
      </c>
      <c r="R760" s="23">
        <f t="shared" si="203"/>
        <v>0</v>
      </c>
      <c r="S760" s="23">
        <f t="shared" si="187"/>
        <v>0</v>
      </c>
    </row>
    <row r="761" spans="1:19" s="17" customFormat="1">
      <c r="A761" s="111" t="s">
        <v>730</v>
      </c>
      <c r="B761" s="17" t="s">
        <v>26</v>
      </c>
      <c r="C761" s="18"/>
      <c r="D761" s="19" t="s">
        <v>20</v>
      </c>
      <c r="E761" s="20">
        <v>1</v>
      </c>
      <c r="F761" s="21">
        <v>8</v>
      </c>
      <c r="G761" s="22" t="s">
        <v>43</v>
      </c>
      <c r="H761" s="21">
        <v>12</v>
      </c>
      <c r="I761" s="22" t="s">
        <v>20</v>
      </c>
      <c r="J761" s="23">
        <f>2112000/8/12</f>
        <v>22000</v>
      </c>
      <c r="K761" s="19" t="s">
        <v>20</v>
      </c>
      <c r="L761" s="24"/>
      <c r="M761" s="24">
        <v>0.17</v>
      </c>
      <c r="N761" s="18">
        <v>96</v>
      </c>
      <c r="O761" s="22" t="s">
        <v>20</v>
      </c>
      <c r="P761" s="18">
        <f t="shared" si="202"/>
        <v>0</v>
      </c>
      <c r="Q761" s="22" t="s">
        <v>20</v>
      </c>
      <c r="R761" s="23">
        <f t="shared" si="203"/>
        <v>0</v>
      </c>
      <c r="S761" s="23">
        <f t="shared" si="187"/>
        <v>0</v>
      </c>
    </row>
    <row r="762" spans="1:19" s="63" customFormat="1">
      <c r="A762" s="111" t="s">
        <v>715</v>
      </c>
      <c r="B762" s="63" t="s">
        <v>192</v>
      </c>
      <c r="C762" s="64">
        <v>11</v>
      </c>
      <c r="D762" s="65" t="s">
        <v>43</v>
      </c>
      <c r="E762" s="66"/>
      <c r="F762" s="67">
        <v>48</v>
      </c>
      <c r="G762" s="68" t="s">
        <v>34</v>
      </c>
      <c r="H762" s="67">
        <v>1</v>
      </c>
      <c r="I762" s="68" t="s">
        <v>43</v>
      </c>
      <c r="J762" s="69">
        <v>91000</v>
      </c>
      <c r="K762" s="65" t="s">
        <v>43</v>
      </c>
      <c r="L762" s="70"/>
      <c r="M762" s="70"/>
      <c r="N762" s="64">
        <f>3+2+1+3+2</f>
        <v>11</v>
      </c>
      <c r="O762" s="68" t="s">
        <v>43</v>
      </c>
      <c r="P762" s="64">
        <f>(C762+(E762*F762*H762))-N762</f>
        <v>0</v>
      </c>
      <c r="Q762" s="68" t="s">
        <v>43</v>
      </c>
      <c r="R762" s="69">
        <f t="shared" si="203"/>
        <v>0</v>
      </c>
      <c r="S762" s="23">
        <f t="shared" ref="S762:S763" si="204">R762/1.11</f>
        <v>0</v>
      </c>
    </row>
    <row r="763" spans="1:19" s="26" customFormat="1">
      <c r="A763" s="107" t="s">
        <v>716</v>
      </c>
      <c r="B763" s="26" t="s">
        <v>659</v>
      </c>
      <c r="C763" s="27">
        <v>120</v>
      </c>
      <c r="D763" s="28" t="s">
        <v>20</v>
      </c>
      <c r="E763" s="29"/>
      <c r="F763" s="30">
        <v>1</v>
      </c>
      <c r="G763" s="31" t="s">
        <v>21</v>
      </c>
      <c r="H763" s="30">
        <v>24</v>
      </c>
      <c r="I763" s="31" t="s">
        <v>20</v>
      </c>
      <c r="J763" s="32">
        <v>18200</v>
      </c>
      <c r="K763" s="28" t="s">
        <v>20</v>
      </c>
      <c r="L763" s="33">
        <v>0.15</v>
      </c>
      <c r="M763" s="33">
        <v>0.03</v>
      </c>
      <c r="N763" s="27">
        <f>12+24+24</f>
        <v>60</v>
      </c>
      <c r="O763" s="31" t="s">
        <v>20</v>
      </c>
      <c r="P763" s="27">
        <f>(C763+(E763*F763*H763))-N763</f>
        <v>60</v>
      </c>
      <c r="Q763" s="31" t="s">
        <v>20</v>
      </c>
      <c r="R763" s="32">
        <f t="shared" si="203"/>
        <v>900354</v>
      </c>
      <c r="S763" s="32">
        <f t="shared" si="204"/>
        <v>811129.7297297297</v>
      </c>
    </row>
    <row r="764" spans="1:19">
      <c r="S764" s="23"/>
    </row>
    <row r="765" spans="1:19" ht="15.75">
      <c r="A765" s="14" t="s">
        <v>722</v>
      </c>
      <c r="S765" s="23"/>
    </row>
    <row r="766" spans="1:19" s="63" customFormat="1">
      <c r="A766" s="72" t="s">
        <v>723</v>
      </c>
      <c r="B766" s="63" t="s">
        <v>19</v>
      </c>
      <c r="C766" s="64"/>
      <c r="D766" s="65" t="s">
        <v>20</v>
      </c>
      <c r="E766" s="66">
        <v>1</v>
      </c>
      <c r="F766" s="67">
        <v>1</v>
      </c>
      <c r="G766" s="68" t="s">
        <v>21</v>
      </c>
      <c r="H766" s="67">
        <v>100</v>
      </c>
      <c r="I766" s="68" t="s">
        <v>20</v>
      </c>
      <c r="J766" s="69">
        <v>8400</v>
      </c>
      <c r="K766" s="65" t="s">
        <v>20</v>
      </c>
      <c r="L766" s="70">
        <v>0.125</v>
      </c>
      <c r="M766" s="70">
        <v>0.05</v>
      </c>
      <c r="N766" s="64">
        <v>100</v>
      </c>
      <c r="O766" s="68" t="s">
        <v>20</v>
      </c>
      <c r="P766" s="64">
        <f t="shared" ref="P766" si="205">(C766+(E766*F766*H766))-N766</f>
        <v>0</v>
      </c>
      <c r="Q766" s="68" t="s">
        <v>20</v>
      </c>
      <c r="R766" s="69">
        <f t="shared" ref="R766" si="206">P766*(J766-(J766*L766)-((J766-(J766*L766))*M766))</f>
        <v>0</v>
      </c>
      <c r="S766" s="69">
        <f t="shared" ref="S766" si="207">R766/1.11</f>
        <v>0</v>
      </c>
    </row>
    <row r="767" spans="1:19">
      <c r="A767" s="2"/>
      <c r="R767" s="23"/>
      <c r="S767" s="23"/>
    </row>
    <row r="769" spans="18:21" ht="16.5">
      <c r="R769" s="146">
        <f>SUM(R6:R767)</f>
        <v>1414500763.1937499</v>
      </c>
      <c r="S769" s="146">
        <f>SUM(S6:S767)</f>
        <v>1274325011.8862615</v>
      </c>
    </row>
    <row r="770" spans="18:21">
      <c r="R770" s="156">
        <f>S770+(S770*11%)</f>
        <v>136146217.43750033</v>
      </c>
      <c r="S770" s="147">
        <v>122654249.943694</v>
      </c>
      <c r="U770" s="8"/>
    </row>
    <row r="771" spans="18:21">
      <c r="R771" s="155">
        <f>S771+(S771*11%)</f>
        <v>4658986671.5666752</v>
      </c>
      <c r="S771" s="148">
        <v>4197285289.699707</v>
      </c>
    </row>
    <row r="772" spans="18:21" ht="15.75">
      <c r="R772" s="149">
        <f>SUM(R769:R771)</f>
        <v>6209633652.1979256</v>
      </c>
      <c r="S772" s="149">
        <f>S769+S770+S771</f>
        <v>5594264551.5296631</v>
      </c>
    </row>
    <row r="773" spans="18:21">
      <c r="R773" s="150"/>
      <c r="S773" s="150"/>
    </row>
    <row r="774" spans="18:21" ht="15.75">
      <c r="R774" s="151"/>
      <c r="S774" s="152">
        <v>5589849848.8269596</v>
      </c>
    </row>
    <row r="775" spans="18:21" ht="15.75">
      <c r="R775" s="153"/>
      <c r="S775" s="154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0"/>
  <sheetViews>
    <sheetView zoomScale="95" zoomScaleNormal="95" workbookViewId="0">
      <pane ySplit="3" topLeftCell="A172" activePane="bottomLeft" state="frozen"/>
      <selection pane="bottomLeft" activeCell="N194" sqref="N194"/>
    </sheetView>
  </sheetViews>
  <sheetFormatPr defaultRowHeight="12.75"/>
  <cols>
    <col min="1" max="1" width="53.42578125" style="34" bestFit="1" customWidth="1"/>
    <col min="2" max="2" width="31.7109375" style="2" customWidth="1"/>
    <col min="3" max="3" width="4.85546875" style="3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3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750</v>
      </c>
    </row>
    <row r="2" spans="1:19" s="10" customFormat="1">
      <c r="A2" s="328" t="s">
        <v>0</v>
      </c>
      <c r="B2" s="327" t="s">
        <v>1</v>
      </c>
      <c r="C2" s="322" t="s">
        <v>2</v>
      </c>
      <c r="D2" s="322"/>
      <c r="E2" s="329" t="s">
        <v>720</v>
      </c>
      <c r="F2" s="324" t="s">
        <v>4</v>
      </c>
      <c r="G2" s="324"/>
      <c r="H2" s="324"/>
      <c r="I2" s="324"/>
      <c r="J2" s="325" t="s">
        <v>5</v>
      </c>
      <c r="K2" s="326"/>
      <c r="L2" s="326"/>
      <c r="M2" s="327"/>
      <c r="N2" s="318" t="s">
        <v>6</v>
      </c>
      <c r="O2" s="319"/>
      <c r="P2" s="322" t="s">
        <v>7</v>
      </c>
      <c r="Q2" s="322"/>
      <c r="R2" s="323" t="s">
        <v>8</v>
      </c>
      <c r="S2" s="323" t="s">
        <v>9</v>
      </c>
    </row>
    <row r="3" spans="1:19" s="10" customFormat="1">
      <c r="A3" s="328"/>
      <c r="B3" s="327"/>
      <c r="C3" s="322"/>
      <c r="D3" s="322"/>
      <c r="E3" s="329"/>
      <c r="F3" s="324" t="s">
        <v>10</v>
      </c>
      <c r="G3" s="324"/>
      <c r="H3" s="324" t="s">
        <v>11</v>
      </c>
      <c r="I3" s="324"/>
      <c r="J3" s="11" t="s">
        <v>12</v>
      </c>
      <c r="K3" s="12" t="s">
        <v>13</v>
      </c>
      <c r="L3" s="13" t="s">
        <v>14</v>
      </c>
      <c r="M3" s="13" t="s">
        <v>15</v>
      </c>
      <c r="N3" s="320"/>
      <c r="O3" s="321"/>
      <c r="P3" s="322"/>
      <c r="Q3" s="322"/>
      <c r="R3" s="323"/>
      <c r="S3" s="323"/>
    </row>
    <row r="4" spans="1:19" ht="15.75">
      <c r="A4" s="14" t="s">
        <v>16</v>
      </c>
    </row>
    <row r="5" spans="1:19">
      <c r="A5" s="15" t="s">
        <v>17</v>
      </c>
    </row>
    <row r="6" spans="1:19" s="17" customFormat="1">
      <c r="A6" s="16" t="s">
        <v>18</v>
      </c>
      <c r="B6" s="17" t="s">
        <v>19</v>
      </c>
      <c r="C6" s="18"/>
      <c r="D6" s="19" t="s">
        <v>20</v>
      </c>
      <c r="E6" s="20"/>
      <c r="F6" s="21">
        <v>1</v>
      </c>
      <c r="G6" s="22" t="s">
        <v>21</v>
      </c>
      <c r="H6" s="21">
        <v>60</v>
      </c>
      <c r="I6" s="22" t="s">
        <v>20</v>
      </c>
      <c r="J6" s="23">
        <v>43500</v>
      </c>
      <c r="K6" s="19" t="s">
        <v>20</v>
      </c>
      <c r="L6" s="24">
        <v>0.125</v>
      </c>
      <c r="M6" s="24">
        <v>0.05</v>
      </c>
      <c r="N6" s="18"/>
      <c r="O6" s="22" t="s">
        <v>20</v>
      </c>
      <c r="P6" s="18">
        <f t="shared" ref="P6:P15" si="0">(C6+(E6*F6*H6))-N6</f>
        <v>0</v>
      </c>
      <c r="Q6" s="22" t="s">
        <v>20</v>
      </c>
      <c r="R6" s="23">
        <f t="shared" ref="R6:R15" si="1">P6*(J6-(J6*L6)-((J6-(J6*L6))*M6))</f>
        <v>0</v>
      </c>
      <c r="S6" s="23">
        <f>R6/1.11</f>
        <v>0</v>
      </c>
    </row>
    <row r="7" spans="1:19" s="17" customFormat="1">
      <c r="A7" s="16" t="s">
        <v>22</v>
      </c>
      <c r="B7" s="17" t="s">
        <v>19</v>
      </c>
      <c r="C7" s="18"/>
      <c r="D7" s="19" t="s">
        <v>20</v>
      </c>
      <c r="E7" s="20"/>
      <c r="F7" s="21">
        <v>1</v>
      </c>
      <c r="G7" s="22" t="s">
        <v>21</v>
      </c>
      <c r="H7" s="21">
        <v>48</v>
      </c>
      <c r="I7" s="22" t="s">
        <v>20</v>
      </c>
      <c r="J7" s="23">
        <v>28000</v>
      </c>
      <c r="K7" s="19" t="s">
        <v>20</v>
      </c>
      <c r="L7" s="24">
        <v>0.125</v>
      </c>
      <c r="M7" s="24">
        <v>0.05</v>
      </c>
      <c r="N7" s="18"/>
      <c r="O7" s="22" t="s">
        <v>20</v>
      </c>
      <c r="P7" s="18">
        <f t="shared" si="0"/>
        <v>0</v>
      </c>
      <c r="Q7" s="22" t="s">
        <v>20</v>
      </c>
      <c r="R7" s="23">
        <f t="shared" si="1"/>
        <v>0</v>
      </c>
      <c r="S7" s="23">
        <f t="shared" ref="S7:S78" si="2">R7/1.11</f>
        <v>0</v>
      </c>
    </row>
    <row r="8" spans="1:19" s="17" customFormat="1">
      <c r="A8" s="16" t="s">
        <v>23</v>
      </c>
      <c r="B8" s="17" t="s">
        <v>19</v>
      </c>
      <c r="C8" s="18"/>
      <c r="D8" s="19" t="s">
        <v>20</v>
      </c>
      <c r="E8" s="20"/>
      <c r="F8" s="21">
        <v>1</v>
      </c>
      <c r="G8" s="22" t="s">
        <v>21</v>
      </c>
      <c r="H8" s="21">
        <v>48</v>
      </c>
      <c r="I8" s="22" t="s">
        <v>20</v>
      </c>
      <c r="J8" s="23">
        <v>31700</v>
      </c>
      <c r="K8" s="19" t="s">
        <v>20</v>
      </c>
      <c r="L8" s="24">
        <v>0.125</v>
      </c>
      <c r="M8" s="24">
        <v>0.05</v>
      </c>
      <c r="N8" s="18"/>
      <c r="O8" s="22" t="s">
        <v>20</v>
      </c>
      <c r="P8" s="18">
        <f t="shared" si="0"/>
        <v>0</v>
      </c>
      <c r="Q8" s="22" t="s">
        <v>20</v>
      </c>
      <c r="R8" s="23">
        <f t="shared" si="1"/>
        <v>0</v>
      </c>
      <c r="S8" s="23">
        <f t="shared" si="2"/>
        <v>0</v>
      </c>
    </row>
    <row r="9" spans="1:19" s="17" customFormat="1">
      <c r="A9" s="16" t="s">
        <v>24</v>
      </c>
      <c r="B9" s="17" t="s">
        <v>19</v>
      </c>
      <c r="C9" s="18"/>
      <c r="D9" s="19" t="s">
        <v>20</v>
      </c>
      <c r="E9" s="20"/>
      <c r="F9" s="21">
        <v>1</v>
      </c>
      <c r="G9" s="22" t="s">
        <v>21</v>
      </c>
      <c r="H9" s="21">
        <v>48</v>
      </c>
      <c r="I9" s="22" t="s">
        <v>20</v>
      </c>
      <c r="J9" s="23">
        <v>25000</v>
      </c>
      <c r="K9" s="19" t="s">
        <v>20</v>
      </c>
      <c r="L9" s="24">
        <v>0.125</v>
      </c>
      <c r="M9" s="24">
        <v>0.05</v>
      </c>
      <c r="N9" s="18"/>
      <c r="O9" s="22" t="s">
        <v>20</v>
      </c>
      <c r="P9" s="18">
        <f t="shared" si="0"/>
        <v>0</v>
      </c>
      <c r="Q9" s="22" t="s">
        <v>20</v>
      </c>
      <c r="R9" s="23">
        <f t="shared" si="1"/>
        <v>0</v>
      </c>
      <c r="S9" s="23">
        <f t="shared" si="2"/>
        <v>0</v>
      </c>
    </row>
    <row r="10" spans="1:19" s="17" customFormat="1">
      <c r="A10" s="16" t="s">
        <v>25</v>
      </c>
      <c r="B10" s="17" t="s">
        <v>26</v>
      </c>
      <c r="C10" s="18"/>
      <c r="D10" s="19" t="s">
        <v>20</v>
      </c>
      <c r="E10" s="20"/>
      <c r="F10" s="21">
        <v>1</v>
      </c>
      <c r="G10" s="22" t="s">
        <v>21</v>
      </c>
      <c r="H10" s="21">
        <v>60</v>
      </c>
      <c r="I10" s="22" t="s">
        <v>20</v>
      </c>
      <c r="J10" s="23">
        <v>23800</v>
      </c>
      <c r="K10" s="19" t="s">
        <v>20</v>
      </c>
      <c r="L10" s="24"/>
      <c r="M10" s="24">
        <v>0.17</v>
      </c>
      <c r="N10" s="18"/>
      <c r="O10" s="22" t="s">
        <v>20</v>
      </c>
      <c r="P10" s="18">
        <f t="shared" si="0"/>
        <v>0</v>
      </c>
      <c r="Q10" s="22" t="s">
        <v>20</v>
      </c>
      <c r="R10" s="23">
        <f t="shared" si="1"/>
        <v>0</v>
      </c>
      <c r="S10" s="23">
        <f t="shared" si="2"/>
        <v>0</v>
      </c>
    </row>
    <row r="11" spans="1:19" s="26" customFormat="1">
      <c r="A11" s="25" t="s">
        <v>27</v>
      </c>
      <c r="B11" s="26" t="s">
        <v>26</v>
      </c>
      <c r="C11" s="27"/>
      <c r="D11" s="28" t="s">
        <v>20</v>
      </c>
      <c r="E11" s="29">
        <v>1</v>
      </c>
      <c r="F11" s="30">
        <v>1</v>
      </c>
      <c r="G11" s="31" t="s">
        <v>21</v>
      </c>
      <c r="H11" s="30">
        <v>60</v>
      </c>
      <c r="I11" s="31" t="s">
        <v>20</v>
      </c>
      <c r="J11" s="32">
        <f>1500000/60</f>
        <v>25000</v>
      </c>
      <c r="K11" s="28" t="s">
        <v>20</v>
      </c>
      <c r="L11" s="33"/>
      <c r="M11" s="33">
        <v>0.17</v>
      </c>
      <c r="N11" s="27"/>
      <c r="O11" s="31" t="s">
        <v>20</v>
      </c>
      <c r="P11" s="27">
        <f t="shared" si="0"/>
        <v>60</v>
      </c>
      <c r="Q11" s="31" t="s">
        <v>20</v>
      </c>
      <c r="R11" s="32">
        <f t="shared" si="1"/>
        <v>1245000</v>
      </c>
      <c r="S11" s="32">
        <f t="shared" si="2"/>
        <v>1121621.6216216215</v>
      </c>
    </row>
    <row r="12" spans="1:19" s="17" customFormat="1">
      <c r="A12" s="16" t="s">
        <v>28</v>
      </c>
      <c r="B12" s="17" t="s">
        <v>26</v>
      </c>
      <c r="C12" s="18">
        <v>6</v>
      </c>
      <c r="D12" s="19" t="s">
        <v>20</v>
      </c>
      <c r="E12" s="20"/>
      <c r="F12" s="21">
        <v>1</v>
      </c>
      <c r="G12" s="22" t="s">
        <v>21</v>
      </c>
      <c r="H12" s="21">
        <v>60</v>
      </c>
      <c r="I12" s="22" t="s">
        <v>20</v>
      </c>
      <c r="J12" s="23">
        <v>27500</v>
      </c>
      <c r="K12" s="19" t="s">
        <v>20</v>
      </c>
      <c r="L12" s="24"/>
      <c r="M12" s="24">
        <v>0.17</v>
      </c>
      <c r="N12" s="18">
        <v>6</v>
      </c>
      <c r="O12" s="22" t="s">
        <v>20</v>
      </c>
      <c r="P12" s="18">
        <f t="shared" si="0"/>
        <v>0</v>
      </c>
      <c r="Q12" s="22" t="s">
        <v>20</v>
      </c>
      <c r="R12" s="23">
        <f t="shared" si="1"/>
        <v>0</v>
      </c>
      <c r="S12" s="23">
        <f t="shared" si="2"/>
        <v>0</v>
      </c>
    </row>
    <row r="13" spans="1:19" s="17" customFormat="1">
      <c r="A13" s="16" t="s">
        <v>29</v>
      </c>
      <c r="B13" s="17" t="s">
        <v>26</v>
      </c>
      <c r="C13" s="18"/>
      <c r="D13" s="19" t="s">
        <v>20</v>
      </c>
      <c r="E13" s="20"/>
      <c r="F13" s="21">
        <v>1</v>
      </c>
      <c r="G13" s="22" t="s">
        <v>21</v>
      </c>
      <c r="H13" s="21">
        <v>36</v>
      </c>
      <c r="I13" s="22" t="s">
        <v>20</v>
      </c>
      <c r="J13" s="23">
        <v>50500</v>
      </c>
      <c r="K13" s="19" t="s">
        <v>20</v>
      </c>
      <c r="L13" s="24"/>
      <c r="M13" s="24">
        <v>0.17</v>
      </c>
      <c r="N13" s="18"/>
      <c r="O13" s="22" t="s">
        <v>20</v>
      </c>
      <c r="P13" s="18">
        <f t="shared" si="0"/>
        <v>0</v>
      </c>
      <c r="Q13" s="22" t="s">
        <v>20</v>
      </c>
      <c r="R13" s="23">
        <f t="shared" si="1"/>
        <v>0</v>
      </c>
      <c r="S13" s="23">
        <f t="shared" si="2"/>
        <v>0</v>
      </c>
    </row>
    <row r="14" spans="1:19" s="63" customFormat="1">
      <c r="A14" s="72" t="s">
        <v>30</v>
      </c>
      <c r="B14" s="63" t="s">
        <v>26</v>
      </c>
      <c r="C14" s="64"/>
      <c r="D14" s="65" t="s">
        <v>20</v>
      </c>
      <c r="E14" s="66"/>
      <c r="F14" s="67">
        <v>1</v>
      </c>
      <c r="G14" s="68" t="s">
        <v>21</v>
      </c>
      <c r="H14" s="67">
        <v>72</v>
      </c>
      <c r="I14" s="68" t="s">
        <v>20</v>
      </c>
      <c r="J14" s="69">
        <v>37000</v>
      </c>
      <c r="K14" s="65" t="s">
        <v>20</v>
      </c>
      <c r="L14" s="70"/>
      <c r="M14" s="70">
        <v>0.17</v>
      </c>
      <c r="N14" s="64"/>
      <c r="O14" s="68" t="s">
        <v>20</v>
      </c>
      <c r="P14" s="64">
        <f t="shared" si="0"/>
        <v>0</v>
      </c>
      <c r="Q14" s="68" t="s">
        <v>20</v>
      </c>
      <c r="R14" s="69">
        <f t="shared" si="1"/>
        <v>0</v>
      </c>
      <c r="S14" s="69">
        <f t="shared" si="2"/>
        <v>0</v>
      </c>
    </row>
    <row r="15" spans="1:19" s="17" customFormat="1">
      <c r="A15" s="16" t="s">
        <v>31</v>
      </c>
      <c r="B15" s="17" t="s">
        <v>26</v>
      </c>
      <c r="C15" s="18"/>
      <c r="D15" s="19" t="s">
        <v>20</v>
      </c>
      <c r="E15" s="20"/>
      <c r="F15" s="21">
        <v>1</v>
      </c>
      <c r="G15" s="22" t="s">
        <v>21</v>
      </c>
      <c r="H15" s="21">
        <v>72</v>
      </c>
      <c r="I15" s="22" t="s">
        <v>20</v>
      </c>
      <c r="J15" s="23">
        <v>30000</v>
      </c>
      <c r="K15" s="19" t="s">
        <v>20</v>
      </c>
      <c r="L15" s="24"/>
      <c r="M15" s="24">
        <v>0.17</v>
      </c>
      <c r="N15" s="18"/>
      <c r="O15" s="22" t="s">
        <v>20</v>
      </c>
      <c r="P15" s="18">
        <f t="shared" si="0"/>
        <v>0</v>
      </c>
      <c r="Q15" s="22" t="s">
        <v>20</v>
      </c>
      <c r="R15" s="23">
        <f t="shared" si="1"/>
        <v>0</v>
      </c>
      <c r="S15" s="23">
        <f t="shared" si="2"/>
        <v>0</v>
      </c>
    </row>
    <row r="16" spans="1:19">
      <c r="A16" s="15" t="s">
        <v>32</v>
      </c>
      <c r="S16" s="23"/>
    </row>
    <row r="17" spans="1:19" s="26" customFormat="1">
      <c r="A17" s="25" t="s">
        <v>33</v>
      </c>
      <c r="B17" s="26" t="s">
        <v>19</v>
      </c>
      <c r="C17" s="27">
        <v>60</v>
      </c>
      <c r="D17" s="28" t="s">
        <v>34</v>
      </c>
      <c r="E17" s="29"/>
      <c r="F17" s="30">
        <v>1</v>
      </c>
      <c r="G17" s="31" t="s">
        <v>21</v>
      </c>
      <c r="H17" s="30">
        <v>60</v>
      </c>
      <c r="I17" s="31" t="s">
        <v>34</v>
      </c>
      <c r="J17" s="32">
        <v>22200</v>
      </c>
      <c r="K17" s="28" t="s">
        <v>34</v>
      </c>
      <c r="L17" s="33">
        <v>0.125</v>
      </c>
      <c r="M17" s="33">
        <v>0.05</v>
      </c>
      <c r="N17" s="27"/>
      <c r="O17" s="31" t="s">
        <v>34</v>
      </c>
      <c r="P17" s="27">
        <f t="shared" ref="P17:P22" si="3">(C17+(E17*F17*H17))-N17</f>
        <v>60</v>
      </c>
      <c r="Q17" s="31" t="s">
        <v>34</v>
      </c>
      <c r="R17" s="32">
        <f t="shared" ref="R17:R22" si="4">P17*(J17-(J17*L17)-((J17-(J17*L17))*M17))</f>
        <v>1107225</v>
      </c>
      <c r="S17" s="32">
        <f t="shared" si="2"/>
        <v>997499.99999999988</v>
      </c>
    </row>
    <row r="18" spans="1:19" s="26" customFormat="1">
      <c r="A18" s="25" t="s">
        <v>35</v>
      </c>
      <c r="B18" s="26" t="s">
        <v>19</v>
      </c>
      <c r="C18" s="27">
        <v>60</v>
      </c>
      <c r="D18" s="28" t="s">
        <v>34</v>
      </c>
      <c r="E18" s="29"/>
      <c r="F18" s="30">
        <v>1</v>
      </c>
      <c r="G18" s="31" t="s">
        <v>21</v>
      </c>
      <c r="H18" s="30">
        <v>60</v>
      </c>
      <c r="I18" s="31" t="s">
        <v>34</v>
      </c>
      <c r="J18" s="32">
        <v>31500</v>
      </c>
      <c r="K18" s="28" t="s">
        <v>34</v>
      </c>
      <c r="L18" s="33">
        <v>0.125</v>
      </c>
      <c r="M18" s="33">
        <v>0.05</v>
      </c>
      <c r="N18" s="27"/>
      <c r="O18" s="31" t="s">
        <v>34</v>
      </c>
      <c r="P18" s="27">
        <f t="shared" si="3"/>
        <v>60</v>
      </c>
      <c r="Q18" s="31" t="s">
        <v>34</v>
      </c>
      <c r="R18" s="32">
        <f t="shared" si="4"/>
        <v>1571062.5</v>
      </c>
      <c r="S18" s="32">
        <f t="shared" si="2"/>
        <v>1415371.6216216215</v>
      </c>
    </row>
    <row r="19" spans="1:19" s="17" customFormat="1">
      <c r="A19" s="16" t="s">
        <v>36</v>
      </c>
      <c r="B19" s="17" t="s">
        <v>19</v>
      </c>
      <c r="C19" s="18"/>
      <c r="D19" s="19" t="s">
        <v>34</v>
      </c>
      <c r="E19" s="20"/>
      <c r="F19" s="21">
        <v>1</v>
      </c>
      <c r="G19" s="22" t="s">
        <v>21</v>
      </c>
      <c r="H19" s="21">
        <v>60</v>
      </c>
      <c r="I19" s="22" t="s">
        <v>34</v>
      </c>
      <c r="J19" s="23">
        <v>31200</v>
      </c>
      <c r="K19" s="19" t="s">
        <v>34</v>
      </c>
      <c r="L19" s="24">
        <v>0.125</v>
      </c>
      <c r="M19" s="24">
        <v>0.05</v>
      </c>
      <c r="N19" s="18"/>
      <c r="O19" s="22" t="s">
        <v>34</v>
      </c>
      <c r="P19" s="18">
        <f t="shared" si="3"/>
        <v>0</v>
      </c>
      <c r="Q19" s="22" t="s">
        <v>34</v>
      </c>
      <c r="R19" s="23">
        <f t="shared" si="4"/>
        <v>0</v>
      </c>
      <c r="S19" s="23">
        <f t="shared" si="2"/>
        <v>0</v>
      </c>
    </row>
    <row r="20" spans="1:19" s="17" customFormat="1">
      <c r="A20" s="16" t="s">
        <v>772</v>
      </c>
      <c r="B20" s="17" t="s">
        <v>19</v>
      </c>
      <c r="C20" s="18"/>
      <c r="D20" s="19" t="s">
        <v>34</v>
      </c>
      <c r="E20" s="20">
        <v>1</v>
      </c>
      <c r="F20" s="21">
        <v>1</v>
      </c>
      <c r="G20" s="22" t="s">
        <v>21</v>
      </c>
      <c r="H20" s="21">
        <v>50</v>
      </c>
      <c r="I20" s="22" t="s">
        <v>34</v>
      </c>
      <c r="J20" s="23">
        <v>66000</v>
      </c>
      <c r="K20" s="19" t="s">
        <v>34</v>
      </c>
      <c r="L20" s="24">
        <v>0.125</v>
      </c>
      <c r="M20" s="24">
        <v>0.05</v>
      </c>
      <c r="N20" s="18">
        <v>50</v>
      </c>
      <c r="O20" s="22" t="s">
        <v>34</v>
      </c>
      <c r="P20" s="18">
        <f t="shared" si="3"/>
        <v>0</v>
      </c>
      <c r="Q20" s="22" t="s">
        <v>34</v>
      </c>
      <c r="R20" s="23">
        <f t="shared" si="4"/>
        <v>0</v>
      </c>
      <c r="S20" s="23">
        <f t="shared" ref="S20" si="5">R20/1.11</f>
        <v>0</v>
      </c>
    </row>
    <row r="21" spans="1:19" s="17" customFormat="1">
      <c r="A21" s="16" t="s">
        <v>37</v>
      </c>
      <c r="B21" s="17" t="s">
        <v>19</v>
      </c>
      <c r="C21" s="18"/>
      <c r="D21" s="19" t="s">
        <v>34</v>
      </c>
      <c r="E21" s="20"/>
      <c r="F21" s="21">
        <v>1</v>
      </c>
      <c r="G21" s="22" t="s">
        <v>21</v>
      </c>
      <c r="H21" s="21">
        <v>180</v>
      </c>
      <c r="I21" s="22" t="s">
        <v>34</v>
      </c>
      <c r="J21" s="23">
        <v>9120</v>
      </c>
      <c r="K21" s="19" t="s">
        <v>34</v>
      </c>
      <c r="L21" s="24">
        <v>0.125</v>
      </c>
      <c r="M21" s="24">
        <v>0.05</v>
      </c>
      <c r="N21" s="18"/>
      <c r="O21" s="22" t="s">
        <v>34</v>
      </c>
      <c r="P21" s="18">
        <f t="shared" si="3"/>
        <v>0</v>
      </c>
      <c r="Q21" s="22" t="s">
        <v>34</v>
      </c>
      <c r="R21" s="23">
        <f t="shared" si="4"/>
        <v>0</v>
      </c>
      <c r="S21" s="23">
        <f t="shared" si="2"/>
        <v>0</v>
      </c>
    </row>
    <row r="22" spans="1:19" s="17" customFormat="1">
      <c r="A22" s="16" t="s">
        <v>38</v>
      </c>
      <c r="B22" s="17" t="s">
        <v>19</v>
      </c>
      <c r="C22" s="18"/>
      <c r="D22" s="19" t="s">
        <v>34</v>
      </c>
      <c r="E22" s="20"/>
      <c r="F22" s="21">
        <v>1</v>
      </c>
      <c r="G22" s="22" t="s">
        <v>21</v>
      </c>
      <c r="H22" s="21">
        <v>32</v>
      </c>
      <c r="I22" s="22" t="s">
        <v>34</v>
      </c>
      <c r="J22" s="23">
        <v>64800</v>
      </c>
      <c r="K22" s="19" t="s">
        <v>34</v>
      </c>
      <c r="L22" s="24">
        <v>0.125</v>
      </c>
      <c r="M22" s="24">
        <v>0.05</v>
      </c>
      <c r="N22" s="18"/>
      <c r="O22" s="22" t="s">
        <v>34</v>
      </c>
      <c r="P22" s="18">
        <f t="shared" si="3"/>
        <v>0</v>
      </c>
      <c r="Q22" s="22" t="s">
        <v>34</v>
      </c>
      <c r="R22" s="23">
        <f t="shared" si="4"/>
        <v>0</v>
      </c>
      <c r="S22" s="23">
        <f t="shared" si="2"/>
        <v>0</v>
      </c>
    </row>
    <row r="23" spans="1:19" s="17" customFormat="1">
      <c r="A23" s="16" t="s">
        <v>757</v>
      </c>
      <c r="B23" s="17" t="s">
        <v>26</v>
      </c>
      <c r="C23" s="18"/>
      <c r="D23" s="19" t="s">
        <v>34</v>
      </c>
      <c r="E23" s="20">
        <v>1</v>
      </c>
      <c r="F23" s="21">
        <v>1</v>
      </c>
      <c r="G23" s="22" t="s">
        <v>21</v>
      </c>
      <c r="H23" s="21">
        <v>32</v>
      </c>
      <c r="I23" s="22" t="s">
        <v>34</v>
      </c>
      <c r="J23" s="23">
        <f>1113600/32</f>
        <v>34800</v>
      </c>
      <c r="K23" s="19" t="s">
        <v>34</v>
      </c>
      <c r="L23" s="24"/>
      <c r="M23" s="24">
        <v>0.17</v>
      </c>
      <c r="N23" s="18">
        <v>32</v>
      </c>
      <c r="O23" s="22" t="s">
        <v>34</v>
      </c>
      <c r="P23" s="18">
        <f t="shared" ref="P23" si="6">(C23+(E23*F23*H23))-N23</f>
        <v>0</v>
      </c>
      <c r="Q23" s="22" t="s">
        <v>34</v>
      </c>
      <c r="R23" s="23">
        <f t="shared" ref="R23" si="7">P23*(J23-(J23*L23)-((J23-(J23*L23))*M23))</f>
        <v>0</v>
      </c>
      <c r="S23" s="23">
        <f t="shared" ref="S23" si="8">R23/1.11</f>
        <v>0</v>
      </c>
    </row>
    <row r="24" spans="1:19">
      <c r="S24" s="23"/>
    </row>
    <row r="25" spans="1:19" ht="15.75">
      <c r="A25" s="14" t="s">
        <v>39</v>
      </c>
      <c r="S25" s="23"/>
    </row>
    <row r="26" spans="1:19">
      <c r="A26" s="15" t="s">
        <v>40</v>
      </c>
      <c r="S26" s="23"/>
    </row>
    <row r="27" spans="1:19" s="17" customFormat="1">
      <c r="A27" s="16" t="s">
        <v>41</v>
      </c>
      <c r="B27" s="17" t="s">
        <v>19</v>
      </c>
      <c r="C27" s="18">
        <v>24</v>
      </c>
      <c r="D27" s="19" t="s">
        <v>20</v>
      </c>
      <c r="E27" s="20"/>
      <c r="F27" s="21">
        <v>1</v>
      </c>
      <c r="G27" s="22" t="s">
        <v>21</v>
      </c>
      <c r="H27" s="21">
        <v>60</v>
      </c>
      <c r="I27" s="22" t="s">
        <v>20</v>
      </c>
      <c r="J27" s="23">
        <v>18500</v>
      </c>
      <c r="K27" s="19" t="s">
        <v>20</v>
      </c>
      <c r="L27" s="24">
        <v>0.125</v>
      </c>
      <c r="M27" s="24">
        <v>0.05</v>
      </c>
      <c r="N27" s="18">
        <f>((1+1)*12)</f>
        <v>24</v>
      </c>
      <c r="O27" s="22" t="s">
        <v>20</v>
      </c>
      <c r="P27" s="18">
        <f t="shared" ref="P27:P33" si="9">(C27+(E27*F27*H27))-N27</f>
        <v>0</v>
      </c>
      <c r="Q27" s="22" t="s">
        <v>20</v>
      </c>
      <c r="R27" s="23">
        <f t="shared" ref="R27:R33" si="10">P27*(J27-(J27*L27)-((J27-(J27*L27))*M27))</f>
        <v>0</v>
      </c>
      <c r="S27" s="23">
        <f t="shared" si="2"/>
        <v>0</v>
      </c>
    </row>
    <row r="28" spans="1:19" s="17" customFormat="1">
      <c r="A28" s="95" t="s">
        <v>42</v>
      </c>
      <c r="B28" s="96" t="s">
        <v>26</v>
      </c>
      <c r="C28" s="97">
        <v>7.5</v>
      </c>
      <c r="D28" s="98" t="s">
        <v>43</v>
      </c>
      <c r="E28" s="105"/>
      <c r="F28" s="100">
        <v>1</v>
      </c>
      <c r="G28" s="101" t="s">
        <v>21</v>
      </c>
      <c r="H28" s="100">
        <v>5</v>
      </c>
      <c r="I28" s="101" t="s">
        <v>43</v>
      </c>
      <c r="J28" s="102">
        <f>660000/5</f>
        <v>132000</v>
      </c>
      <c r="K28" s="98" t="s">
        <v>43</v>
      </c>
      <c r="L28" s="103"/>
      <c r="M28" s="103">
        <v>0.17</v>
      </c>
      <c r="N28" s="97">
        <f>2+2+(60/12)-1.5</f>
        <v>7.5</v>
      </c>
      <c r="O28" s="243" t="s">
        <v>43</v>
      </c>
      <c r="P28" s="97">
        <f t="shared" si="9"/>
        <v>0</v>
      </c>
      <c r="Q28" s="101" t="s">
        <v>43</v>
      </c>
      <c r="R28" s="102">
        <f t="shared" si="10"/>
        <v>0</v>
      </c>
      <c r="S28" s="102">
        <f t="shared" si="2"/>
        <v>0</v>
      </c>
    </row>
    <row r="29" spans="1:19" s="26" customFormat="1">
      <c r="A29" s="35" t="s">
        <v>42</v>
      </c>
      <c r="B29" s="36" t="s">
        <v>26</v>
      </c>
      <c r="C29" s="37">
        <v>10</v>
      </c>
      <c r="D29" s="38" t="s">
        <v>43</v>
      </c>
      <c r="E29" s="39">
        <v>1</v>
      </c>
      <c r="F29" s="40">
        <v>1</v>
      </c>
      <c r="G29" s="41" t="s">
        <v>21</v>
      </c>
      <c r="H29" s="40">
        <v>5</v>
      </c>
      <c r="I29" s="41" t="s">
        <v>43</v>
      </c>
      <c r="J29" s="42">
        <f>720000/5</f>
        <v>144000</v>
      </c>
      <c r="K29" s="38" t="s">
        <v>43</v>
      </c>
      <c r="L29" s="43"/>
      <c r="M29" s="43">
        <v>0.17</v>
      </c>
      <c r="N29" s="37">
        <f>(60/12)-3.5+8.5</f>
        <v>10</v>
      </c>
      <c r="O29" s="202" t="s">
        <v>43</v>
      </c>
      <c r="P29" s="37">
        <f t="shared" si="9"/>
        <v>5</v>
      </c>
      <c r="Q29" s="41" t="s">
        <v>43</v>
      </c>
      <c r="R29" s="42">
        <f t="shared" si="10"/>
        <v>597600</v>
      </c>
      <c r="S29" s="42">
        <f t="shared" si="2"/>
        <v>538378.37837837834</v>
      </c>
    </row>
    <row r="30" spans="1:19" s="45" customFormat="1">
      <c r="A30" s="44" t="s">
        <v>44</v>
      </c>
      <c r="B30" s="45" t="s">
        <v>26</v>
      </c>
      <c r="C30" s="46">
        <v>10</v>
      </c>
      <c r="D30" s="47" t="s">
        <v>43</v>
      </c>
      <c r="E30" s="48"/>
      <c r="F30" s="49">
        <v>1</v>
      </c>
      <c r="G30" s="50" t="s">
        <v>21</v>
      </c>
      <c r="H30" s="49">
        <v>5</v>
      </c>
      <c r="I30" s="50" t="s">
        <v>43</v>
      </c>
      <c r="J30" s="51">
        <f>708000/5</f>
        <v>141600</v>
      </c>
      <c r="K30" s="47" t="s">
        <v>43</v>
      </c>
      <c r="L30" s="52"/>
      <c r="M30" s="52">
        <v>0.17</v>
      </c>
      <c r="N30" s="46"/>
      <c r="O30" s="169" t="s">
        <v>43</v>
      </c>
      <c r="P30" s="46">
        <f t="shared" si="9"/>
        <v>10</v>
      </c>
      <c r="Q30" s="50" t="s">
        <v>43</v>
      </c>
      <c r="R30" s="51">
        <f t="shared" si="10"/>
        <v>1175280</v>
      </c>
      <c r="S30" s="32">
        <f t="shared" si="2"/>
        <v>1058810.8108108107</v>
      </c>
    </row>
    <row r="31" spans="1:19" s="17" customFormat="1">
      <c r="A31" s="95" t="s">
        <v>45</v>
      </c>
      <c r="B31" s="96" t="s">
        <v>26</v>
      </c>
      <c r="C31" s="97">
        <v>16.5</v>
      </c>
      <c r="D31" s="98" t="s">
        <v>43</v>
      </c>
      <c r="E31" s="105"/>
      <c r="F31" s="100">
        <v>1</v>
      </c>
      <c r="G31" s="101" t="s">
        <v>21</v>
      </c>
      <c r="H31" s="100">
        <v>5</v>
      </c>
      <c r="I31" s="101" t="s">
        <v>43</v>
      </c>
      <c r="J31" s="102">
        <f>840000/5</f>
        <v>168000</v>
      </c>
      <c r="K31" s="98" t="s">
        <v>43</v>
      </c>
      <c r="L31" s="103"/>
      <c r="M31" s="103">
        <v>0.17</v>
      </c>
      <c r="N31" s="97">
        <f>2+(60/12)+9.5</f>
        <v>16.5</v>
      </c>
      <c r="O31" s="243" t="s">
        <v>43</v>
      </c>
      <c r="P31" s="97">
        <f t="shared" si="9"/>
        <v>0</v>
      </c>
      <c r="Q31" s="101" t="s">
        <v>43</v>
      </c>
      <c r="R31" s="102">
        <f t="shared" si="10"/>
        <v>0</v>
      </c>
      <c r="S31" s="102">
        <f t="shared" si="2"/>
        <v>0</v>
      </c>
    </row>
    <row r="32" spans="1:19" s="26" customFormat="1">
      <c r="A32" s="35" t="s">
        <v>45</v>
      </c>
      <c r="B32" s="36" t="s">
        <v>26</v>
      </c>
      <c r="C32" s="37">
        <v>5</v>
      </c>
      <c r="D32" s="38" t="s">
        <v>43</v>
      </c>
      <c r="E32" s="39"/>
      <c r="F32" s="40">
        <v>1</v>
      </c>
      <c r="G32" s="41" t="s">
        <v>21</v>
      </c>
      <c r="H32" s="40">
        <v>5</v>
      </c>
      <c r="I32" s="41" t="s">
        <v>43</v>
      </c>
      <c r="J32" s="42">
        <f>915000/5</f>
        <v>183000</v>
      </c>
      <c r="K32" s="38" t="s">
        <v>43</v>
      </c>
      <c r="L32" s="43"/>
      <c r="M32" s="43">
        <v>0.17</v>
      </c>
      <c r="N32" s="37"/>
      <c r="O32" s="202" t="s">
        <v>43</v>
      </c>
      <c r="P32" s="37">
        <f t="shared" si="9"/>
        <v>5</v>
      </c>
      <c r="Q32" s="41" t="s">
        <v>43</v>
      </c>
      <c r="R32" s="42">
        <f t="shared" si="10"/>
        <v>759450</v>
      </c>
      <c r="S32" s="42">
        <f t="shared" si="2"/>
        <v>684189.18918918911</v>
      </c>
    </row>
    <row r="33" spans="1:19" s="63" customFormat="1">
      <c r="A33" s="72" t="s">
        <v>46</v>
      </c>
      <c r="B33" s="63" t="s">
        <v>26</v>
      </c>
      <c r="C33" s="64">
        <v>0.5</v>
      </c>
      <c r="D33" s="65" t="s">
        <v>43</v>
      </c>
      <c r="E33" s="66"/>
      <c r="F33" s="67">
        <v>1</v>
      </c>
      <c r="G33" s="68" t="s">
        <v>21</v>
      </c>
      <c r="H33" s="67">
        <v>5</v>
      </c>
      <c r="I33" s="68" t="s">
        <v>43</v>
      </c>
      <c r="J33" s="69">
        <f>810000/5</f>
        <v>162000</v>
      </c>
      <c r="K33" s="65" t="s">
        <v>43</v>
      </c>
      <c r="L33" s="70"/>
      <c r="M33" s="70">
        <v>0.17</v>
      </c>
      <c r="N33" s="64">
        <v>0.5</v>
      </c>
      <c r="O33" s="232" t="s">
        <v>43</v>
      </c>
      <c r="P33" s="64">
        <f t="shared" si="9"/>
        <v>0</v>
      </c>
      <c r="Q33" s="68" t="s">
        <v>43</v>
      </c>
      <c r="R33" s="69">
        <f t="shared" si="10"/>
        <v>0</v>
      </c>
      <c r="S33" s="69">
        <f t="shared" si="2"/>
        <v>0</v>
      </c>
    </row>
    <row r="34" spans="1:19">
      <c r="A34" s="15" t="s">
        <v>776</v>
      </c>
      <c r="S34" s="23"/>
    </row>
    <row r="35" spans="1:19" s="17" customFormat="1">
      <c r="A35" s="72" t="s">
        <v>777</v>
      </c>
      <c r="B35" s="17" t="s">
        <v>779</v>
      </c>
      <c r="C35" s="18"/>
      <c r="D35" s="19" t="s">
        <v>20</v>
      </c>
      <c r="E35" s="20">
        <v>3</v>
      </c>
      <c r="F35" s="21">
        <v>1</v>
      </c>
      <c r="G35" s="22" t="s">
        <v>21</v>
      </c>
      <c r="H35" s="21">
        <v>50</v>
      </c>
      <c r="I35" s="22" t="s">
        <v>20</v>
      </c>
      <c r="J35" s="23">
        <v>12870</v>
      </c>
      <c r="K35" s="19" t="s">
        <v>20</v>
      </c>
      <c r="L35" s="24"/>
      <c r="M35" s="24"/>
      <c r="N35" s="18">
        <v>150</v>
      </c>
      <c r="O35" s="22" t="s">
        <v>20</v>
      </c>
      <c r="P35" s="18">
        <f t="shared" ref="P35" si="11">(C35+(E35*F35*H35))-N35</f>
        <v>0</v>
      </c>
      <c r="Q35" s="22" t="s">
        <v>20</v>
      </c>
      <c r="R35" s="23">
        <f t="shared" ref="R35" si="12">P35*(J35-(J35*L35)-((J35-(J35*L35))*M35))</f>
        <v>0</v>
      </c>
      <c r="S35" s="23">
        <f t="shared" ref="S35" si="13">R35/1.11</f>
        <v>0</v>
      </c>
    </row>
    <row r="36" spans="1:19" s="26" customFormat="1">
      <c r="A36" s="44" t="s">
        <v>778</v>
      </c>
      <c r="B36" s="26" t="s">
        <v>779</v>
      </c>
      <c r="C36" s="27"/>
      <c r="D36" s="28" t="s">
        <v>20</v>
      </c>
      <c r="E36" s="29">
        <v>3</v>
      </c>
      <c r="F36" s="30">
        <v>1</v>
      </c>
      <c r="G36" s="31" t="s">
        <v>21</v>
      </c>
      <c r="H36" s="30">
        <v>50</v>
      </c>
      <c r="I36" s="31" t="s">
        <v>20</v>
      </c>
      <c r="J36" s="32">
        <v>12870</v>
      </c>
      <c r="K36" s="28" t="s">
        <v>20</v>
      </c>
      <c r="L36" s="33"/>
      <c r="M36" s="33"/>
      <c r="N36" s="27">
        <v>100</v>
      </c>
      <c r="O36" s="31" t="s">
        <v>20</v>
      </c>
      <c r="P36" s="27">
        <f t="shared" ref="P36" si="14">(C36+(E36*F36*H36))-N36</f>
        <v>50</v>
      </c>
      <c r="Q36" s="31" t="s">
        <v>20</v>
      </c>
      <c r="R36" s="32">
        <f t="shared" ref="R36" si="15">P36*(J36-(J36*L36)-((J36-(J36*L36))*M36))</f>
        <v>643500</v>
      </c>
      <c r="S36" s="32">
        <f t="shared" ref="S36" si="16">R36/1.11</f>
        <v>579729.7297297297</v>
      </c>
    </row>
    <row r="37" spans="1:19">
      <c r="S37" s="23"/>
    </row>
    <row r="38" spans="1:19" ht="15.75">
      <c r="A38" s="14" t="s">
        <v>47</v>
      </c>
      <c r="S38" s="23"/>
    </row>
    <row r="39" spans="1:19" s="17" customFormat="1">
      <c r="A39" s="16" t="s">
        <v>48</v>
      </c>
      <c r="B39" s="17" t="s">
        <v>49</v>
      </c>
      <c r="C39" s="18"/>
      <c r="D39" s="19" t="s">
        <v>20</v>
      </c>
      <c r="E39" s="20"/>
      <c r="F39" s="21">
        <v>2</v>
      </c>
      <c r="G39" s="22" t="s">
        <v>34</v>
      </c>
      <c r="H39" s="21">
        <v>20</v>
      </c>
      <c r="I39" s="22" t="s">
        <v>20</v>
      </c>
      <c r="J39" s="23">
        <v>64000</v>
      </c>
      <c r="K39" s="19" t="s">
        <v>20</v>
      </c>
      <c r="L39" s="24">
        <v>0.125</v>
      </c>
      <c r="M39" s="24">
        <v>0.05</v>
      </c>
      <c r="N39" s="18"/>
      <c r="O39" s="22" t="s">
        <v>20</v>
      </c>
      <c r="P39" s="18">
        <f t="shared" ref="P39:P65" si="17">(C39+(E39*F39*H39))-N39</f>
        <v>0</v>
      </c>
      <c r="Q39" s="22" t="s">
        <v>20</v>
      </c>
      <c r="R39" s="23">
        <f t="shared" ref="R39:R65" si="18">P39*(J39-(J39*L39)-((J39-(J39*L39))*M39))</f>
        <v>0</v>
      </c>
      <c r="S39" s="23">
        <f t="shared" si="2"/>
        <v>0</v>
      </c>
    </row>
    <row r="40" spans="1:19" s="45" customFormat="1">
      <c r="A40" s="44" t="s">
        <v>50</v>
      </c>
      <c r="B40" s="45" t="s">
        <v>49</v>
      </c>
      <c r="C40" s="46">
        <v>105</v>
      </c>
      <c r="D40" s="47" t="s">
        <v>20</v>
      </c>
      <c r="E40" s="48"/>
      <c r="F40" s="49">
        <v>6</v>
      </c>
      <c r="G40" s="50" t="s">
        <v>34</v>
      </c>
      <c r="H40" s="49">
        <v>20</v>
      </c>
      <c r="I40" s="50" t="s">
        <v>20</v>
      </c>
      <c r="J40" s="51">
        <v>47000</v>
      </c>
      <c r="K40" s="47" t="s">
        <v>20</v>
      </c>
      <c r="L40" s="52">
        <v>0.125</v>
      </c>
      <c r="M40" s="52">
        <v>0.05</v>
      </c>
      <c r="N40" s="46">
        <v>5</v>
      </c>
      <c r="O40" s="50" t="s">
        <v>20</v>
      </c>
      <c r="P40" s="46">
        <f t="shared" si="17"/>
        <v>100</v>
      </c>
      <c r="Q40" s="50" t="s">
        <v>20</v>
      </c>
      <c r="R40" s="51">
        <f t="shared" si="18"/>
        <v>3906875</v>
      </c>
      <c r="S40" s="51">
        <f t="shared" si="2"/>
        <v>3519707.2072072071</v>
      </c>
    </row>
    <row r="41" spans="1:19" s="26" customFormat="1">
      <c r="A41" s="25" t="s">
        <v>51</v>
      </c>
      <c r="B41" s="26" t="s">
        <v>49</v>
      </c>
      <c r="C41" s="27">
        <v>100</v>
      </c>
      <c r="D41" s="28" t="s">
        <v>20</v>
      </c>
      <c r="E41" s="29"/>
      <c r="F41" s="30">
        <v>6</v>
      </c>
      <c r="G41" s="31" t="s">
        <v>34</v>
      </c>
      <c r="H41" s="30">
        <v>20</v>
      </c>
      <c r="I41" s="31" t="s">
        <v>20</v>
      </c>
      <c r="J41" s="32">
        <v>47000</v>
      </c>
      <c r="K41" s="28" t="s">
        <v>20</v>
      </c>
      <c r="L41" s="33">
        <v>0.125</v>
      </c>
      <c r="M41" s="33">
        <v>0.05</v>
      </c>
      <c r="N41" s="27">
        <f>40+5+40</f>
        <v>85</v>
      </c>
      <c r="O41" s="31" t="s">
        <v>20</v>
      </c>
      <c r="P41" s="27">
        <f t="shared" si="17"/>
        <v>15</v>
      </c>
      <c r="Q41" s="31" t="s">
        <v>20</v>
      </c>
      <c r="R41" s="32">
        <f t="shared" si="18"/>
        <v>586031.25</v>
      </c>
      <c r="S41" s="32">
        <f t="shared" si="2"/>
        <v>527956.08108108107</v>
      </c>
    </row>
    <row r="42" spans="1:19" s="17" customFormat="1">
      <c r="A42" s="16" t="s">
        <v>52</v>
      </c>
      <c r="B42" s="17" t="s">
        <v>49</v>
      </c>
      <c r="C42" s="18"/>
      <c r="D42" s="19" t="s">
        <v>20</v>
      </c>
      <c r="E42" s="20"/>
      <c r="F42" s="21">
        <v>6</v>
      </c>
      <c r="G42" s="22" t="s">
        <v>34</v>
      </c>
      <c r="H42" s="21">
        <v>20</v>
      </c>
      <c r="I42" s="22" t="s">
        <v>20</v>
      </c>
      <c r="J42" s="23">
        <v>48000</v>
      </c>
      <c r="K42" s="19" t="s">
        <v>20</v>
      </c>
      <c r="L42" s="24">
        <v>0.125</v>
      </c>
      <c r="M42" s="24">
        <v>0.05</v>
      </c>
      <c r="N42" s="18"/>
      <c r="O42" s="22" t="s">
        <v>20</v>
      </c>
      <c r="P42" s="18">
        <f t="shared" si="17"/>
        <v>0</v>
      </c>
      <c r="Q42" s="22" t="s">
        <v>20</v>
      </c>
      <c r="R42" s="23">
        <f t="shared" si="18"/>
        <v>0</v>
      </c>
      <c r="S42" s="23">
        <f t="shared" si="2"/>
        <v>0</v>
      </c>
    </row>
    <row r="43" spans="1:19" s="26" customFormat="1">
      <c r="A43" s="25" t="s">
        <v>53</v>
      </c>
      <c r="B43" s="26" t="s">
        <v>49</v>
      </c>
      <c r="C43" s="27">
        <v>54</v>
      </c>
      <c r="D43" s="28" t="s">
        <v>20</v>
      </c>
      <c r="E43" s="29"/>
      <c r="F43" s="30">
        <v>4</v>
      </c>
      <c r="G43" s="31" t="s">
        <v>34</v>
      </c>
      <c r="H43" s="30">
        <v>20</v>
      </c>
      <c r="I43" s="31" t="s">
        <v>20</v>
      </c>
      <c r="J43" s="32">
        <v>49000</v>
      </c>
      <c r="K43" s="28" t="s">
        <v>20</v>
      </c>
      <c r="L43" s="33">
        <v>0.125</v>
      </c>
      <c r="M43" s="33">
        <v>0.05</v>
      </c>
      <c r="N43" s="27"/>
      <c r="O43" s="31" t="s">
        <v>20</v>
      </c>
      <c r="P43" s="27">
        <f t="shared" si="17"/>
        <v>54</v>
      </c>
      <c r="Q43" s="31" t="s">
        <v>20</v>
      </c>
      <c r="R43" s="32">
        <f t="shared" si="18"/>
        <v>2199487.5</v>
      </c>
      <c r="S43" s="32">
        <f t="shared" si="2"/>
        <v>1981520.2702702701</v>
      </c>
    </row>
    <row r="44" spans="1:19" s="63" customFormat="1">
      <c r="A44" s="95" t="s">
        <v>54</v>
      </c>
      <c r="B44" s="96" t="s">
        <v>49</v>
      </c>
      <c r="C44" s="97">
        <v>82</v>
      </c>
      <c r="D44" s="98" t="s">
        <v>20</v>
      </c>
      <c r="E44" s="105"/>
      <c r="F44" s="100">
        <v>6</v>
      </c>
      <c r="G44" s="101" t="s">
        <v>34</v>
      </c>
      <c r="H44" s="100">
        <v>20</v>
      </c>
      <c r="I44" s="101" t="s">
        <v>20</v>
      </c>
      <c r="J44" s="102">
        <v>47000</v>
      </c>
      <c r="K44" s="98" t="s">
        <v>20</v>
      </c>
      <c r="L44" s="103">
        <v>0.125</v>
      </c>
      <c r="M44" s="103">
        <v>0.1</v>
      </c>
      <c r="N44" s="97">
        <f>6+76</f>
        <v>82</v>
      </c>
      <c r="O44" s="101" t="s">
        <v>20</v>
      </c>
      <c r="P44" s="97">
        <f t="shared" si="17"/>
        <v>0</v>
      </c>
      <c r="Q44" s="101" t="s">
        <v>20</v>
      </c>
      <c r="R44" s="102">
        <f t="shared" si="18"/>
        <v>0</v>
      </c>
      <c r="S44" s="102">
        <f t="shared" si="2"/>
        <v>0</v>
      </c>
    </row>
    <row r="45" spans="1:19" s="45" customFormat="1">
      <c r="A45" s="35" t="s">
        <v>54</v>
      </c>
      <c r="B45" s="36" t="s">
        <v>49</v>
      </c>
      <c r="C45" s="37">
        <v>120</v>
      </c>
      <c r="D45" s="38" t="s">
        <v>20</v>
      </c>
      <c r="E45" s="39"/>
      <c r="F45" s="40">
        <v>6</v>
      </c>
      <c r="G45" s="41" t="s">
        <v>34</v>
      </c>
      <c r="H45" s="40">
        <v>20</v>
      </c>
      <c r="I45" s="41" t="s">
        <v>20</v>
      </c>
      <c r="J45" s="42">
        <v>47000</v>
      </c>
      <c r="K45" s="38" t="s">
        <v>20</v>
      </c>
      <c r="L45" s="43">
        <v>0.125</v>
      </c>
      <c r="M45" s="43">
        <v>0.05</v>
      </c>
      <c r="N45" s="37"/>
      <c r="O45" s="41" t="s">
        <v>20</v>
      </c>
      <c r="P45" s="37">
        <f t="shared" si="17"/>
        <v>120</v>
      </c>
      <c r="Q45" s="41" t="s">
        <v>20</v>
      </c>
      <c r="R45" s="42">
        <f t="shared" si="18"/>
        <v>4688250</v>
      </c>
      <c r="S45" s="42">
        <f t="shared" si="2"/>
        <v>4223648.6486486485</v>
      </c>
    </row>
    <row r="46" spans="1:19" s="26" customFormat="1">
      <c r="A46" s="25" t="s">
        <v>55</v>
      </c>
      <c r="B46" s="26" t="s">
        <v>49</v>
      </c>
      <c r="C46" s="27">
        <v>140</v>
      </c>
      <c r="D46" s="28" t="s">
        <v>20</v>
      </c>
      <c r="E46" s="29"/>
      <c r="F46" s="30">
        <v>4</v>
      </c>
      <c r="G46" s="31" t="s">
        <v>34</v>
      </c>
      <c r="H46" s="30">
        <v>40</v>
      </c>
      <c r="I46" s="31" t="s">
        <v>20</v>
      </c>
      <c r="J46" s="32">
        <v>37000</v>
      </c>
      <c r="K46" s="28" t="s">
        <v>20</v>
      </c>
      <c r="L46" s="33">
        <v>0.125</v>
      </c>
      <c r="M46" s="33">
        <v>0.05</v>
      </c>
      <c r="N46" s="27"/>
      <c r="O46" s="31" t="s">
        <v>20</v>
      </c>
      <c r="P46" s="27">
        <f t="shared" si="17"/>
        <v>140</v>
      </c>
      <c r="Q46" s="31" t="s">
        <v>20</v>
      </c>
      <c r="R46" s="32">
        <f t="shared" si="18"/>
        <v>4305875</v>
      </c>
      <c r="S46" s="32">
        <f t="shared" si="2"/>
        <v>3879166.6666666665</v>
      </c>
    </row>
    <row r="47" spans="1:19" s="26" customFormat="1">
      <c r="A47" s="25" t="s">
        <v>56</v>
      </c>
      <c r="B47" s="26" t="s">
        <v>49</v>
      </c>
      <c r="C47" s="27">
        <v>40</v>
      </c>
      <c r="D47" s="28" t="s">
        <v>20</v>
      </c>
      <c r="E47" s="29"/>
      <c r="F47" s="30">
        <v>4</v>
      </c>
      <c r="G47" s="31" t="s">
        <v>34</v>
      </c>
      <c r="H47" s="30">
        <v>20</v>
      </c>
      <c r="I47" s="31" t="s">
        <v>20</v>
      </c>
      <c r="J47" s="32">
        <v>49000</v>
      </c>
      <c r="K47" s="28" t="s">
        <v>20</v>
      </c>
      <c r="L47" s="33">
        <v>0.125</v>
      </c>
      <c r="M47" s="33">
        <v>0.1</v>
      </c>
      <c r="N47" s="27">
        <f>10+3+20</f>
        <v>33</v>
      </c>
      <c r="O47" s="31" t="s">
        <v>20</v>
      </c>
      <c r="P47" s="27">
        <f t="shared" si="17"/>
        <v>7</v>
      </c>
      <c r="Q47" s="31" t="s">
        <v>20</v>
      </c>
      <c r="R47" s="32">
        <f t="shared" si="18"/>
        <v>270112.5</v>
      </c>
      <c r="S47" s="32">
        <f t="shared" si="2"/>
        <v>243344.59459459459</v>
      </c>
    </row>
    <row r="48" spans="1:19" s="17" customFormat="1">
      <c r="A48" s="95" t="s">
        <v>57</v>
      </c>
      <c r="B48" s="96" t="s">
        <v>49</v>
      </c>
      <c r="C48" s="97">
        <v>36</v>
      </c>
      <c r="D48" s="98" t="s">
        <v>20</v>
      </c>
      <c r="E48" s="105"/>
      <c r="F48" s="100">
        <v>4</v>
      </c>
      <c r="G48" s="101" t="s">
        <v>34</v>
      </c>
      <c r="H48" s="100">
        <v>20</v>
      </c>
      <c r="I48" s="101" t="s">
        <v>20</v>
      </c>
      <c r="J48" s="102">
        <v>66000</v>
      </c>
      <c r="K48" s="98" t="s">
        <v>20</v>
      </c>
      <c r="L48" s="103">
        <v>0.125</v>
      </c>
      <c r="M48" s="103">
        <v>0.1</v>
      </c>
      <c r="N48" s="97">
        <f>80-44</f>
        <v>36</v>
      </c>
      <c r="O48" s="101" t="s">
        <v>20</v>
      </c>
      <c r="P48" s="97">
        <f t="shared" si="17"/>
        <v>0</v>
      </c>
      <c r="Q48" s="101" t="s">
        <v>20</v>
      </c>
      <c r="R48" s="102">
        <f t="shared" si="18"/>
        <v>0</v>
      </c>
      <c r="S48" s="102">
        <f t="shared" si="2"/>
        <v>0</v>
      </c>
    </row>
    <row r="49" spans="1:19" s="26" customFormat="1">
      <c r="A49" s="35" t="s">
        <v>57</v>
      </c>
      <c r="B49" s="36" t="s">
        <v>49</v>
      </c>
      <c r="C49" s="37"/>
      <c r="D49" s="38" t="s">
        <v>20</v>
      </c>
      <c r="E49" s="39">
        <v>1</v>
      </c>
      <c r="F49" s="40">
        <v>4</v>
      </c>
      <c r="G49" s="41" t="s">
        <v>34</v>
      </c>
      <c r="H49" s="40">
        <v>20</v>
      </c>
      <c r="I49" s="41" t="s">
        <v>20</v>
      </c>
      <c r="J49" s="42">
        <v>66000</v>
      </c>
      <c r="K49" s="38" t="s">
        <v>20</v>
      </c>
      <c r="L49" s="43">
        <v>0.125</v>
      </c>
      <c r="M49" s="43">
        <v>0.05</v>
      </c>
      <c r="N49" s="37">
        <f>(80-36)+3+12</f>
        <v>59</v>
      </c>
      <c r="O49" s="41" t="s">
        <v>20</v>
      </c>
      <c r="P49" s="37">
        <f t="shared" ref="P49" si="19">(C49+(E49*F49*H49))-N49</f>
        <v>21</v>
      </c>
      <c r="Q49" s="41" t="s">
        <v>20</v>
      </c>
      <c r="R49" s="42">
        <f t="shared" ref="R49" si="20">P49*(J49-(J49*L49)-((J49-(J49*L49))*M49))</f>
        <v>1152112.5</v>
      </c>
      <c r="S49" s="42">
        <f t="shared" ref="S49" si="21">R49/1.11</f>
        <v>1037939.1891891891</v>
      </c>
    </row>
    <row r="50" spans="1:19" s="17" customFormat="1">
      <c r="A50" s="16" t="s">
        <v>58</v>
      </c>
      <c r="B50" s="17" t="s">
        <v>49</v>
      </c>
      <c r="C50" s="18"/>
      <c r="D50" s="19" t="s">
        <v>20</v>
      </c>
      <c r="E50" s="20"/>
      <c r="F50" s="21">
        <v>6</v>
      </c>
      <c r="G50" s="22" t="s">
        <v>34</v>
      </c>
      <c r="H50" s="21">
        <v>10</v>
      </c>
      <c r="I50" s="22" t="s">
        <v>20</v>
      </c>
      <c r="J50" s="23">
        <v>73000</v>
      </c>
      <c r="K50" s="19" t="s">
        <v>20</v>
      </c>
      <c r="L50" s="24">
        <v>0.125</v>
      </c>
      <c r="M50" s="24">
        <v>0.05</v>
      </c>
      <c r="N50" s="18"/>
      <c r="O50" s="22" t="s">
        <v>20</v>
      </c>
      <c r="P50" s="18">
        <f t="shared" si="17"/>
        <v>0</v>
      </c>
      <c r="Q50" s="22" t="s">
        <v>20</v>
      </c>
      <c r="R50" s="23">
        <f t="shared" si="18"/>
        <v>0</v>
      </c>
      <c r="S50" s="23">
        <f t="shared" si="2"/>
        <v>0</v>
      </c>
    </row>
    <row r="51" spans="1:19" s="17" customFormat="1">
      <c r="A51" s="16" t="s">
        <v>59</v>
      </c>
      <c r="B51" s="17" t="s">
        <v>49</v>
      </c>
      <c r="C51" s="18"/>
      <c r="D51" s="19" t="s">
        <v>20</v>
      </c>
      <c r="E51" s="20"/>
      <c r="F51" s="21">
        <v>8</v>
      </c>
      <c r="G51" s="22" t="s">
        <v>34</v>
      </c>
      <c r="H51" s="21">
        <v>10</v>
      </c>
      <c r="I51" s="22" t="s">
        <v>20</v>
      </c>
      <c r="J51" s="23">
        <v>56000</v>
      </c>
      <c r="K51" s="19" t="s">
        <v>20</v>
      </c>
      <c r="L51" s="24">
        <v>0.125</v>
      </c>
      <c r="M51" s="24">
        <v>0.05</v>
      </c>
      <c r="N51" s="18"/>
      <c r="O51" s="22" t="s">
        <v>20</v>
      </c>
      <c r="P51" s="18">
        <f t="shared" si="17"/>
        <v>0</v>
      </c>
      <c r="Q51" s="22" t="s">
        <v>20</v>
      </c>
      <c r="R51" s="23">
        <f t="shared" si="18"/>
        <v>0</v>
      </c>
      <c r="S51" s="23">
        <f t="shared" si="2"/>
        <v>0</v>
      </c>
    </row>
    <row r="52" spans="1:19" s="17" customFormat="1">
      <c r="A52" s="16" t="s">
        <v>60</v>
      </c>
      <c r="B52" s="17" t="s">
        <v>49</v>
      </c>
      <c r="C52" s="18"/>
      <c r="D52" s="19" t="s">
        <v>20</v>
      </c>
      <c r="E52" s="20"/>
      <c r="F52" s="21">
        <v>6</v>
      </c>
      <c r="G52" s="22" t="s">
        <v>34</v>
      </c>
      <c r="H52" s="21">
        <v>20</v>
      </c>
      <c r="I52" s="22" t="s">
        <v>20</v>
      </c>
      <c r="J52" s="23">
        <v>45000</v>
      </c>
      <c r="K52" s="19" t="s">
        <v>20</v>
      </c>
      <c r="L52" s="24">
        <v>0.125</v>
      </c>
      <c r="M52" s="24">
        <v>0.05</v>
      </c>
      <c r="N52" s="18"/>
      <c r="O52" s="22" t="s">
        <v>20</v>
      </c>
      <c r="P52" s="18">
        <f t="shared" si="17"/>
        <v>0</v>
      </c>
      <c r="Q52" s="22" t="s">
        <v>20</v>
      </c>
      <c r="R52" s="23">
        <f t="shared" si="18"/>
        <v>0</v>
      </c>
      <c r="S52" s="23">
        <f t="shared" si="2"/>
        <v>0</v>
      </c>
    </row>
    <row r="53" spans="1:19" s="17" customFormat="1">
      <c r="A53" s="16" t="s">
        <v>61</v>
      </c>
      <c r="B53" s="17" t="s">
        <v>49</v>
      </c>
      <c r="C53" s="18"/>
      <c r="D53" s="19" t="s">
        <v>20</v>
      </c>
      <c r="E53" s="20"/>
      <c r="F53" s="21">
        <v>8</v>
      </c>
      <c r="G53" s="22" t="s">
        <v>34</v>
      </c>
      <c r="H53" s="21">
        <v>20</v>
      </c>
      <c r="I53" s="22" t="s">
        <v>20</v>
      </c>
      <c r="J53" s="23">
        <v>32000</v>
      </c>
      <c r="K53" s="19" t="s">
        <v>20</v>
      </c>
      <c r="L53" s="24">
        <v>0.125</v>
      </c>
      <c r="M53" s="24">
        <v>0.05</v>
      </c>
      <c r="N53" s="18"/>
      <c r="O53" s="22" t="s">
        <v>20</v>
      </c>
      <c r="P53" s="18">
        <f t="shared" si="17"/>
        <v>0</v>
      </c>
      <c r="Q53" s="22" t="s">
        <v>20</v>
      </c>
      <c r="R53" s="23">
        <f t="shared" si="18"/>
        <v>0</v>
      </c>
      <c r="S53" s="23">
        <f t="shared" si="2"/>
        <v>0</v>
      </c>
    </row>
    <row r="54" spans="1:19" s="17" customFormat="1">
      <c r="A54" s="16" t="s">
        <v>62</v>
      </c>
      <c r="B54" s="17" t="s">
        <v>49</v>
      </c>
      <c r="C54" s="18"/>
      <c r="D54" s="19" t="s">
        <v>20</v>
      </c>
      <c r="E54" s="20"/>
      <c r="F54" s="21">
        <v>8</v>
      </c>
      <c r="G54" s="22" t="s">
        <v>34</v>
      </c>
      <c r="H54" s="21">
        <v>20</v>
      </c>
      <c r="I54" s="22" t="s">
        <v>20</v>
      </c>
      <c r="J54" s="23">
        <v>27500</v>
      </c>
      <c r="K54" s="19" t="s">
        <v>20</v>
      </c>
      <c r="L54" s="24">
        <v>0.125</v>
      </c>
      <c r="M54" s="24">
        <v>0.05</v>
      </c>
      <c r="N54" s="18"/>
      <c r="O54" s="22" t="s">
        <v>20</v>
      </c>
      <c r="P54" s="18">
        <f t="shared" si="17"/>
        <v>0</v>
      </c>
      <c r="Q54" s="22" t="s">
        <v>20</v>
      </c>
      <c r="R54" s="23">
        <f t="shared" si="18"/>
        <v>0</v>
      </c>
      <c r="S54" s="23">
        <f t="shared" si="2"/>
        <v>0</v>
      </c>
    </row>
    <row r="55" spans="1:19" s="45" customFormat="1">
      <c r="A55" s="44" t="s">
        <v>63</v>
      </c>
      <c r="B55" s="45" t="s">
        <v>49</v>
      </c>
      <c r="C55" s="46">
        <v>13</v>
      </c>
      <c r="D55" s="47" t="s">
        <v>20</v>
      </c>
      <c r="E55" s="48"/>
      <c r="F55" s="49">
        <v>4</v>
      </c>
      <c r="G55" s="50" t="s">
        <v>34</v>
      </c>
      <c r="H55" s="49">
        <v>20</v>
      </c>
      <c r="I55" s="50" t="s">
        <v>20</v>
      </c>
      <c r="J55" s="51">
        <v>54000</v>
      </c>
      <c r="K55" s="47" t="s">
        <v>20</v>
      </c>
      <c r="L55" s="52">
        <v>0.125</v>
      </c>
      <c r="M55" s="52">
        <v>0.05</v>
      </c>
      <c r="N55" s="46"/>
      <c r="O55" s="50" t="s">
        <v>20</v>
      </c>
      <c r="P55" s="46">
        <f t="shared" si="17"/>
        <v>13</v>
      </c>
      <c r="Q55" s="50" t="s">
        <v>20</v>
      </c>
      <c r="R55" s="51">
        <f t="shared" si="18"/>
        <v>583537.5</v>
      </c>
      <c r="S55" s="51">
        <f t="shared" si="2"/>
        <v>525709.45945945941</v>
      </c>
    </row>
    <row r="56" spans="1:19" s="45" customFormat="1">
      <c r="A56" s="44" t="s">
        <v>64</v>
      </c>
      <c r="B56" s="45" t="s">
        <v>49</v>
      </c>
      <c r="C56" s="46">
        <v>44</v>
      </c>
      <c r="D56" s="47" t="s">
        <v>20</v>
      </c>
      <c r="E56" s="48"/>
      <c r="F56" s="49">
        <v>6</v>
      </c>
      <c r="G56" s="50" t="s">
        <v>34</v>
      </c>
      <c r="H56" s="49">
        <v>10</v>
      </c>
      <c r="I56" s="50" t="s">
        <v>20</v>
      </c>
      <c r="J56" s="51">
        <v>72000</v>
      </c>
      <c r="K56" s="47" t="s">
        <v>20</v>
      </c>
      <c r="L56" s="52">
        <v>0.125</v>
      </c>
      <c r="M56" s="52">
        <v>0.05</v>
      </c>
      <c r="N56" s="46">
        <v>3</v>
      </c>
      <c r="O56" s="50" t="s">
        <v>20</v>
      </c>
      <c r="P56" s="46">
        <f>(C56+(E56*F56*H56))-N56</f>
        <v>41</v>
      </c>
      <c r="Q56" s="50" t="s">
        <v>20</v>
      </c>
      <c r="R56" s="51">
        <f>P56*(J56-(J56*L56)-((J56-(J56*L56))*M56))</f>
        <v>2453850</v>
      </c>
      <c r="S56" s="51">
        <f t="shared" si="2"/>
        <v>2210675.6756756753</v>
      </c>
    </row>
    <row r="57" spans="1:19" s="26" customFormat="1">
      <c r="A57" s="25" t="s">
        <v>65</v>
      </c>
      <c r="B57" s="26" t="s">
        <v>49</v>
      </c>
      <c r="C57" s="27">
        <v>65</v>
      </c>
      <c r="D57" s="28" t="s">
        <v>20</v>
      </c>
      <c r="E57" s="29"/>
      <c r="F57" s="30">
        <v>6</v>
      </c>
      <c r="G57" s="31" t="s">
        <v>34</v>
      </c>
      <c r="H57" s="30">
        <v>20</v>
      </c>
      <c r="I57" s="31" t="s">
        <v>20</v>
      </c>
      <c r="J57" s="32">
        <v>52000</v>
      </c>
      <c r="K57" s="28" t="s">
        <v>20</v>
      </c>
      <c r="L57" s="33">
        <v>0.125</v>
      </c>
      <c r="M57" s="33">
        <v>0.05</v>
      </c>
      <c r="N57" s="27"/>
      <c r="O57" s="31" t="s">
        <v>20</v>
      </c>
      <c r="P57" s="27">
        <f t="shared" si="17"/>
        <v>65</v>
      </c>
      <c r="Q57" s="31" t="s">
        <v>20</v>
      </c>
      <c r="R57" s="32">
        <f t="shared" si="18"/>
        <v>2809625</v>
      </c>
      <c r="S57" s="32">
        <f t="shared" si="2"/>
        <v>2531193.6936936933</v>
      </c>
    </row>
    <row r="58" spans="1:19" s="45" customFormat="1">
      <c r="A58" s="44" t="s">
        <v>66</v>
      </c>
      <c r="B58" s="45" t="s">
        <v>49</v>
      </c>
      <c r="C58" s="46">
        <v>68</v>
      </c>
      <c r="D58" s="47" t="s">
        <v>20</v>
      </c>
      <c r="E58" s="48"/>
      <c r="F58" s="49">
        <v>6</v>
      </c>
      <c r="G58" s="50" t="s">
        <v>34</v>
      </c>
      <c r="H58" s="49">
        <v>20</v>
      </c>
      <c r="I58" s="50" t="s">
        <v>20</v>
      </c>
      <c r="J58" s="51">
        <v>37000</v>
      </c>
      <c r="K58" s="47" t="s">
        <v>20</v>
      </c>
      <c r="L58" s="52">
        <v>0.125</v>
      </c>
      <c r="M58" s="52">
        <v>0.05</v>
      </c>
      <c r="N58" s="46"/>
      <c r="O58" s="50" t="s">
        <v>20</v>
      </c>
      <c r="P58" s="46">
        <f t="shared" si="17"/>
        <v>68</v>
      </c>
      <c r="Q58" s="50" t="s">
        <v>20</v>
      </c>
      <c r="R58" s="51">
        <f t="shared" si="18"/>
        <v>2091425</v>
      </c>
      <c r="S58" s="32">
        <f t="shared" si="2"/>
        <v>1884166.6666666665</v>
      </c>
    </row>
    <row r="59" spans="1:19" s="17" customFormat="1">
      <c r="A59" s="16" t="s">
        <v>67</v>
      </c>
      <c r="B59" s="17" t="s">
        <v>49</v>
      </c>
      <c r="C59" s="18"/>
      <c r="D59" s="19" t="s">
        <v>20</v>
      </c>
      <c r="E59" s="20"/>
      <c r="F59" s="21">
        <v>6</v>
      </c>
      <c r="G59" s="22" t="s">
        <v>34</v>
      </c>
      <c r="H59" s="21">
        <v>10</v>
      </c>
      <c r="I59" s="22" t="s">
        <v>20</v>
      </c>
      <c r="J59" s="23">
        <v>65000</v>
      </c>
      <c r="K59" s="19" t="s">
        <v>20</v>
      </c>
      <c r="L59" s="24">
        <v>0.125</v>
      </c>
      <c r="M59" s="24">
        <v>0.05</v>
      </c>
      <c r="N59" s="18"/>
      <c r="O59" s="22" t="s">
        <v>20</v>
      </c>
      <c r="P59" s="18">
        <f t="shared" si="17"/>
        <v>0</v>
      </c>
      <c r="Q59" s="22" t="s">
        <v>20</v>
      </c>
      <c r="R59" s="23">
        <f t="shared" si="18"/>
        <v>0</v>
      </c>
      <c r="S59" s="23">
        <f t="shared" si="2"/>
        <v>0</v>
      </c>
    </row>
    <row r="60" spans="1:19" s="45" customFormat="1">
      <c r="A60" s="44" t="s">
        <v>68</v>
      </c>
      <c r="B60" s="45" t="s">
        <v>49</v>
      </c>
      <c r="C60" s="46">
        <v>43</v>
      </c>
      <c r="D60" s="47" t="s">
        <v>20</v>
      </c>
      <c r="E60" s="48"/>
      <c r="F60" s="49">
        <v>6</v>
      </c>
      <c r="G60" s="50" t="s">
        <v>34</v>
      </c>
      <c r="H60" s="49">
        <v>10</v>
      </c>
      <c r="I60" s="50" t="s">
        <v>20</v>
      </c>
      <c r="J60" s="51">
        <v>71000</v>
      </c>
      <c r="K60" s="47" t="s">
        <v>20</v>
      </c>
      <c r="L60" s="52">
        <v>0.125</v>
      </c>
      <c r="M60" s="52">
        <v>0.05</v>
      </c>
      <c r="N60" s="46"/>
      <c r="O60" s="50" t="s">
        <v>20</v>
      </c>
      <c r="P60" s="46">
        <f t="shared" si="17"/>
        <v>43</v>
      </c>
      <c r="Q60" s="50" t="s">
        <v>20</v>
      </c>
      <c r="R60" s="51">
        <f t="shared" si="18"/>
        <v>2537806.25</v>
      </c>
      <c r="S60" s="51">
        <f t="shared" si="2"/>
        <v>2286311.9369369368</v>
      </c>
    </row>
    <row r="61" spans="1:19" s="45" customFormat="1">
      <c r="A61" s="44" t="s">
        <v>69</v>
      </c>
      <c r="B61" s="45" t="s">
        <v>49</v>
      </c>
      <c r="C61" s="46">
        <v>43</v>
      </c>
      <c r="D61" s="47" t="s">
        <v>20</v>
      </c>
      <c r="E61" s="48"/>
      <c r="F61" s="49">
        <v>6</v>
      </c>
      <c r="G61" s="50" t="s">
        <v>34</v>
      </c>
      <c r="H61" s="49">
        <v>10</v>
      </c>
      <c r="I61" s="50" t="s">
        <v>20</v>
      </c>
      <c r="J61" s="51">
        <v>75000</v>
      </c>
      <c r="K61" s="47" t="s">
        <v>20</v>
      </c>
      <c r="L61" s="52">
        <v>0.125</v>
      </c>
      <c r="M61" s="52">
        <v>0.05</v>
      </c>
      <c r="N61" s="46"/>
      <c r="O61" s="50" t="s">
        <v>20</v>
      </c>
      <c r="P61" s="46">
        <f>(C61+(E61*F61*H61))-N61</f>
        <v>43</v>
      </c>
      <c r="Q61" s="50" t="s">
        <v>20</v>
      </c>
      <c r="R61" s="51">
        <f>P61*(J61-(J61*L61)-((J61-(J61*L61))*M61))</f>
        <v>2680781.25</v>
      </c>
      <c r="S61" s="32">
        <f t="shared" si="2"/>
        <v>2415118.2432432431</v>
      </c>
    </row>
    <row r="62" spans="1:19" s="26" customFormat="1">
      <c r="A62" s="25" t="s">
        <v>70</v>
      </c>
      <c r="B62" s="26" t="s">
        <v>49</v>
      </c>
      <c r="C62" s="27">
        <v>11</v>
      </c>
      <c r="D62" s="28" t="s">
        <v>20</v>
      </c>
      <c r="E62" s="29"/>
      <c r="F62" s="30">
        <v>6</v>
      </c>
      <c r="G62" s="31" t="s">
        <v>34</v>
      </c>
      <c r="H62" s="30">
        <v>10</v>
      </c>
      <c r="I62" s="31" t="s">
        <v>20</v>
      </c>
      <c r="J62" s="32">
        <v>52000</v>
      </c>
      <c r="K62" s="28" t="s">
        <v>20</v>
      </c>
      <c r="L62" s="33">
        <v>0.125</v>
      </c>
      <c r="M62" s="33">
        <v>0.1</v>
      </c>
      <c r="N62" s="27">
        <v>5</v>
      </c>
      <c r="O62" s="31" t="s">
        <v>20</v>
      </c>
      <c r="P62" s="27">
        <f t="shared" si="17"/>
        <v>6</v>
      </c>
      <c r="Q62" s="31" t="s">
        <v>20</v>
      </c>
      <c r="R62" s="32">
        <f t="shared" si="18"/>
        <v>245700</v>
      </c>
      <c r="S62" s="32">
        <f t="shared" si="2"/>
        <v>221351.35135135133</v>
      </c>
    </row>
    <row r="63" spans="1:19" s="45" customFormat="1">
      <c r="A63" s="44" t="s">
        <v>71</v>
      </c>
      <c r="B63" s="45" t="s">
        <v>49</v>
      </c>
      <c r="C63" s="46">
        <v>67</v>
      </c>
      <c r="D63" s="47" t="s">
        <v>20</v>
      </c>
      <c r="E63" s="48"/>
      <c r="F63" s="49">
        <v>6</v>
      </c>
      <c r="G63" s="50" t="s">
        <v>34</v>
      </c>
      <c r="H63" s="49">
        <v>20</v>
      </c>
      <c r="I63" s="50" t="s">
        <v>20</v>
      </c>
      <c r="J63" s="51">
        <v>39000</v>
      </c>
      <c r="K63" s="47" t="s">
        <v>20</v>
      </c>
      <c r="L63" s="52">
        <v>0.125</v>
      </c>
      <c r="M63" s="52">
        <v>0.05</v>
      </c>
      <c r="N63" s="46">
        <v>20</v>
      </c>
      <c r="O63" s="50" t="s">
        <v>20</v>
      </c>
      <c r="P63" s="46">
        <f>(C63+(E63*F63*H63))-N63</f>
        <v>47</v>
      </c>
      <c r="Q63" s="50" t="s">
        <v>20</v>
      </c>
      <c r="R63" s="51">
        <f>P63*(J63-(J63*L63)-((J63-(J63*L63))*M63))</f>
        <v>1523681.25</v>
      </c>
      <c r="S63" s="32">
        <f t="shared" si="2"/>
        <v>1372685.8108108107</v>
      </c>
    </row>
    <row r="64" spans="1:19" s="17" customFormat="1">
      <c r="A64" s="16" t="s">
        <v>72</v>
      </c>
      <c r="B64" s="17" t="s">
        <v>49</v>
      </c>
      <c r="C64" s="18"/>
      <c r="D64" s="19" t="s">
        <v>20</v>
      </c>
      <c r="E64" s="20"/>
      <c r="F64" s="21">
        <v>6</v>
      </c>
      <c r="G64" s="22" t="s">
        <v>34</v>
      </c>
      <c r="H64" s="21">
        <v>10</v>
      </c>
      <c r="I64" s="22" t="s">
        <v>20</v>
      </c>
      <c r="J64" s="23">
        <v>63000</v>
      </c>
      <c r="K64" s="19" t="s">
        <v>20</v>
      </c>
      <c r="L64" s="24">
        <v>0.125</v>
      </c>
      <c r="M64" s="24">
        <v>0.05</v>
      </c>
      <c r="N64" s="18"/>
      <c r="O64" s="22" t="s">
        <v>20</v>
      </c>
      <c r="P64" s="18">
        <f t="shared" si="17"/>
        <v>0</v>
      </c>
      <c r="Q64" s="22" t="s">
        <v>20</v>
      </c>
      <c r="R64" s="23">
        <f t="shared" si="18"/>
        <v>0</v>
      </c>
      <c r="S64" s="23">
        <f t="shared" si="2"/>
        <v>0</v>
      </c>
    </row>
    <row r="65" spans="1:19" s="45" customFormat="1">
      <c r="A65" s="44" t="s">
        <v>73</v>
      </c>
      <c r="B65" s="45" t="s">
        <v>49</v>
      </c>
      <c r="C65" s="46">
        <v>457</v>
      </c>
      <c r="D65" s="47" t="s">
        <v>20</v>
      </c>
      <c r="E65" s="48"/>
      <c r="F65" s="49">
        <v>4</v>
      </c>
      <c r="G65" s="50" t="s">
        <v>34</v>
      </c>
      <c r="H65" s="49">
        <v>40</v>
      </c>
      <c r="I65" s="50" t="s">
        <v>20</v>
      </c>
      <c r="J65" s="51">
        <v>26000</v>
      </c>
      <c r="K65" s="47" t="s">
        <v>20</v>
      </c>
      <c r="L65" s="52">
        <v>0.125</v>
      </c>
      <c r="M65" s="52">
        <v>0.1</v>
      </c>
      <c r="N65" s="46">
        <v>6</v>
      </c>
      <c r="O65" s="50" t="s">
        <v>20</v>
      </c>
      <c r="P65" s="46">
        <f t="shared" si="17"/>
        <v>451</v>
      </c>
      <c r="Q65" s="50" t="s">
        <v>20</v>
      </c>
      <c r="R65" s="51">
        <f t="shared" si="18"/>
        <v>9234225</v>
      </c>
      <c r="S65" s="32">
        <f t="shared" si="2"/>
        <v>8319121.6216216208</v>
      </c>
    </row>
    <row r="66" spans="1:19">
      <c r="S66" s="23"/>
    </row>
    <row r="67" spans="1:19" ht="15.75">
      <c r="A67" s="14" t="s">
        <v>74</v>
      </c>
      <c r="S67" s="23">
        <f t="shared" si="2"/>
        <v>0</v>
      </c>
    </row>
    <row r="68" spans="1:19" s="17" customFormat="1">
      <c r="A68" s="16" t="s">
        <v>75</v>
      </c>
      <c r="B68" s="17" t="s">
        <v>19</v>
      </c>
      <c r="C68" s="18"/>
      <c r="D68" s="19" t="s">
        <v>20</v>
      </c>
      <c r="E68" s="20"/>
      <c r="F68" s="21">
        <v>1</v>
      </c>
      <c r="G68" s="22" t="s">
        <v>21</v>
      </c>
      <c r="H68" s="21">
        <v>6</v>
      </c>
      <c r="I68" s="22" t="s">
        <v>20</v>
      </c>
      <c r="J68" s="23">
        <v>390000</v>
      </c>
      <c r="K68" s="19" t="s">
        <v>20</v>
      </c>
      <c r="L68" s="24">
        <v>0.125</v>
      </c>
      <c r="M68" s="24">
        <v>0.05</v>
      </c>
      <c r="N68" s="18"/>
      <c r="O68" s="22" t="s">
        <v>20</v>
      </c>
      <c r="P68" s="18">
        <f>(C68+(E68*F68*H68))-N68</f>
        <v>0</v>
      </c>
      <c r="Q68" s="22" t="s">
        <v>20</v>
      </c>
      <c r="R68" s="23">
        <f>P68*(J68-(J68*L68)-((J68-(J68*L68))*M68))</f>
        <v>0</v>
      </c>
      <c r="S68" s="23">
        <f t="shared" si="2"/>
        <v>0</v>
      </c>
    </row>
    <row r="69" spans="1:19" s="17" customFormat="1">
      <c r="A69" s="16" t="s">
        <v>76</v>
      </c>
      <c r="B69" s="17" t="s">
        <v>19</v>
      </c>
      <c r="C69" s="18"/>
      <c r="D69" s="19" t="s">
        <v>20</v>
      </c>
      <c r="E69" s="20"/>
      <c r="F69" s="21">
        <v>1</v>
      </c>
      <c r="G69" s="22" t="s">
        <v>21</v>
      </c>
      <c r="H69" s="21">
        <v>6</v>
      </c>
      <c r="I69" s="22" t="s">
        <v>20</v>
      </c>
      <c r="J69" s="23">
        <v>500000</v>
      </c>
      <c r="K69" s="19" t="s">
        <v>20</v>
      </c>
      <c r="L69" s="24">
        <v>0.125</v>
      </c>
      <c r="M69" s="24">
        <v>0.05</v>
      </c>
      <c r="N69" s="18"/>
      <c r="O69" s="22" t="s">
        <v>20</v>
      </c>
      <c r="P69" s="18">
        <f>(C69+(E69*F69*H69))-N69</f>
        <v>0</v>
      </c>
      <c r="Q69" s="22" t="s">
        <v>20</v>
      </c>
      <c r="R69" s="23">
        <f>P69*(J69-(J69*L69)-((J69-(J69*L69))*M69))</f>
        <v>0</v>
      </c>
      <c r="S69" s="23">
        <f t="shared" si="2"/>
        <v>0</v>
      </c>
    </row>
    <row r="70" spans="1:19">
      <c r="S70" s="23"/>
    </row>
    <row r="71" spans="1:19" ht="15.75">
      <c r="A71" s="14" t="s">
        <v>77</v>
      </c>
      <c r="S71" s="23"/>
    </row>
    <row r="72" spans="1:19">
      <c r="A72" s="15" t="s">
        <v>78</v>
      </c>
      <c r="S72" s="23"/>
    </row>
    <row r="73" spans="1:19" s="45" customFormat="1">
      <c r="A73" s="229" t="s">
        <v>79</v>
      </c>
      <c r="B73" s="45" t="s">
        <v>19</v>
      </c>
      <c r="C73" s="46"/>
      <c r="D73" s="47" t="s">
        <v>80</v>
      </c>
      <c r="E73" s="48">
        <v>4</v>
      </c>
      <c r="F73" s="49">
        <v>1</v>
      </c>
      <c r="G73" s="50" t="s">
        <v>21</v>
      </c>
      <c r="H73" s="49">
        <v>48</v>
      </c>
      <c r="I73" s="50" t="s">
        <v>80</v>
      </c>
      <c r="J73" s="51">
        <v>14500</v>
      </c>
      <c r="K73" s="47" t="s">
        <v>80</v>
      </c>
      <c r="L73" s="52">
        <v>0.125</v>
      </c>
      <c r="M73" s="52">
        <v>0.05</v>
      </c>
      <c r="N73" s="46"/>
      <c r="O73" s="50" t="s">
        <v>80</v>
      </c>
      <c r="P73" s="46">
        <f t="shared" ref="P73:P97" si="22">(C73+(E73*F73*H73))-N73</f>
        <v>192</v>
      </c>
      <c r="Q73" s="50" t="s">
        <v>80</v>
      </c>
      <c r="R73" s="51">
        <f t="shared" ref="R73:R97" si="23">P73*(J73-(J73*L73)-((J73-(J73*L73))*M73))</f>
        <v>2314200</v>
      </c>
      <c r="S73" s="32">
        <f t="shared" si="2"/>
        <v>2084864.8648648646</v>
      </c>
    </row>
    <row r="74" spans="1:19" s="63" customFormat="1">
      <c r="A74" s="62" t="s">
        <v>81</v>
      </c>
      <c r="B74" s="63" t="s">
        <v>19</v>
      </c>
      <c r="C74" s="64"/>
      <c r="D74" s="65" t="s">
        <v>80</v>
      </c>
      <c r="E74" s="66"/>
      <c r="F74" s="67">
        <v>1</v>
      </c>
      <c r="G74" s="68" t="s">
        <v>21</v>
      </c>
      <c r="H74" s="67">
        <v>96</v>
      </c>
      <c r="I74" s="68" t="s">
        <v>80</v>
      </c>
      <c r="J74" s="69">
        <v>12000</v>
      </c>
      <c r="K74" s="65" t="s">
        <v>80</v>
      </c>
      <c r="L74" s="70">
        <v>0.125</v>
      </c>
      <c r="M74" s="70">
        <v>0.05</v>
      </c>
      <c r="N74" s="64"/>
      <c r="O74" s="68" t="s">
        <v>80</v>
      </c>
      <c r="P74" s="64">
        <f t="shared" si="22"/>
        <v>0</v>
      </c>
      <c r="Q74" s="68" t="s">
        <v>80</v>
      </c>
      <c r="R74" s="69">
        <f t="shared" si="23"/>
        <v>0</v>
      </c>
      <c r="S74" s="23">
        <f t="shared" si="2"/>
        <v>0</v>
      </c>
    </row>
    <row r="75" spans="1:19" s="63" customFormat="1">
      <c r="A75" s="62" t="s">
        <v>82</v>
      </c>
      <c r="B75" s="63" t="s">
        <v>19</v>
      </c>
      <c r="C75" s="64"/>
      <c r="D75" s="65" t="s">
        <v>80</v>
      </c>
      <c r="E75" s="66"/>
      <c r="F75" s="67">
        <v>1</v>
      </c>
      <c r="G75" s="68" t="s">
        <v>21</v>
      </c>
      <c r="H75" s="67">
        <v>48</v>
      </c>
      <c r="I75" s="68" t="s">
        <v>80</v>
      </c>
      <c r="J75" s="69">
        <v>19500</v>
      </c>
      <c r="K75" s="65" t="s">
        <v>80</v>
      </c>
      <c r="L75" s="70">
        <v>0.125</v>
      </c>
      <c r="M75" s="70">
        <v>0.05</v>
      </c>
      <c r="N75" s="64"/>
      <c r="O75" s="68" t="s">
        <v>80</v>
      </c>
      <c r="P75" s="64">
        <f t="shared" si="22"/>
        <v>0</v>
      </c>
      <c r="Q75" s="68" t="s">
        <v>80</v>
      </c>
      <c r="R75" s="69">
        <f t="shared" si="23"/>
        <v>0</v>
      </c>
      <c r="S75" s="23">
        <f t="shared" si="2"/>
        <v>0</v>
      </c>
    </row>
    <row r="76" spans="1:19" s="63" customFormat="1">
      <c r="A76" s="62" t="s">
        <v>83</v>
      </c>
      <c r="B76" s="63" t="s">
        <v>19</v>
      </c>
      <c r="C76" s="64"/>
      <c r="D76" s="65" t="s">
        <v>80</v>
      </c>
      <c r="E76" s="66"/>
      <c r="F76" s="67">
        <v>1</v>
      </c>
      <c r="G76" s="68" t="s">
        <v>21</v>
      </c>
      <c r="H76" s="67">
        <v>48</v>
      </c>
      <c r="I76" s="68" t="s">
        <v>80</v>
      </c>
      <c r="J76" s="69">
        <v>14800</v>
      </c>
      <c r="K76" s="65" t="s">
        <v>80</v>
      </c>
      <c r="L76" s="70">
        <v>0.125</v>
      </c>
      <c r="M76" s="70">
        <v>0.05</v>
      </c>
      <c r="N76" s="64"/>
      <c r="O76" s="68" t="s">
        <v>80</v>
      </c>
      <c r="P76" s="64">
        <f t="shared" si="22"/>
        <v>0</v>
      </c>
      <c r="Q76" s="68" t="s">
        <v>80</v>
      </c>
      <c r="R76" s="69">
        <f t="shared" si="23"/>
        <v>0</v>
      </c>
      <c r="S76" s="23">
        <f t="shared" si="2"/>
        <v>0</v>
      </c>
    </row>
    <row r="77" spans="1:19" s="63" customFormat="1">
      <c r="A77" s="71" t="s">
        <v>84</v>
      </c>
      <c r="B77" s="63" t="s">
        <v>19</v>
      </c>
      <c r="C77" s="64"/>
      <c r="D77" s="65" t="s">
        <v>80</v>
      </c>
      <c r="E77" s="66"/>
      <c r="F77" s="67">
        <v>1</v>
      </c>
      <c r="G77" s="68" t="s">
        <v>21</v>
      </c>
      <c r="H77" s="67">
        <v>24</v>
      </c>
      <c r="I77" s="68" t="s">
        <v>80</v>
      </c>
      <c r="J77" s="69">
        <v>25200</v>
      </c>
      <c r="K77" s="65" t="s">
        <v>80</v>
      </c>
      <c r="L77" s="70">
        <v>0.125</v>
      </c>
      <c r="M77" s="70">
        <v>0.05</v>
      </c>
      <c r="N77" s="64"/>
      <c r="O77" s="68" t="s">
        <v>80</v>
      </c>
      <c r="P77" s="64">
        <f t="shared" si="22"/>
        <v>0</v>
      </c>
      <c r="Q77" s="68" t="s">
        <v>80</v>
      </c>
      <c r="R77" s="69">
        <f t="shared" si="23"/>
        <v>0</v>
      </c>
      <c r="S77" s="23">
        <f t="shared" si="2"/>
        <v>0</v>
      </c>
    </row>
    <row r="78" spans="1:19" s="63" customFormat="1">
      <c r="A78" s="71" t="s">
        <v>85</v>
      </c>
      <c r="B78" s="63" t="s">
        <v>19</v>
      </c>
      <c r="C78" s="64"/>
      <c r="D78" s="65" t="s">
        <v>80</v>
      </c>
      <c r="E78" s="66"/>
      <c r="F78" s="67">
        <v>1</v>
      </c>
      <c r="G78" s="68" t="s">
        <v>21</v>
      </c>
      <c r="H78" s="67">
        <v>24</v>
      </c>
      <c r="I78" s="68" t="s">
        <v>80</v>
      </c>
      <c r="J78" s="69">
        <v>20200</v>
      </c>
      <c r="K78" s="65" t="s">
        <v>80</v>
      </c>
      <c r="L78" s="70">
        <v>0.125</v>
      </c>
      <c r="M78" s="70">
        <v>0.05</v>
      </c>
      <c r="N78" s="64"/>
      <c r="O78" s="68" t="s">
        <v>80</v>
      </c>
      <c r="P78" s="64">
        <f t="shared" si="22"/>
        <v>0</v>
      </c>
      <c r="Q78" s="68" t="s">
        <v>80</v>
      </c>
      <c r="R78" s="69">
        <f t="shared" si="23"/>
        <v>0</v>
      </c>
      <c r="S78" s="69">
        <f t="shared" si="2"/>
        <v>0</v>
      </c>
    </row>
    <row r="79" spans="1:19" s="63" customFormat="1">
      <c r="A79" s="62" t="s">
        <v>86</v>
      </c>
      <c r="B79" s="63" t="s">
        <v>19</v>
      </c>
      <c r="C79" s="64"/>
      <c r="D79" s="65" t="s">
        <v>80</v>
      </c>
      <c r="E79" s="66"/>
      <c r="F79" s="67">
        <v>1</v>
      </c>
      <c r="G79" s="68" t="s">
        <v>21</v>
      </c>
      <c r="H79" s="67">
        <v>96</v>
      </c>
      <c r="I79" s="68" t="s">
        <v>80</v>
      </c>
      <c r="J79" s="69">
        <v>33000</v>
      </c>
      <c r="K79" s="65" t="s">
        <v>80</v>
      </c>
      <c r="L79" s="70">
        <v>0.125</v>
      </c>
      <c r="M79" s="70">
        <v>0.05</v>
      </c>
      <c r="N79" s="64"/>
      <c r="O79" s="68" t="s">
        <v>80</v>
      </c>
      <c r="P79" s="64">
        <f t="shared" si="22"/>
        <v>0</v>
      </c>
      <c r="Q79" s="68" t="s">
        <v>80</v>
      </c>
      <c r="R79" s="69">
        <f t="shared" si="23"/>
        <v>0</v>
      </c>
      <c r="S79" s="23">
        <f t="shared" ref="S79:S156" si="24">R79/1.11</f>
        <v>0</v>
      </c>
    </row>
    <row r="80" spans="1:19" s="45" customFormat="1">
      <c r="A80" s="44" t="s">
        <v>87</v>
      </c>
      <c r="B80" s="45" t="s">
        <v>19</v>
      </c>
      <c r="C80" s="46">
        <v>32</v>
      </c>
      <c r="D80" s="47" t="s">
        <v>88</v>
      </c>
      <c r="E80" s="48"/>
      <c r="F80" s="49">
        <v>1</v>
      </c>
      <c r="G80" s="50" t="s">
        <v>21</v>
      </c>
      <c r="H80" s="49">
        <v>60</v>
      </c>
      <c r="I80" s="50" t="s">
        <v>88</v>
      </c>
      <c r="J80" s="51">
        <v>27600</v>
      </c>
      <c r="K80" s="47" t="s">
        <v>88</v>
      </c>
      <c r="L80" s="52">
        <v>0.125</v>
      </c>
      <c r="M80" s="52">
        <v>0.05</v>
      </c>
      <c r="N80" s="46">
        <v>2</v>
      </c>
      <c r="O80" s="50" t="s">
        <v>88</v>
      </c>
      <c r="P80" s="46">
        <f t="shared" si="22"/>
        <v>30</v>
      </c>
      <c r="Q80" s="50" t="s">
        <v>88</v>
      </c>
      <c r="R80" s="51">
        <f t="shared" si="23"/>
        <v>688275</v>
      </c>
      <c r="S80" s="32">
        <f t="shared" si="24"/>
        <v>620067.56756756746</v>
      </c>
    </row>
    <row r="81" spans="1:19" s="63" customFormat="1">
      <c r="A81" s="72" t="s">
        <v>89</v>
      </c>
      <c r="B81" s="63" t="s">
        <v>19</v>
      </c>
      <c r="C81" s="64">
        <v>55</v>
      </c>
      <c r="D81" s="65" t="s">
        <v>88</v>
      </c>
      <c r="E81" s="66"/>
      <c r="F81" s="67">
        <v>1</v>
      </c>
      <c r="G81" s="68" t="s">
        <v>21</v>
      </c>
      <c r="H81" s="67">
        <v>50</v>
      </c>
      <c r="I81" s="68" t="s">
        <v>88</v>
      </c>
      <c r="J81" s="69">
        <v>30900</v>
      </c>
      <c r="K81" s="65" t="s">
        <v>88</v>
      </c>
      <c r="L81" s="70">
        <v>0.125</v>
      </c>
      <c r="M81" s="70">
        <v>0.05</v>
      </c>
      <c r="N81" s="64">
        <f>5+50</f>
        <v>55</v>
      </c>
      <c r="O81" s="68" t="s">
        <v>88</v>
      </c>
      <c r="P81" s="64">
        <f t="shared" si="22"/>
        <v>0</v>
      </c>
      <c r="Q81" s="68" t="s">
        <v>88</v>
      </c>
      <c r="R81" s="69">
        <f t="shared" si="23"/>
        <v>0</v>
      </c>
      <c r="S81" s="23">
        <f t="shared" si="24"/>
        <v>0</v>
      </c>
    </row>
    <row r="82" spans="1:19" s="45" customFormat="1">
      <c r="A82" s="44" t="s">
        <v>90</v>
      </c>
      <c r="B82" s="45" t="s">
        <v>19</v>
      </c>
      <c r="C82" s="46"/>
      <c r="D82" s="47" t="s">
        <v>88</v>
      </c>
      <c r="E82" s="48">
        <v>2</v>
      </c>
      <c r="F82" s="49">
        <v>1</v>
      </c>
      <c r="G82" s="50" t="s">
        <v>21</v>
      </c>
      <c r="H82" s="49">
        <v>30</v>
      </c>
      <c r="I82" s="50" t="s">
        <v>88</v>
      </c>
      <c r="J82" s="51">
        <v>48600</v>
      </c>
      <c r="K82" s="47" t="s">
        <v>88</v>
      </c>
      <c r="L82" s="52">
        <v>0.125</v>
      </c>
      <c r="M82" s="52">
        <v>0.05</v>
      </c>
      <c r="N82" s="46">
        <v>30</v>
      </c>
      <c r="O82" s="50" t="s">
        <v>88</v>
      </c>
      <c r="P82" s="46">
        <f t="shared" si="22"/>
        <v>30</v>
      </c>
      <c r="Q82" s="50" t="s">
        <v>88</v>
      </c>
      <c r="R82" s="51">
        <f t="shared" si="23"/>
        <v>1211962.5</v>
      </c>
      <c r="S82" s="32">
        <f t="shared" si="24"/>
        <v>1091858.1081081079</v>
      </c>
    </row>
    <row r="83" spans="1:19" s="45" customFormat="1">
      <c r="A83" s="44" t="s">
        <v>91</v>
      </c>
      <c r="B83" s="45" t="s">
        <v>19</v>
      </c>
      <c r="C83" s="46"/>
      <c r="D83" s="47" t="s">
        <v>88</v>
      </c>
      <c r="E83" s="48">
        <v>2</v>
      </c>
      <c r="F83" s="49">
        <v>1</v>
      </c>
      <c r="G83" s="50" t="s">
        <v>21</v>
      </c>
      <c r="H83" s="49">
        <v>20</v>
      </c>
      <c r="I83" s="50" t="s">
        <v>88</v>
      </c>
      <c r="J83" s="51">
        <v>67800</v>
      </c>
      <c r="K83" s="47" t="s">
        <v>88</v>
      </c>
      <c r="L83" s="52">
        <v>0.125</v>
      </c>
      <c r="M83" s="52">
        <v>0.05</v>
      </c>
      <c r="N83" s="46">
        <v>20</v>
      </c>
      <c r="O83" s="50" t="s">
        <v>88</v>
      </c>
      <c r="P83" s="46">
        <f t="shared" si="22"/>
        <v>20</v>
      </c>
      <c r="Q83" s="50" t="s">
        <v>88</v>
      </c>
      <c r="R83" s="51">
        <f t="shared" si="23"/>
        <v>1127175</v>
      </c>
      <c r="S83" s="32">
        <f t="shared" si="24"/>
        <v>1015472.9729729729</v>
      </c>
    </row>
    <row r="84" spans="1:19" s="63" customFormat="1">
      <c r="A84" s="233" t="s">
        <v>92</v>
      </c>
      <c r="B84" s="234" t="s">
        <v>19</v>
      </c>
      <c r="C84" s="235">
        <f>17+15</f>
        <v>32</v>
      </c>
      <c r="D84" s="236" t="s">
        <v>88</v>
      </c>
      <c r="E84" s="237"/>
      <c r="F84" s="238">
        <v>1</v>
      </c>
      <c r="G84" s="239" t="s">
        <v>21</v>
      </c>
      <c r="H84" s="238">
        <v>10</v>
      </c>
      <c r="I84" s="239" t="s">
        <v>88</v>
      </c>
      <c r="J84" s="240">
        <v>113700</v>
      </c>
      <c r="K84" s="236" t="s">
        <v>88</v>
      </c>
      <c r="L84" s="241">
        <v>0.125</v>
      </c>
      <c r="M84" s="241">
        <v>0.05</v>
      </c>
      <c r="N84" s="235">
        <f>10+10-1+3+10</f>
        <v>32</v>
      </c>
      <c r="O84" s="239" t="s">
        <v>88</v>
      </c>
      <c r="P84" s="235">
        <f t="shared" si="22"/>
        <v>0</v>
      </c>
      <c r="Q84" s="239" t="s">
        <v>88</v>
      </c>
      <c r="R84" s="240">
        <f t="shared" si="23"/>
        <v>0</v>
      </c>
      <c r="S84" s="240">
        <f t="shared" si="24"/>
        <v>0</v>
      </c>
    </row>
    <row r="85" spans="1:19" s="63" customFormat="1">
      <c r="A85" s="233" t="s">
        <v>92</v>
      </c>
      <c r="B85" s="234" t="s">
        <v>19</v>
      </c>
      <c r="C85" s="235">
        <v>9</v>
      </c>
      <c r="D85" s="236" t="s">
        <v>43</v>
      </c>
      <c r="E85" s="237"/>
      <c r="F85" s="238">
        <v>10</v>
      </c>
      <c r="G85" s="239" t="s">
        <v>88</v>
      </c>
      <c r="H85" s="238">
        <v>12</v>
      </c>
      <c r="I85" s="239" t="s">
        <v>43</v>
      </c>
      <c r="J85" s="240">
        <f>113700/12</f>
        <v>9475</v>
      </c>
      <c r="K85" s="236" t="s">
        <v>43</v>
      </c>
      <c r="L85" s="241">
        <v>0.125</v>
      </c>
      <c r="M85" s="241">
        <v>0.05</v>
      </c>
      <c r="N85" s="235">
        <f>12-3</f>
        <v>9</v>
      </c>
      <c r="O85" s="239" t="s">
        <v>43</v>
      </c>
      <c r="P85" s="235">
        <f t="shared" si="22"/>
        <v>0</v>
      </c>
      <c r="Q85" s="239" t="s">
        <v>43</v>
      </c>
      <c r="R85" s="240">
        <f t="shared" si="23"/>
        <v>0</v>
      </c>
      <c r="S85" s="240">
        <f t="shared" si="24"/>
        <v>0</v>
      </c>
    </row>
    <row r="86" spans="1:19" s="63" customFormat="1">
      <c r="A86" s="95" t="s">
        <v>93</v>
      </c>
      <c r="B86" s="96" t="s">
        <v>19</v>
      </c>
      <c r="C86" s="97">
        <v>1</v>
      </c>
      <c r="D86" s="98" t="s">
        <v>88</v>
      </c>
      <c r="E86" s="105"/>
      <c r="F86" s="100">
        <v>1</v>
      </c>
      <c r="G86" s="101" t="s">
        <v>21</v>
      </c>
      <c r="H86" s="100">
        <v>5</v>
      </c>
      <c r="I86" s="101" t="s">
        <v>88</v>
      </c>
      <c r="J86" s="102">
        <v>174000</v>
      </c>
      <c r="K86" s="98" t="s">
        <v>88</v>
      </c>
      <c r="L86" s="103">
        <v>0.125</v>
      </c>
      <c r="M86" s="103">
        <v>0.05</v>
      </c>
      <c r="N86" s="97">
        <f>10-9</f>
        <v>1</v>
      </c>
      <c r="O86" s="101" t="s">
        <v>88</v>
      </c>
      <c r="P86" s="97">
        <f t="shared" si="22"/>
        <v>0</v>
      </c>
      <c r="Q86" s="101" t="s">
        <v>88</v>
      </c>
      <c r="R86" s="102">
        <f t="shared" si="23"/>
        <v>0</v>
      </c>
      <c r="S86" s="102">
        <f t="shared" si="24"/>
        <v>0</v>
      </c>
    </row>
    <row r="87" spans="1:19" s="63" customFormat="1">
      <c r="A87" s="95" t="s">
        <v>93</v>
      </c>
      <c r="B87" s="96" t="s">
        <v>19</v>
      </c>
      <c r="C87" s="97">
        <v>1</v>
      </c>
      <c r="D87" s="98" t="s">
        <v>43</v>
      </c>
      <c r="E87" s="105"/>
      <c r="F87" s="100">
        <v>5</v>
      </c>
      <c r="G87" s="101" t="s">
        <v>88</v>
      </c>
      <c r="H87" s="100">
        <v>12</v>
      </c>
      <c r="I87" s="101" t="s">
        <v>43</v>
      </c>
      <c r="J87" s="102">
        <f>174000/12</f>
        <v>14500</v>
      </c>
      <c r="K87" s="98" t="s">
        <v>43</v>
      </c>
      <c r="L87" s="103">
        <v>0.125</v>
      </c>
      <c r="M87" s="103">
        <v>0.05</v>
      </c>
      <c r="N87" s="97">
        <v>1</v>
      </c>
      <c r="O87" s="101" t="s">
        <v>43</v>
      </c>
      <c r="P87" s="97">
        <f t="shared" si="22"/>
        <v>0</v>
      </c>
      <c r="Q87" s="101" t="s">
        <v>43</v>
      </c>
      <c r="R87" s="102">
        <f t="shared" si="23"/>
        <v>0</v>
      </c>
      <c r="S87" s="102">
        <f t="shared" si="24"/>
        <v>0</v>
      </c>
    </row>
    <row r="88" spans="1:19" s="63" customFormat="1">
      <c r="A88" s="95" t="s">
        <v>93</v>
      </c>
      <c r="B88" s="96" t="s">
        <v>19</v>
      </c>
      <c r="C88" s="97"/>
      <c r="D88" s="98" t="s">
        <v>88</v>
      </c>
      <c r="E88" s="105">
        <f>2+2</f>
        <v>4</v>
      </c>
      <c r="F88" s="100">
        <v>1</v>
      </c>
      <c r="G88" s="101" t="s">
        <v>21</v>
      </c>
      <c r="H88" s="100">
        <v>5</v>
      </c>
      <c r="I88" s="101" t="s">
        <v>88</v>
      </c>
      <c r="J88" s="102">
        <v>177000</v>
      </c>
      <c r="K88" s="98" t="s">
        <v>88</v>
      </c>
      <c r="L88" s="103">
        <v>0.125</v>
      </c>
      <c r="M88" s="103">
        <v>0.05</v>
      </c>
      <c r="N88" s="97">
        <f>(10-1)+5+5+1</f>
        <v>20</v>
      </c>
      <c r="O88" s="101" t="s">
        <v>88</v>
      </c>
      <c r="P88" s="97">
        <f t="shared" ref="P88" si="25">(C88+(E88*F88*H88))-N88</f>
        <v>0</v>
      </c>
      <c r="Q88" s="101" t="s">
        <v>88</v>
      </c>
      <c r="R88" s="102">
        <f t="shared" ref="R88" si="26">P88*(J88-(J88*L88)-((J88-(J88*L88))*M88))</f>
        <v>0</v>
      </c>
      <c r="S88" s="102">
        <f t="shared" ref="S88" si="27">R88/1.11</f>
        <v>0</v>
      </c>
    </row>
    <row r="89" spans="1:19" s="63" customFormat="1">
      <c r="A89" s="72" t="s">
        <v>94</v>
      </c>
      <c r="B89" s="63" t="s">
        <v>19</v>
      </c>
      <c r="C89" s="64">
        <f>12+8</f>
        <v>20</v>
      </c>
      <c r="D89" s="65" t="s">
        <v>43</v>
      </c>
      <c r="E89" s="66"/>
      <c r="F89" s="67">
        <v>3</v>
      </c>
      <c r="G89" s="68" t="s">
        <v>88</v>
      </c>
      <c r="H89" s="67">
        <v>12</v>
      </c>
      <c r="I89" s="68" t="s">
        <v>43</v>
      </c>
      <c r="J89" s="69">
        <f>507600/12</f>
        <v>42300</v>
      </c>
      <c r="K89" s="65" t="s">
        <v>43</v>
      </c>
      <c r="L89" s="70">
        <v>0.125</v>
      </c>
      <c r="M89" s="70">
        <v>0.05</v>
      </c>
      <c r="N89" s="64">
        <v>20</v>
      </c>
      <c r="O89" s="68" t="s">
        <v>43</v>
      </c>
      <c r="P89" s="64">
        <f t="shared" si="22"/>
        <v>0</v>
      </c>
      <c r="Q89" s="68" t="s">
        <v>43</v>
      </c>
      <c r="R89" s="69">
        <f t="shared" si="23"/>
        <v>0</v>
      </c>
      <c r="S89" s="23">
        <f t="shared" si="24"/>
        <v>0</v>
      </c>
    </row>
    <row r="90" spans="1:19" s="26" customFormat="1">
      <c r="A90" s="25" t="s">
        <v>95</v>
      </c>
      <c r="B90" s="26" t="s">
        <v>26</v>
      </c>
      <c r="C90" s="27">
        <v>44</v>
      </c>
      <c r="D90" s="28" t="s">
        <v>88</v>
      </c>
      <c r="E90" s="29">
        <v>2</v>
      </c>
      <c r="F90" s="30">
        <v>1</v>
      </c>
      <c r="G90" s="31" t="s">
        <v>21</v>
      </c>
      <c r="H90" s="30">
        <v>50</v>
      </c>
      <c r="I90" s="31" t="s">
        <v>88</v>
      </c>
      <c r="J90" s="32">
        <f>1440000/50</f>
        <v>28800</v>
      </c>
      <c r="K90" s="28" t="s">
        <v>88</v>
      </c>
      <c r="L90" s="33"/>
      <c r="M90" s="33">
        <v>0.17</v>
      </c>
      <c r="N90" s="27">
        <f>50+50</f>
        <v>100</v>
      </c>
      <c r="O90" s="31" t="s">
        <v>88</v>
      </c>
      <c r="P90" s="27">
        <f t="shared" si="22"/>
        <v>44</v>
      </c>
      <c r="Q90" s="31" t="s">
        <v>88</v>
      </c>
      <c r="R90" s="32">
        <f t="shared" si="23"/>
        <v>1051776</v>
      </c>
      <c r="S90" s="32">
        <f t="shared" si="24"/>
        <v>947545.94594594592</v>
      </c>
    </row>
    <row r="91" spans="1:19" s="26" customFormat="1">
      <c r="A91" s="25" t="s">
        <v>96</v>
      </c>
      <c r="B91" s="26" t="s">
        <v>26</v>
      </c>
      <c r="C91" s="27">
        <v>71</v>
      </c>
      <c r="D91" s="28" t="s">
        <v>88</v>
      </c>
      <c r="E91" s="29">
        <v>2</v>
      </c>
      <c r="F91" s="30">
        <v>1</v>
      </c>
      <c r="G91" s="31" t="s">
        <v>21</v>
      </c>
      <c r="H91" s="30">
        <v>50</v>
      </c>
      <c r="I91" s="31" t="s">
        <v>88</v>
      </c>
      <c r="J91" s="32">
        <f>1590000/50</f>
        <v>31800</v>
      </c>
      <c r="K91" s="28" t="s">
        <v>88</v>
      </c>
      <c r="L91" s="33"/>
      <c r="M91" s="33">
        <v>0.17</v>
      </c>
      <c r="N91" s="27">
        <f>5+50+3+25</f>
        <v>83</v>
      </c>
      <c r="O91" s="31" t="s">
        <v>88</v>
      </c>
      <c r="P91" s="27">
        <f t="shared" si="22"/>
        <v>88</v>
      </c>
      <c r="Q91" s="31" t="s">
        <v>88</v>
      </c>
      <c r="R91" s="32">
        <f t="shared" si="23"/>
        <v>2322672</v>
      </c>
      <c r="S91" s="32">
        <f t="shared" si="24"/>
        <v>2092497.297297297</v>
      </c>
    </row>
    <row r="92" spans="1:19">
      <c r="A92" s="34" t="s">
        <v>97</v>
      </c>
      <c r="B92" s="2" t="s">
        <v>26</v>
      </c>
      <c r="C92" s="3">
        <v>22</v>
      </c>
      <c r="D92" s="4" t="s">
        <v>88</v>
      </c>
      <c r="E92" s="5">
        <f>2+1</f>
        <v>3</v>
      </c>
      <c r="F92" s="6">
        <v>1</v>
      </c>
      <c r="G92" s="7" t="s">
        <v>21</v>
      </c>
      <c r="H92" s="6">
        <v>30</v>
      </c>
      <c r="I92" s="7" t="s">
        <v>88</v>
      </c>
      <c r="J92" s="8">
        <f>1476000/30</f>
        <v>49200</v>
      </c>
      <c r="K92" s="4" t="s">
        <v>88</v>
      </c>
      <c r="M92" s="9">
        <v>0.17</v>
      </c>
      <c r="N92" s="3">
        <f>1+2+30+30+3+30+3</f>
        <v>99</v>
      </c>
      <c r="O92" s="7" t="s">
        <v>88</v>
      </c>
      <c r="P92" s="3">
        <f t="shared" si="22"/>
        <v>13</v>
      </c>
      <c r="Q92" s="7" t="s">
        <v>88</v>
      </c>
      <c r="R92" s="8">
        <f t="shared" si="23"/>
        <v>530868</v>
      </c>
      <c r="S92" s="32">
        <f t="shared" si="24"/>
        <v>478259.45945945941</v>
      </c>
    </row>
    <row r="93" spans="1:19" s="45" customFormat="1">
      <c r="A93" s="53" t="s">
        <v>98</v>
      </c>
      <c r="B93" s="54" t="s">
        <v>26</v>
      </c>
      <c r="C93" s="55">
        <v>173</v>
      </c>
      <c r="D93" s="56" t="s">
        <v>88</v>
      </c>
      <c r="E93" s="57">
        <v>2</v>
      </c>
      <c r="F93" s="58">
        <v>1</v>
      </c>
      <c r="G93" s="59" t="s">
        <v>21</v>
      </c>
      <c r="H93" s="58">
        <v>20</v>
      </c>
      <c r="I93" s="59" t="s">
        <v>88</v>
      </c>
      <c r="J93" s="60">
        <f>1380000/20</f>
        <v>69000</v>
      </c>
      <c r="K93" s="56" t="s">
        <v>88</v>
      </c>
      <c r="L93" s="61"/>
      <c r="M93" s="61">
        <v>0.17</v>
      </c>
      <c r="N93" s="55">
        <f>2+40+20+4+20+10+20+57</f>
        <v>173</v>
      </c>
      <c r="O93" s="59" t="s">
        <v>88</v>
      </c>
      <c r="P93" s="55">
        <f t="shared" si="22"/>
        <v>40</v>
      </c>
      <c r="Q93" s="59" t="s">
        <v>88</v>
      </c>
      <c r="R93" s="60">
        <f t="shared" si="23"/>
        <v>2290800</v>
      </c>
      <c r="S93" s="60">
        <f t="shared" si="24"/>
        <v>2063783.7837837837</v>
      </c>
    </row>
    <row r="94" spans="1:19" s="63" customFormat="1">
      <c r="A94" s="73" t="s">
        <v>98</v>
      </c>
      <c r="B94" s="74" t="s">
        <v>26</v>
      </c>
      <c r="C94" s="75">
        <v>9</v>
      </c>
      <c r="D94" s="76" t="s">
        <v>43</v>
      </c>
      <c r="E94" s="77"/>
      <c r="F94" s="78">
        <v>20</v>
      </c>
      <c r="G94" s="79" t="s">
        <v>88</v>
      </c>
      <c r="H94" s="78">
        <v>12</v>
      </c>
      <c r="I94" s="79" t="s">
        <v>43</v>
      </c>
      <c r="J94" s="80">
        <f>1380000/20/12</f>
        <v>5750</v>
      </c>
      <c r="K94" s="76" t="s">
        <v>43</v>
      </c>
      <c r="L94" s="81"/>
      <c r="M94" s="81">
        <v>0.17</v>
      </c>
      <c r="N94" s="75">
        <v>9</v>
      </c>
      <c r="O94" s="79" t="s">
        <v>43</v>
      </c>
      <c r="P94" s="75">
        <f t="shared" si="22"/>
        <v>0</v>
      </c>
      <c r="Q94" s="79" t="s">
        <v>43</v>
      </c>
      <c r="R94" s="80">
        <f t="shared" si="23"/>
        <v>0</v>
      </c>
      <c r="S94" s="80">
        <f t="shared" si="24"/>
        <v>0</v>
      </c>
    </row>
    <row r="95" spans="1:19" s="45" customFormat="1">
      <c r="A95" s="44" t="s">
        <v>99</v>
      </c>
      <c r="B95" s="45" t="s">
        <v>26</v>
      </c>
      <c r="C95" s="46">
        <v>21</v>
      </c>
      <c r="D95" s="47" t="s">
        <v>88</v>
      </c>
      <c r="E95" s="48">
        <v>3</v>
      </c>
      <c r="F95" s="49">
        <v>1</v>
      </c>
      <c r="G95" s="50" t="s">
        <v>21</v>
      </c>
      <c r="H95" s="49">
        <v>10</v>
      </c>
      <c r="I95" s="50" t="s">
        <v>88</v>
      </c>
      <c r="J95" s="51">
        <f>1200000/10</f>
        <v>120000</v>
      </c>
      <c r="K95" s="47" t="s">
        <v>88</v>
      </c>
      <c r="L95" s="52"/>
      <c r="M95" s="52">
        <v>0.17</v>
      </c>
      <c r="N95" s="46">
        <f>10+10+1+10</f>
        <v>31</v>
      </c>
      <c r="O95" s="50" t="s">
        <v>88</v>
      </c>
      <c r="P95" s="46">
        <f t="shared" si="22"/>
        <v>20</v>
      </c>
      <c r="Q95" s="50" t="s">
        <v>88</v>
      </c>
      <c r="R95" s="51">
        <f t="shared" si="23"/>
        <v>1992000</v>
      </c>
      <c r="S95" s="51">
        <f t="shared" si="24"/>
        <v>1794594.5945945943</v>
      </c>
    </row>
    <row r="96" spans="1:19" s="63" customFormat="1">
      <c r="A96" s="72" t="s">
        <v>100</v>
      </c>
      <c r="B96" s="63" t="s">
        <v>26</v>
      </c>
      <c r="C96" s="64">
        <v>24</v>
      </c>
      <c r="D96" s="65" t="s">
        <v>88</v>
      </c>
      <c r="E96" s="66"/>
      <c r="F96" s="67">
        <v>1</v>
      </c>
      <c r="G96" s="68" t="s">
        <v>21</v>
      </c>
      <c r="H96" s="67">
        <v>5</v>
      </c>
      <c r="I96" s="68" t="s">
        <v>88</v>
      </c>
      <c r="J96" s="69">
        <f>900000/5</f>
        <v>180000</v>
      </c>
      <c r="K96" s="65" t="s">
        <v>88</v>
      </c>
      <c r="L96" s="70"/>
      <c r="M96" s="70">
        <v>0.17</v>
      </c>
      <c r="N96" s="64">
        <f>(60/12)+5+5+(60/12)+4</f>
        <v>24</v>
      </c>
      <c r="O96" s="68" t="s">
        <v>88</v>
      </c>
      <c r="P96" s="64">
        <f t="shared" si="22"/>
        <v>0</v>
      </c>
      <c r="Q96" s="68" t="s">
        <v>88</v>
      </c>
      <c r="R96" s="69">
        <f t="shared" si="23"/>
        <v>0</v>
      </c>
      <c r="S96" s="69">
        <f t="shared" si="24"/>
        <v>0</v>
      </c>
    </row>
    <row r="97" spans="1:19" s="17" customFormat="1">
      <c r="A97" s="16" t="s">
        <v>101</v>
      </c>
      <c r="B97" s="17" t="s">
        <v>26</v>
      </c>
      <c r="C97" s="18">
        <v>432</v>
      </c>
      <c r="D97" s="19" t="s">
        <v>20</v>
      </c>
      <c r="E97" s="20"/>
      <c r="F97" s="21">
        <v>72</v>
      </c>
      <c r="G97" s="22" t="s">
        <v>34</v>
      </c>
      <c r="H97" s="21">
        <v>6</v>
      </c>
      <c r="I97" s="22" t="s">
        <v>20</v>
      </c>
      <c r="J97" s="23">
        <f>1548000/72/6</f>
        <v>3583.3333333333335</v>
      </c>
      <c r="K97" s="19" t="s">
        <v>20</v>
      </c>
      <c r="L97" s="24"/>
      <c r="M97" s="24">
        <v>0.17</v>
      </c>
      <c r="N97" s="18">
        <f>(3*12*12)</f>
        <v>432</v>
      </c>
      <c r="O97" s="22" t="s">
        <v>20</v>
      </c>
      <c r="P97" s="18">
        <f t="shared" si="22"/>
        <v>0</v>
      </c>
      <c r="Q97" s="22" t="s">
        <v>20</v>
      </c>
      <c r="R97" s="23">
        <f t="shared" si="23"/>
        <v>0</v>
      </c>
      <c r="S97" s="23">
        <f t="shared" si="24"/>
        <v>0</v>
      </c>
    </row>
    <row r="98" spans="1:19">
      <c r="A98" s="15" t="s">
        <v>102</v>
      </c>
      <c r="S98" s="23"/>
    </row>
    <row r="99" spans="1:19" s="17" customFormat="1">
      <c r="A99" s="16" t="s">
        <v>103</v>
      </c>
      <c r="B99" s="17" t="s">
        <v>19</v>
      </c>
      <c r="C99" s="18"/>
      <c r="D99" s="19" t="s">
        <v>34</v>
      </c>
      <c r="E99" s="20">
        <f>1+1</f>
        <v>2</v>
      </c>
      <c r="F99" s="21">
        <v>50</v>
      </c>
      <c r="G99" s="22" t="s">
        <v>104</v>
      </c>
      <c r="H99" s="21">
        <v>10</v>
      </c>
      <c r="I99" s="22" t="s">
        <v>34</v>
      </c>
      <c r="J99" s="23">
        <v>1850</v>
      </c>
      <c r="K99" s="19" t="s">
        <v>34</v>
      </c>
      <c r="L99" s="24">
        <v>0.125</v>
      </c>
      <c r="M99" s="24">
        <v>0.05</v>
      </c>
      <c r="N99" s="18">
        <f>500+500</f>
        <v>1000</v>
      </c>
      <c r="O99" s="22" t="s">
        <v>34</v>
      </c>
      <c r="P99" s="18">
        <f t="shared" ref="P99:P111" si="28">(C99+(E99*F99*H99))-N99</f>
        <v>0</v>
      </c>
      <c r="Q99" s="22" t="s">
        <v>34</v>
      </c>
      <c r="R99" s="23">
        <f t="shared" ref="R99:R111" si="29">P99*(J99-(J99*L99)-((J99-(J99*L99))*M99))</f>
        <v>0</v>
      </c>
      <c r="S99" s="23">
        <f t="shared" si="24"/>
        <v>0</v>
      </c>
    </row>
    <row r="100" spans="1:19" s="63" customFormat="1">
      <c r="A100" s="72" t="s">
        <v>105</v>
      </c>
      <c r="B100" s="63" t="s">
        <v>19</v>
      </c>
      <c r="C100" s="64"/>
      <c r="D100" s="65" t="s">
        <v>34</v>
      </c>
      <c r="E100" s="66">
        <f>1+2+2</f>
        <v>5</v>
      </c>
      <c r="F100" s="67">
        <v>50</v>
      </c>
      <c r="G100" s="68" t="s">
        <v>104</v>
      </c>
      <c r="H100" s="67">
        <v>10</v>
      </c>
      <c r="I100" s="68" t="s">
        <v>34</v>
      </c>
      <c r="J100" s="69">
        <v>1625</v>
      </c>
      <c r="K100" s="65" t="s">
        <v>34</v>
      </c>
      <c r="L100" s="70">
        <v>0.125</v>
      </c>
      <c r="M100" s="70">
        <v>0.05</v>
      </c>
      <c r="N100" s="64">
        <f>500+500+500+1000</f>
        <v>2500</v>
      </c>
      <c r="O100" s="68" t="s">
        <v>34</v>
      </c>
      <c r="P100" s="64">
        <f t="shared" si="28"/>
        <v>0</v>
      </c>
      <c r="Q100" s="68" t="s">
        <v>34</v>
      </c>
      <c r="R100" s="69">
        <f t="shared" si="29"/>
        <v>0</v>
      </c>
      <c r="S100" s="23">
        <f t="shared" si="24"/>
        <v>0</v>
      </c>
    </row>
    <row r="101" spans="1:19" s="17" customFormat="1">
      <c r="A101" s="16" t="s">
        <v>106</v>
      </c>
      <c r="B101" s="17" t="s">
        <v>19</v>
      </c>
      <c r="C101" s="18"/>
      <c r="D101" s="19" t="s">
        <v>34</v>
      </c>
      <c r="E101" s="20">
        <f>1+1</f>
        <v>2</v>
      </c>
      <c r="F101" s="21">
        <v>20</v>
      </c>
      <c r="G101" s="22" t="s">
        <v>104</v>
      </c>
      <c r="H101" s="21">
        <v>10</v>
      </c>
      <c r="I101" s="22" t="s">
        <v>34</v>
      </c>
      <c r="J101" s="23">
        <v>4400</v>
      </c>
      <c r="K101" s="19" t="s">
        <v>34</v>
      </c>
      <c r="L101" s="24">
        <v>0.125</v>
      </c>
      <c r="M101" s="24">
        <v>0.05</v>
      </c>
      <c r="N101" s="18">
        <f>200+200</f>
        <v>400</v>
      </c>
      <c r="O101" s="22" t="s">
        <v>34</v>
      </c>
      <c r="P101" s="18">
        <f t="shared" si="28"/>
        <v>0</v>
      </c>
      <c r="Q101" s="22" t="s">
        <v>34</v>
      </c>
      <c r="R101" s="23">
        <f t="shared" si="29"/>
        <v>0</v>
      </c>
      <c r="S101" s="23">
        <f t="shared" si="24"/>
        <v>0</v>
      </c>
    </row>
    <row r="102" spans="1:19" s="63" customFormat="1">
      <c r="A102" s="95" t="s">
        <v>107</v>
      </c>
      <c r="B102" s="96" t="s">
        <v>19</v>
      </c>
      <c r="C102" s="97">
        <v>288</v>
      </c>
      <c r="D102" s="98" t="s">
        <v>108</v>
      </c>
      <c r="E102" s="105"/>
      <c r="F102" s="100">
        <v>24</v>
      </c>
      <c r="G102" s="101" t="s">
        <v>34</v>
      </c>
      <c r="H102" s="100">
        <v>12</v>
      </c>
      <c r="I102" s="101" t="s">
        <v>108</v>
      </c>
      <c r="J102" s="102">
        <v>2900</v>
      </c>
      <c r="K102" s="98" t="s">
        <v>108</v>
      </c>
      <c r="L102" s="103">
        <v>0.125</v>
      </c>
      <c r="M102" s="103">
        <v>0.05</v>
      </c>
      <c r="N102" s="97">
        <v>288</v>
      </c>
      <c r="O102" s="101" t="s">
        <v>108</v>
      </c>
      <c r="P102" s="97">
        <f t="shared" si="28"/>
        <v>0</v>
      </c>
      <c r="Q102" s="101" t="s">
        <v>108</v>
      </c>
      <c r="R102" s="102">
        <f t="shared" si="29"/>
        <v>0</v>
      </c>
      <c r="S102" s="102">
        <f t="shared" si="24"/>
        <v>0</v>
      </c>
    </row>
    <row r="103" spans="1:19" s="45" customFormat="1">
      <c r="A103" s="35" t="s">
        <v>107</v>
      </c>
      <c r="B103" s="36" t="s">
        <v>19</v>
      </c>
      <c r="C103" s="37"/>
      <c r="D103" s="38" t="s">
        <v>108</v>
      </c>
      <c r="E103" s="39">
        <v>1</v>
      </c>
      <c r="F103" s="40">
        <v>24</v>
      </c>
      <c r="G103" s="41" t="s">
        <v>34</v>
      </c>
      <c r="H103" s="40">
        <v>12</v>
      </c>
      <c r="I103" s="41" t="s">
        <v>108</v>
      </c>
      <c r="J103" s="42">
        <v>3100</v>
      </c>
      <c r="K103" s="38" t="s">
        <v>108</v>
      </c>
      <c r="L103" s="43">
        <v>0.125</v>
      </c>
      <c r="M103" s="43">
        <v>0.05</v>
      </c>
      <c r="N103" s="37"/>
      <c r="O103" s="41" t="s">
        <v>108</v>
      </c>
      <c r="P103" s="37">
        <f t="shared" ref="P103" si="30">(C103+(E103*F103*H103))-N103</f>
        <v>288</v>
      </c>
      <c r="Q103" s="41" t="s">
        <v>108</v>
      </c>
      <c r="R103" s="42">
        <f t="shared" ref="R103" si="31">P103*(J103-(J103*L103)-((J103-(J103*L103))*M103))</f>
        <v>742140</v>
      </c>
      <c r="S103" s="42">
        <f t="shared" ref="S103" si="32">R103/1.11</f>
        <v>668594.59459459456</v>
      </c>
    </row>
    <row r="104" spans="1:19" s="17" customFormat="1">
      <c r="A104" s="188" t="s">
        <v>109</v>
      </c>
      <c r="B104" s="189" t="s">
        <v>26</v>
      </c>
      <c r="C104" s="190">
        <v>450</v>
      </c>
      <c r="D104" s="191" t="s">
        <v>34</v>
      </c>
      <c r="E104" s="192"/>
      <c r="F104" s="193">
        <v>50</v>
      </c>
      <c r="G104" s="194" t="s">
        <v>104</v>
      </c>
      <c r="H104" s="193">
        <v>10</v>
      </c>
      <c r="I104" s="194" t="s">
        <v>34</v>
      </c>
      <c r="J104" s="195">
        <f>800000/50/10</f>
        <v>1600</v>
      </c>
      <c r="K104" s="191" t="s">
        <v>34</v>
      </c>
      <c r="L104" s="196"/>
      <c r="M104" s="196">
        <v>0.17</v>
      </c>
      <c r="N104" s="190">
        <f>500-50</f>
        <v>450</v>
      </c>
      <c r="O104" s="194" t="s">
        <v>34</v>
      </c>
      <c r="P104" s="190">
        <f t="shared" si="28"/>
        <v>0</v>
      </c>
      <c r="Q104" s="194" t="s">
        <v>34</v>
      </c>
      <c r="R104" s="195">
        <f t="shared" si="29"/>
        <v>0</v>
      </c>
      <c r="S104" s="195">
        <f t="shared" si="24"/>
        <v>0</v>
      </c>
    </row>
    <row r="105" spans="1:19" s="26" customFormat="1">
      <c r="A105" s="179" t="s">
        <v>109</v>
      </c>
      <c r="B105" s="180" t="s">
        <v>26</v>
      </c>
      <c r="C105" s="181"/>
      <c r="D105" s="182" t="s">
        <v>34</v>
      </c>
      <c r="E105" s="183">
        <f>1+1+1+1</f>
        <v>4</v>
      </c>
      <c r="F105" s="184">
        <v>50</v>
      </c>
      <c r="G105" s="185" t="s">
        <v>104</v>
      </c>
      <c r="H105" s="184">
        <v>10</v>
      </c>
      <c r="I105" s="185" t="s">
        <v>34</v>
      </c>
      <c r="J105" s="186">
        <f>850000/50/10</f>
        <v>1700</v>
      </c>
      <c r="K105" s="182" t="s">
        <v>34</v>
      </c>
      <c r="L105" s="187"/>
      <c r="M105" s="187">
        <v>0.17</v>
      </c>
      <c r="N105" s="181">
        <f>(500-50)+(50*10)+500+500</f>
        <v>1950</v>
      </c>
      <c r="O105" s="185" t="s">
        <v>34</v>
      </c>
      <c r="P105" s="181">
        <f t="shared" ref="P105" si="33">(C105+(E105*F105*H105))-N105</f>
        <v>50</v>
      </c>
      <c r="Q105" s="185" t="s">
        <v>34</v>
      </c>
      <c r="R105" s="186">
        <f t="shared" ref="R105" si="34">P105*(J105-(J105*L105)-((J105-(J105*L105))*M105))</f>
        <v>70550</v>
      </c>
      <c r="S105" s="186">
        <f t="shared" ref="S105" si="35">R105/1.11</f>
        <v>63558.55855855855</v>
      </c>
    </row>
    <row r="106" spans="1:19" s="17" customFormat="1">
      <c r="A106" s="95" t="s">
        <v>110</v>
      </c>
      <c r="B106" s="96" t="s">
        <v>26</v>
      </c>
      <c r="C106" s="97">
        <v>70</v>
      </c>
      <c r="D106" s="98" t="s">
        <v>34</v>
      </c>
      <c r="E106" s="105"/>
      <c r="F106" s="100">
        <v>50</v>
      </c>
      <c r="G106" s="101" t="s">
        <v>104</v>
      </c>
      <c r="H106" s="100">
        <v>10</v>
      </c>
      <c r="I106" s="101" t="s">
        <v>34</v>
      </c>
      <c r="J106" s="102">
        <f>750000/50/10</f>
        <v>1500</v>
      </c>
      <c r="K106" s="98" t="s">
        <v>34</v>
      </c>
      <c r="L106" s="103"/>
      <c r="M106" s="103">
        <v>0.17</v>
      </c>
      <c r="N106" s="97">
        <f>(30*10)-230</f>
        <v>70</v>
      </c>
      <c r="O106" s="101" t="s">
        <v>34</v>
      </c>
      <c r="P106" s="97">
        <f t="shared" si="28"/>
        <v>0</v>
      </c>
      <c r="Q106" s="101" t="s">
        <v>34</v>
      </c>
      <c r="R106" s="102">
        <f t="shared" si="29"/>
        <v>0</v>
      </c>
      <c r="S106" s="102">
        <f t="shared" si="24"/>
        <v>0</v>
      </c>
    </row>
    <row r="107" spans="1:19" s="17" customFormat="1">
      <c r="A107" s="95" t="s">
        <v>110</v>
      </c>
      <c r="B107" s="96" t="s">
        <v>26</v>
      </c>
      <c r="C107" s="97">
        <f>1000+230</f>
        <v>1230</v>
      </c>
      <c r="D107" s="98" t="s">
        <v>34</v>
      </c>
      <c r="E107" s="105"/>
      <c r="F107" s="100">
        <v>50</v>
      </c>
      <c r="G107" s="101" t="s">
        <v>104</v>
      </c>
      <c r="H107" s="100">
        <v>10</v>
      </c>
      <c r="I107" s="101" t="s">
        <v>34</v>
      </c>
      <c r="J107" s="102">
        <f>800000/50/10</f>
        <v>1600</v>
      </c>
      <c r="K107" s="98" t="s">
        <v>34</v>
      </c>
      <c r="L107" s="103"/>
      <c r="M107" s="103">
        <v>0.17</v>
      </c>
      <c r="N107" s="97">
        <f>((30*10)-70)+1000</f>
        <v>1230</v>
      </c>
      <c r="O107" s="101" t="s">
        <v>34</v>
      </c>
      <c r="P107" s="97">
        <f t="shared" si="28"/>
        <v>0</v>
      </c>
      <c r="Q107" s="101" t="s">
        <v>34</v>
      </c>
      <c r="R107" s="102">
        <f t="shared" si="29"/>
        <v>0</v>
      </c>
      <c r="S107" s="102">
        <f t="shared" si="24"/>
        <v>0</v>
      </c>
    </row>
    <row r="108" spans="1:19" s="63" customFormat="1">
      <c r="A108" s="188" t="s">
        <v>111</v>
      </c>
      <c r="B108" s="189" t="s">
        <v>26</v>
      </c>
      <c r="C108" s="190">
        <v>470</v>
      </c>
      <c r="D108" s="191" t="s">
        <v>34</v>
      </c>
      <c r="E108" s="192"/>
      <c r="F108" s="193">
        <v>20</v>
      </c>
      <c r="G108" s="194" t="s">
        <v>104</v>
      </c>
      <c r="H108" s="193">
        <v>10</v>
      </c>
      <c r="I108" s="194" t="s">
        <v>34</v>
      </c>
      <c r="J108" s="195">
        <f>800000/20/10</f>
        <v>4000</v>
      </c>
      <c r="K108" s="191" t="s">
        <v>34</v>
      </c>
      <c r="L108" s="196"/>
      <c r="M108" s="196">
        <v>0.17</v>
      </c>
      <c r="N108" s="190">
        <f>200+270</f>
        <v>470</v>
      </c>
      <c r="O108" s="194" t="s">
        <v>34</v>
      </c>
      <c r="P108" s="190">
        <f t="shared" si="28"/>
        <v>0</v>
      </c>
      <c r="Q108" s="194" t="s">
        <v>34</v>
      </c>
      <c r="R108" s="195">
        <f t="shared" si="29"/>
        <v>0</v>
      </c>
      <c r="S108" s="195">
        <f t="shared" si="24"/>
        <v>0</v>
      </c>
    </row>
    <row r="109" spans="1:19" s="45" customFormat="1">
      <c r="A109" s="179" t="s">
        <v>111</v>
      </c>
      <c r="B109" s="180" t="s">
        <v>26</v>
      </c>
      <c r="C109" s="181">
        <v>400</v>
      </c>
      <c r="D109" s="182" t="s">
        <v>34</v>
      </c>
      <c r="E109" s="183"/>
      <c r="F109" s="184">
        <v>20</v>
      </c>
      <c r="G109" s="185" t="s">
        <v>104</v>
      </c>
      <c r="H109" s="184">
        <v>10</v>
      </c>
      <c r="I109" s="185" t="s">
        <v>34</v>
      </c>
      <c r="J109" s="186">
        <f>860000/20/10</f>
        <v>4300</v>
      </c>
      <c r="K109" s="182" t="s">
        <v>34</v>
      </c>
      <c r="L109" s="187"/>
      <c r="M109" s="187">
        <v>0.17</v>
      </c>
      <c r="N109" s="181"/>
      <c r="O109" s="185" t="s">
        <v>34</v>
      </c>
      <c r="P109" s="181">
        <f t="shared" si="28"/>
        <v>400</v>
      </c>
      <c r="Q109" s="185" t="s">
        <v>34</v>
      </c>
      <c r="R109" s="186">
        <f t="shared" si="29"/>
        <v>1427600</v>
      </c>
      <c r="S109" s="186">
        <f t="shared" si="24"/>
        <v>1286126.1261261259</v>
      </c>
    </row>
    <row r="110" spans="1:19" s="17" customFormat="1">
      <c r="A110" s="95" t="s">
        <v>112</v>
      </c>
      <c r="B110" s="96" t="s">
        <v>26</v>
      </c>
      <c r="C110" s="97">
        <v>114</v>
      </c>
      <c r="D110" s="98" t="s">
        <v>43</v>
      </c>
      <c r="E110" s="105"/>
      <c r="F110" s="100">
        <v>1</v>
      </c>
      <c r="G110" s="101" t="s">
        <v>21</v>
      </c>
      <c r="H110" s="100">
        <v>48</v>
      </c>
      <c r="I110" s="101" t="s">
        <v>43</v>
      </c>
      <c r="J110" s="102">
        <f>1843200/48</f>
        <v>38400</v>
      </c>
      <c r="K110" s="98" t="s">
        <v>43</v>
      </c>
      <c r="L110" s="103"/>
      <c r="M110" s="103">
        <v>0.17</v>
      </c>
      <c r="N110" s="97">
        <f>48+48+2+12+48-44</f>
        <v>114</v>
      </c>
      <c r="O110" s="101" t="s">
        <v>43</v>
      </c>
      <c r="P110" s="97">
        <f t="shared" si="28"/>
        <v>0</v>
      </c>
      <c r="Q110" s="101" t="s">
        <v>43</v>
      </c>
      <c r="R110" s="102">
        <f t="shared" si="29"/>
        <v>0</v>
      </c>
      <c r="S110" s="102">
        <f t="shared" si="24"/>
        <v>0</v>
      </c>
    </row>
    <row r="111" spans="1:19" s="26" customFormat="1">
      <c r="A111" s="35" t="s">
        <v>112</v>
      </c>
      <c r="B111" s="36" t="s">
        <v>26</v>
      </c>
      <c r="C111" s="37">
        <v>48</v>
      </c>
      <c r="D111" s="38" t="s">
        <v>43</v>
      </c>
      <c r="E111" s="39"/>
      <c r="F111" s="40">
        <v>1</v>
      </c>
      <c r="G111" s="41" t="s">
        <v>21</v>
      </c>
      <c r="H111" s="40">
        <v>48</v>
      </c>
      <c r="I111" s="41" t="s">
        <v>43</v>
      </c>
      <c r="J111" s="42">
        <f>1987200/48</f>
        <v>41400</v>
      </c>
      <c r="K111" s="38" t="s">
        <v>43</v>
      </c>
      <c r="L111" s="43"/>
      <c r="M111" s="43">
        <v>0.17</v>
      </c>
      <c r="N111" s="37">
        <f>(48-4)</f>
        <v>44</v>
      </c>
      <c r="O111" s="41" t="s">
        <v>43</v>
      </c>
      <c r="P111" s="37">
        <f t="shared" si="28"/>
        <v>4</v>
      </c>
      <c r="Q111" s="41" t="s">
        <v>43</v>
      </c>
      <c r="R111" s="42">
        <f t="shared" si="29"/>
        <v>137448</v>
      </c>
      <c r="S111" s="42">
        <f t="shared" si="24"/>
        <v>123827.02702702701</v>
      </c>
    </row>
    <row r="112" spans="1:19">
      <c r="S112" s="23"/>
    </row>
    <row r="113" spans="1:19" ht="15.75">
      <c r="A113" s="14" t="s">
        <v>113</v>
      </c>
      <c r="S113" s="23"/>
    </row>
    <row r="114" spans="1:19">
      <c r="A114" s="15" t="s">
        <v>114</v>
      </c>
      <c r="S114" s="23"/>
    </row>
    <row r="115" spans="1:19" s="45" customFormat="1">
      <c r="A115" s="44" t="s">
        <v>115</v>
      </c>
      <c r="B115" s="45" t="s">
        <v>19</v>
      </c>
      <c r="C115" s="46"/>
      <c r="D115" s="47" t="s">
        <v>43</v>
      </c>
      <c r="E115" s="48">
        <v>4</v>
      </c>
      <c r="F115" s="49">
        <v>1</v>
      </c>
      <c r="G115" s="50" t="s">
        <v>21</v>
      </c>
      <c r="H115" s="49">
        <v>48</v>
      </c>
      <c r="I115" s="50" t="s">
        <v>43</v>
      </c>
      <c r="J115" s="51">
        <v>36000</v>
      </c>
      <c r="K115" s="47" t="s">
        <v>43</v>
      </c>
      <c r="L115" s="52">
        <v>0.125</v>
      </c>
      <c r="M115" s="52">
        <v>0.05</v>
      </c>
      <c r="N115" s="46"/>
      <c r="O115" s="50" t="s">
        <v>43</v>
      </c>
      <c r="P115" s="46">
        <f t="shared" ref="P115:P140" si="36">(C115+(E115*F115*H115))-N115</f>
        <v>192</v>
      </c>
      <c r="Q115" s="50" t="s">
        <v>43</v>
      </c>
      <c r="R115" s="51">
        <f t="shared" ref="R115:R140" si="37">P115*(J115-(J115*L115)-((J115-(J115*L115))*M115))</f>
        <v>5745600</v>
      </c>
      <c r="S115" s="32">
        <f t="shared" si="24"/>
        <v>5176216.2162162159</v>
      </c>
    </row>
    <row r="116" spans="1:19" s="45" customFormat="1">
      <c r="A116" s="44" t="s">
        <v>116</v>
      </c>
      <c r="B116" s="45" t="s">
        <v>19</v>
      </c>
      <c r="C116" s="46">
        <v>192</v>
      </c>
      <c r="D116" s="47" t="s">
        <v>43</v>
      </c>
      <c r="E116" s="48"/>
      <c r="F116" s="49">
        <v>1</v>
      </c>
      <c r="G116" s="50" t="s">
        <v>21</v>
      </c>
      <c r="H116" s="49">
        <v>48</v>
      </c>
      <c r="I116" s="50" t="s">
        <v>43</v>
      </c>
      <c r="J116" s="51">
        <v>36000</v>
      </c>
      <c r="K116" s="47" t="s">
        <v>43</v>
      </c>
      <c r="L116" s="52">
        <v>0.125</v>
      </c>
      <c r="M116" s="52">
        <v>0.05</v>
      </c>
      <c r="N116" s="46">
        <v>1</v>
      </c>
      <c r="O116" s="50" t="s">
        <v>43</v>
      </c>
      <c r="P116" s="46">
        <f t="shared" si="36"/>
        <v>191</v>
      </c>
      <c r="Q116" s="50" t="s">
        <v>43</v>
      </c>
      <c r="R116" s="51">
        <f t="shared" si="37"/>
        <v>5715675</v>
      </c>
      <c r="S116" s="32">
        <f t="shared" si="24"/>
        <v>5149256.7567567565</v>
      </c>
    </row>
    <row r="117" spans="1:19" s="45" customFormat="1">
      <c r="A117" s="44" t="s">
        <v>117</v>
      </c>
      <c r="B117" s="45" t="s">
        <v>19</v>
      </c>
      <c r="C117" s="46"/>
      <c r="D117" s="47" t="s">
        <v>43</v>
      </c>
      <c r="E117" s="48">
        <v>4</v>
      </c>
      <c r="F117" s="49">
        <v>1</v>
      </c>
      <c r="G117" s="50" t="s">
        <v>21</v>
      </c>
      <c r="H117" s="49">
        <v>48</v>
      </c>
      <c r="I117" s="50" t="s">
        <v>43</v>
      </c>
      <c r="J117" s="51">
        <v>36000</v>
      </c>
      <c r="K117" s="47" t="s">
        <v>43</v>
      </c>
      <c r="L117" s="52">
        <v>0.125</v>
      </c>
      <c r="M117" s="52">
        <v>0.05</v>
      </c>
      <c r="N117" s="46">
        <f>20+96+1</f>
        <v>117</v>
      </c>
      <c r="O117" s="50" t="s">
        <v>43</v>
      </c>
      <c r="P117" s="46">
        <f t="shared" si="36"/>
        <v>75</v>
      </c>
      <c r="Q117" s="50" t="s">
        <v>43</v>
      </c>
      <c r="R117" s="51">
        <f t="shared" si="37"/>
        <v>2244375</v>
      </c>
      <c r="S117" s="32">
        <f t="shared" si="24"/>
        <v>2021959.4594594592</v>
      </c>
    </row>
    <row r="118" spans="1:19" s="45" customFormat="1">
      <c r="A118" s="44" t="s">
        <v>118</v>
      </c>
      <c r="B118" s="45" t="s">
        <v>19</v>
      </c>
      <c r="C118" s="46">
        <v>1</v>
      </c>
      <c r="D118" s="47" t="s">
        <v>43</v>
      </c>
      <c r="E118" s="48">
        <v>1</v>
      </c>
      <c r="F118" s="49">
        <v>1</v>
      </c>
      <c r="G118" s="50" t="s">
        <v>21</v>
      </c>
      <c r="H118" s="49">
        <v>48</v>
      </c>
      <c r="I118" s="50" t="s">
        <v>43</v>
      </c>
      <c r="J118" s="51">
        <v>39000</v>
      </c>
      <c r="K118" s="47" t="s">
        <v>43</v>
      </c>
      <c r="L118" s="52">
        <v>0.125</v>
      </c>
      <c r="M118" s="52">
        <v>0.05</v>
      </c>
      <c r="N118" s="46">
        <v>48</v>
      </c>
      <c r="O118" s="50" t="s">
        <v>43</v>
      </c>
      <c r="P118" s="46">
        <f t="shared" si="36"/>
        <v>1</v>
      </c>
      <c r="Q118" s="50" t="s">
        <v>43</v>
      </c>
      <c r="R118" s="51">
        <f t="shared" si="37"/>
        <v>32418.75</v>
      </c>
      <c r="S118" s="32">
        <f t="shared" si="24"/>
        <v>29206.08108108108</v>
      </c>
    </row>
    <row r="119" spans="1:19" s="63" customFormat="1">
      <c r="A119" s="72" t="s">
        <v>119</v>
      </c>
      <c r="B119" s="63" t="s">
        <v>19</v>
      </c>
      <c r="C119" s="64"/>
      <c r="D119" s="65" t="s">
        <v>43</v>
      </c>
      <c r="E119" s="66"/>
      <c r="F119" s="67">
        <v>1</v>
      </c>
      <c r="G119" s="68" t="s">
        <v>21</v>
      </c>
      <c r="H119" s="67">
        <v>48</v>
      </c>
      <c r="I119" s="68" t="s">
        <v>43</v>
      </c>
      <c r="J119" s="69">
        <v>54600</v>
      </c>
      <c r="K119" s="65" t="s">
        <v>43</v>
      </c>
      <c r="L119" s="70">
        <v>0.125</v>
      </c>
      <c r="M119" s="70">
        <v>0.05</v>
      </c>
      <c r="N119" s="64"/>
      <c r="O119" s="68" t="s">
        <v>43</v>
      </c>
      <c r="P119" s="64">
        <f t="shared" si="36"/>
        <v>0</v>
      </c>
      <c r="Q119" s="68" t="s">
        <v>43</v>
      </c>
      <c r="R119" s="69">
        <f t="shared" si="37"/>
        <v>0</v>
      </c>
      <c r="S119" s="23">
        <f t="shared" si="24"/>
        <v>0</v>
      </c>
    </row>
    <row r="120" spans="1:19" s="63" customFormat="1">
      <c r="A120" s="72" t="s">
        <v>120</v>
      </c>
      <c r="B120" s="63" t="s">
        <v>19</v>
      </c>
      <c r="C120" s="64"/>
      <c r="D120" s="65" t="s">
        <v>43</v>
      </c>
      <c r="E120" s="66"/>
      <c r="F120" s="67">
        <v>1</v>
      </c>
      <c r="G120" s="68" t="s">
        <v>21</v>
      </c>
      <c r="H120" s="67">
        <v>48</v>
      </c>
      <c r="I120" s="68" t="s">
        <v>43</v>
      </c>
      <c r="J120" s="69">
        <v>30000</v>
      </c>
      <c r="K120" s="65" t="s">
        <v>43</v>
      </c>
      <c r="L120" s="70">
        <v>0.125</v>
      </c>
      <c r="M120" s="70">
        <v>0.05</v>
      </c>
      <c r="N120" s="64"/>
      <c r="O120" s="68" t="s">
        <v>43</v>
      </c>
      <c r="P120" s="64">
        <f t="shared" si="36"/>
        <v>0</v>
      </c>
      <c r="Q120" s="68" t="s">
        <v>43</v>
      </c>
      <c r="R120" s="69">
        <f t="shared" si="37"/>
        <v>0</v>
      </c>
      <c r="S120" s="23">
        <f t="shared" si="24"/>
        <v>0</v>
      </c>
    </row>
    <row r="121" spans="1:19" s="63" customFormat="1">
      <c r="A121" s="72" t="s">
        <v>770</v>
      </c>
      <c r="B121" s="63" t="s">
        <v>19</v>
      </c>
      <c r="C121" s="64"/>
      <c r="D121" s="65" t="s">
        <v>43</v>
      </c>
      <c r="E121" s="66">
        <v>1</v>
      </c>
      <c r="F121" s="67">
        <v>1</v>
      </c>
      <c r="G121" s="68" t="s">
        <v>21</v>
      </c>
      <c r="H121" s="67">
        <v>48</v>
      </c>
      <c r="I121" s="68" t="s">
        <v>43</v>
      </c>
      <c r="J121" s="69">
        <v>48000</v>
      </c>
      <c r="K121" s="65" t="s">
        <v>43</v>
      </c>
      <c r="L121" s="70">
        <v>0.125</v>
      </c>
      <c r="M121" s="70">
        <v>0.05</v>
      </c>
      <c r="N121" s="64">
        <v>48</v>
      </c>
      <c r="O121" s="68" t="s">
        <v>43</v>
      </c>
      <c r="P121" s="64">
        <f t="shared" ref="P121" si="38">(C121+(E121*F121*H121))-N121</f>
        <v>0</v>
      </c>
      <c r="Q121" s="68" t="s">
        <v>43</v>
      </c>
      <c r="R121" s="69">
        <f t="shared" ref="R121" si="39">P121*(J121-(J121*L121)-((J121-(J121*L121))*M121))</f>
        <v>0</v>
      </c>
      <c r="S121" s="23">
        <f t="shared" ref="S121" si="40">R121/1.11</f>
        <v>0</v>
      </c>
    </row>
    <row r="122" spans="1:19" s="63" customFormat="1">
      <c r="A122" s="72" t="s">
        <v>121</v>
      </c>
      <c r="B122" s="63" t="s">
        <v>19</v>
      </c>
      <c r="C122" s="64"/>
      <c r="D122" s="65" t="s">
        <v>43</v>
      </c>
      <c r="E122" s="66">
        <v>1</v>
      </c>
      <c r="F122" s="67">
        <v>1</v>
      </c>
      <c r="G122" s="68" t="s">
        <v>21</v>
      </c>
      <c r="H122" s="67">
        <v>36</v>
      </c>
      <c r="I122" s="68" t="s">
        <v>43</v>
      </c>
      <c r="J122" s="69">
        <v>41400</v>
      </c>
      <c r="K122" s="65" t="s">
        <v>43</v>
      </c>
      <c r="L122" s="70">
        <v>0.125</v>
      </c>
      <c r="M122" s="70">
        <v>0.05</v>
      </c>
      <c r="N122" s="64">
        <v>36</v>
      </c>
      <c r="O122" s="68" t="s">
        <v>43</v>
      </c>
      <c r="P122" s="64">
        <f t="shared" si="36"/>
        <v>0</v>
      </c>
      <c r="Q122" s="68" t="s">
        <v>43</v>
      </c>
      <c r="R122" s="69">
        <f t="shared" si="37"/>
        <v>0</v>
      </c>
      <c r="S122" s="23">
        <f t="shared" si="24"/>
        <v>0</v>
      </c>
    </row>
    <row r="123" spans="1:19" s="63" customFormat="1">
      <c r="A123" s="72" t="s">
        <v>122</v>
      </c>
      <c r="B123" s="63" t="s">
        <v>19</v>
      </c>
      <c r="C123" s="64"/>
      <c r="D123" s="65" t="s">
        <v>43</v>
      </c>
      <c r="E123" s="66"/>
      <c r="F123" s="67">
        <v>1</v>
      </c>
      <c r="G123" s="68" t="s">
        <v>21</v>
      </c>
      <c r="H123" s="67">
        <v>36</v>
      </c>
      <c r="I123" s="68" t="s">
        <v>43</v>
      </c>
      <c r="J123" s="69">
        <v>41400</v>
      </c>
      <c r="K123" s="65" t="s">
        <v>43</v>
      </c>
      <c r="L123" s="70">
        <v>0.125</v>
      </c>
      <c r="M123" s="70">
        <v>0.05</v>
      </c>
      <c r="N123" s="64"/>
      <c r="O123" s="68" t="s">
        <v>43</v>
      </c>
      <c r="P123" s="64">
        <f t="shared" si="36"/>
        <v>0</v>
      </c>
      <c r="Q123" s="68" t="s">
        <v>43</v>
      </c>
      <c r="R123" s="69">
        <f t="shared" si="37"/>
        <v>0</v>
      </c>
      <c r="S123" s="23">
        <f t="shared" si="24"/>
        <v>0</v>
      </c>
    </row>
    <row r="124" spans="1:19" s="45" customFormat="1">
      <c r="A124" s="44" t="s">
        <v>123</v>
      </c>
      <c r="B124" s="45" t="s">
        <v>19</v>
      </c>
      <c r="C124" s="46">
        <v>360</v>
      </c>
      <c r="D124" s="47" t="s">
        <v>43</v>
      </c>
      <c r="E124" s="48">
        <v>5</v>
      </c>
      <c r="F124" s="49">
        <v>24</v>
      </c>
      <c r="G124" s="50" t="s">
        <v>34</v>
      </c>
      <c r="H124" s="49">
        <v>2</v>
      </c>
      <c r="I124" s="50" t="s">
        <v>43</v>
      </c>
      <c r="J124" s="51">
        <f>70800/2</f>
        <v>35400</v>
      </c>
      <c r="K124" s="47" t="s">
        <v>43</v>
      </c>
      <c r="L124" s="52">
        <v>0.125</v>
      </c>
      <c r="M124" s="52">
        <v>0.05</v>
      </c>
      <c r="N124" s="46">
        <v>120</v>
      </c>
      <c r="O124" s="50" t="s">
        <v>43</v>
      </c>
      <c r="P124" s="46">
        <f t="shared" si="36"/>
        <v>480</v>
      </c>
      <c r="Q124" s="50" t="s">
        <v>43</v>
      </c>
      <c r="R124" s="51">
        <f t="shared" si="37"/>
        <v>14124600</v>
      </c>
      <c r="S124" s="51">
        <f t="shared" si="24"/>
        <v>12724864.864864863</v>
      </c>
    </row>
    <row r="125" spans="1:19" s="45" customFormat="1">
      <c r="A125" s="44" t="s">
        <v>124</v>
      </c>
      <c r="B125" s="45" t="s">
        <v>19</v>
      </c>
      <c r="C125" s="46">
        <v>120</v>
      </c>
      <c r="D125" s="47" t="s">
        <v>43</v>
      </c>
      <c r="E125" s="48">
        <v>5</v>
      </c>
      <c r="F125" s="49">
        <v>24</v>
      </c>
      <c r="G125" s="50" t="s">
        <v>34</v>
      </c>
      <c r="H125" s="49">
        <v>2</v>
      </c>
      <c r="I125" s="50" t="s">
        <v>43</v>
      </c>
      <c r="J125" s="51">
        <f>70800/2</f>
        <v>35400</v>
      </c>
      <c r="K125" s="47" t="s">
        <v>43</v>
      </c>
      <c r="L125" s="52">
        <v>0.125</v>
      </c>
      <c r="M125" s="52">
        <v>0.05</v>
      </c>
      <c r="N125" s="46">
        <v>120</v>
      </c>
      <c r="O125" s="50" t="s">
        <v>43</v>
      </c>
      <c r="P125" s="46">
        <f t="shared" si="36"/>
        <v>240</v>
      </c>
      <c r="Q125" s="50" t="s">
        <v>43</v>
      </c>
      <c r="R125" s="51">
        <f t="shared" si="37"/>
        <v>7062300</v>
      </c>
      <c r="S125" s="32">
        <f t="shared" si="24"/>
        <v>6362432.4324324317</v>
      </c>
    </row>
    <row r="126" spans="1:19" s="45" customFormat="1">
      <c r="A126" s="44" t="s">
        <v>125</v>
      </c>
      <c r="B126" s="45" t="s">
        <v>19</v>
      </c>
      <c r="C126" s="46"/>
      <c r="D126" s="47" t="s">
        <v>43</v>
      </c>
      <c r="E126" s="48">
        <v>5</v>
      </c>
      <c r="F126" s="49">
        <v>1</v>
      </c>
      <c r="G126" s="50" t="s">
        <v>21</v>
      </c>
      <c r="H126" s="49">
        <v>36</v>
      </c>
      <c r="I126" s="50" t="s">
        <v>43</v>
      </c>
      <c r="J126" s="51">
        <v>34200</v>
      </c>
      <c r="K126" s="47" t="s">
        <v>43</v>
      </c>
      <c r="L126" s="52">
        <v>0.125</v>
      </c>
      <c r="M126" s="52">
        <v>0.05</v>
      </c>
      <c r="N126" s="46">
        <f>72+3</f>
        <v>75</v>
      </c>
      <c r="O126" s="50" t="s">
        <v>43</v>
      </c>
      <c r="P126" s="46">
        <f t="shared" si="36"/>
        <v>105</v>
      </c>
      <c r="Q126" s="50" t="s">
        <v>43</v>
      </c>
      <c r="R126" s="51">
        <f t="shared" si="37"/>
        <v>2985018.75</v>
      </c>
      <c r="S126" s="32">
        <f t="shared" si="24"/>
        <v>2689206.0810810807</v>
      </c>
    </row>
    <row r="127" spans="1:19" s="45" customFormat="1">
      <c r="A127" s="44" t="s">
        <v>126</v>
      </c>
      <c r="B127" s="45" t="s">
        <v>19</v>
      </c>
      <c r="C127" s="46">
        <v>48</v>
      </c>
      <c r="D127" s="47" t="s">
        <v>43</v>
      </c>
      <c r="E127" s="48"/>
      <c r="F127" s="49">
        <v>24</v>
      </c>
      <c r="G127" s="50" t="s">
        <v>34</v>
      </c>
      <c r="H127" s="49">
        <v>2</v>
      </c>
      <c r="I127" s="50" t="s">
        <v>43</v>
      </c>
      <c r="J127" s="51">
        <f>46800/2</f>
        <v>23400</v>
      </c>
      <c r="K127" s="47" t="s">
        <v>43</v>
      </c>
      <c r="L127" s="52">
        <v>0.125</v>
      </c>
      <c r="M127" s="52">
        <v>0.05</v>
      </c>
      <c r="N127" s="46"/>
      <c r="O127" s="50" t="s">
        <v>43</v>
      </c>
      <c r="P127" s="46">
        <f t="shared" si="36"/>
        <v>48</v>
      </c>
      <c r="Q127" s="50" t="s">
        <v>43</v>
      </c>
      <c r="R127" s="51">
        <f t="shared" si="37"/>
        <v>933660</v>
      </c>
      <c r="S127" s="32">
        <f t="shared" si="24"/>
        <v>841135.13513513503</v>
      </c>
    </row>
    <row r="128" spans="1:19" s="63" customFormat="1">
      <c r="A128" s="72" t="s">
        <v>127</v>
      </c>
      <c r="B128" s="63" t="s">
        <v>19</v>
      </c>
      <c r="C128" s="64"/>
      <c r="D128" s="65" t="s">
        <v>43</v>
      </c>
      <c r="E128" s="66"/>
      <c r="F128" s="67">
        <v>60</v>
      </c>
      <c r="G128" s="68" t="s">
        <v>34</v>
      </c>
      <c r="H128" s="67">
        <v>1</v>
      </c>
      <c r="I128" s="68" t="s">
        <v>43</v>
      </c>
      <c r="J128" s="69">
        <v>43200</v>
      </c>
      <c r="K128" s="65" t="s">
        <v>43</v>
      </c>
      <c r="L128" s="70">
        <v>0.125</v>
      </c>
      <c r="M128" s="70">
        <v>0.05</v>
      </c>
      <c r="N128" s="64"/>
      <c r="O128" s="68" t="s">
        <v>43</v>
      </c>
      <c r="P128" s="64">
        <f t="shared" si="36"/>
        <v>0</v>
      </c>
      <c r="Q128" s="68" t="s">
        <v>43</v>
      </c>
      <c r="R128" s="69">
        <f t="shared" si="37"/>
        <v>0</v>
      </c>
      <c r="S128" s="23">
        <f t="shared" si="24"/>
        <v>0</v>
      </c>
    </row>
    <row r="129" spans="1:19" s="45" customFormat="1">
      <c r="A129" s="44" t="s">
        <v>764</v>
      </c>
      <c r="B129" s="45" t="s">
        <v>19</v>
      </c>
      <c r="C129" s="46"/>
      <c r="D129" s="47" t="s">
        <v>43</v>
      </c>
      <c r="E129" s="48">
        <f>2+1</f>
        <v>3</v>
      </c>
      <c r="F129" s="49">
        <v>120</v>
      </c>
      <c r="G129" s="50" t="s">
        <v>34</v>
      </c>
      <c r="H129" s="49">
        <v>1</v>
      </c>
      <c r="I129" s="50" t="s">
        <v>43</v>
      </c>
      <c r="J129" s="51">
        <v>17400</v>
      </c>
      <c r="K129" s="47" t="s">
        <v>43</v>
      </c>
      <c r="L129" s="52">
        <v>0.125</v>
      </c>
      <c r="M129" s="52">
        <v>0.05</v>
      </c>
      <c r="N129" s="46">
        <f>120+3+5+15</f>
        <v>143</v>
      </c>
      <c r="O129" s="50" t="s">
        <v>43</v>
      </c>
      <c r="P129" s="46">
        <f t="shared" ref="P129" si="41">(C129+(E129*F129*H129))-N129</f>
        <v>217</v>
      </c>
      <c r="Q129" s="50" t="s">
        <v>43</v>
      </c>
      <c r="R129" s="51">
        <f t="shared" ref="R129" si="42">P129*(J129-(J129*L129)-((J129-(J129*L129))*M129))</f>
        <v>3138633.75</v>
      </c>
      <c r="S129" s="32">
        <f t="shared" ref="S129" si="43">R129/1.11</f>
        <v>2827597.9729729728</v>
      </c>
    </row>
    <row r="130" spans="1:19" s="63" customFormat="1">
      <c r="A130" s="72" t="s">
        <v>128</v>
      </c>
      <c r="B130" s="63" t="s">
        <v>26</v>
      </c>
      <c r="C130" s="64"/>
      <c r="D130" s="65" t="s">
        <v>43</v>
      </c>
      <c r="E130" s="66"/>
      <c r="F130" s="67">
        <v>1</v>
      </c>
      <c r="G130" s="68" t="s">
        <v>21</v>
      </c>
      <c r="H130" s="67">
        <v>36</v>
      </c>
      <c r="I130" s="68" t="s">
        <v>43</v>
      </c>
      <c r="J130" s="69">
        <f>1792800/36</f>
        <v>49800</v>
      </c>
      <c r="K130" s="65" t="s">
        <v>43</v>
      </c>
      <c r="L130" s="70"/>
      <c r="M130" s="70">
        <v>0.17</v>
      </c>
      <c r="N130" s="64"/>
      <c r="O130" s="68" t="s">
        <v>43</v>
      </c>
      <c r="P130" s="64">
        <f t="shared" si="36"/>
        <v>0</v>
      </c>
      <c r="Q130" s="68" t="s">
        <v>43</v>
      </c>
      <c r="R130" s="69">
        <f t="shared" si="37"/>
        <v>0</v>
      </c>
      <c r="S130" s="23">
        <f t="shared" si="24"/>
        <v>0</v>
      </c>
    </row>
    <row r="131" spans="1:19" s="45" customFormat="1">
      <c r="A131" s="44" t="s">
        <v>129</v>
      </c>
      <c r="B131" s="45" t="s">
        <v>26</v>
      </c>
      <c r="C131" s="46">
        <v>180</v>
      </c>
      <c r="D131" s="47" t="s">
        <v>43</v>
      </c>
      <c r="E131" s="48"/>
      <c r="F131" s="49">
        <v>1</v>
      </c>
      <c r="G131" s="50" t="s">
        <v>21</v>
      </c>
      <c r="H131" s="49">
        <v>36</v>
      </c>
      <c r="I131" s="50" t="s">
        <v>43</v>
      </c>
      <c r="J131" s="51">
        <f>1792800/36</f>
        <v>49800</v>
      </c>
      <c r="K131" s="47" t="s">
        <v>43</v>
      </c>
      <c r="L131" s="52"/>
      <c r="M131" s="52">
        <v>0.17</v>
      </c>
      <c r="N131" s="46"/>
      <c r="O131" s="50" t="s">
        <v>43</v>
      </c>
      <c r="P131" s="46">
        <f t="shared" si="36"/>
        <v>180</v>
      </c>
      <c r="Q131" s="50" t="s">
        <v>43</v>
      </c>
      <c r="R131" s="51">
        <f t="shared" si="37"/>
        <v>7440120</v>
      </c>
      <c r="S131" s="32">
        <f t="shared" si="24"/>
        <v>6702810.81081081</v>
      </c>
    </row>
    <row r="132" spans="1:19" s="45" customFormat="1">
      <c r="A132" s="44" t="s">
        <v>130</v>
      </c>
      <c r="B132" s="45" t="s">
        <v>26</v>
      </c>
      <c r="C132" s="46"/>
      <c r="D132" s="47" t="s">
        <v>43</v>
      </c>
      <c r="E132" s="48">
        <f>5+10+10+5+5+5+5+5+3+5+10</f>
        <v>68</v>
      </c>
      <c r="F132" s="49">
        <v>1</v>
      </c>
      <c r="G132" s="50" t="s">
        <v>21</v>
      </c>
      <c r="H132" s="49">
        <v>36</v>
      </c>
      <c r="I132" s="50" t="s">
        <v>43</v>
      </c>
      <c r="J132" s="51">
        <f>1900800/36</f>
        <v>52800</v>
      </c>
      <c r="K132" s="47" t="s">
        <v>43</v>
      </c>
      <c r="L132" s="52"/>
      <c r="M132" s="52">
        <v>0.17</v>
      </c>
      <c r="N132" s="46">
        <f>72+72+72+72+72+216+24+36+72+144+72+72+(48/12)+72+72+36+72+36+72+72+36+72+36+72+18+36+36+72+36+108+144+10+108</f>
        <v>2216</v>
      </c>
      <c r="O132" s="50" t="s">
        <v>43</v>
      </c>
      <c r="P132" s="46">
        <f t="shared" si="36"/>
        <v>232</v>
      </c>
      <c r="Q132" s="50" t="s">
        <v>43</v>
      </c>
      <c r="R132" s="51">
        <f t="shared" si="37"/>
        <v>10167168</v>
      </c>
      <c r="S132" s="51">
        <f t="shared" si="24"/>
        <v>9159610.81081081</v>
      </c>
    </row>
    <row r="133" spans="1:19" s="17" customFormat="1">
      <c r="A133" s="95" t="s">
        <v>131</v>
      </c>
      <c r="B133" s="96" t="s">
        <v>26</v>
      </c>
      <c r="C133" s="97">
        <v>220</v>
      </c>
      <c r="D133" s="98" t="s">
        <v>43</v>
      </c>
      <c r="E133" s="105"/>
      <c r="F133" s="100">
        <v>1</v>
      </c>
      <c r="G133" s="101" t="s">
        <v>21</v>
      </c>
      <c r="H133" s="100">
        <v>36</v>
      </c>
      <c r="I133" s="101" t="s">
        <v>43</v>
      </c>
      <c r="J133" s="102">
        <f>1846800/36</f>
        <v>51300</v>
      </c>
      <c r="K133" s="98" t="s">
        <v>43</v>
      </c>
      <c r="L133" s="103"/>
      <c r="M133" s="103">
        <v>0.17</v>
      </c>
      <c r="N133" s="97">
        <f>72+36+36+76</f>
        <v>220</v>
      </c>
      <c r="O133" s="101" t="s">
        <v>43</v>
      </c>
      <c r="P133" s="97">
        <f t="shared" si="36"/>
        <v>0</v>
      </c>
      <c r="Q133" s="101" t="s">
        <v>43</v>
      </c>
      <c r="R133" s="102">
        <f t="shared" si="37"/>
        <v>0</v>
      </c>
      <c r="S133" s="102">
        <f t="shared" si="24"/>
        <v>0</v>
      </c>
    </row>
    <row r="134" spans="1:19" s="17" customFormat="1">
      <c r="A134" s="95" t="s">
        <v>131</v>
      </c>
      <c r="B134" s="96" t="s">
        <v>26</v>
      </c>
      <c r="C134" s="97"/>
      <c r="D134" s="98" t="s">
        <v>43</v>
      </c>
      <c r="E134" s="105">
        <f>2+2</f>
        <v>4</v>
      </c>
      <c r="F134" s="100">
        <v>1</v>
      </c>
      <c r="G134" s="101" t="s">
        <v>21</v>
      </c>
      <c r="H134" s="100">
        <v>36</v>
      </c>
      <c r="I134" s="101" t="s">
        <v>43</v>
      </c>
      <c r="J134" s="102">
        <f>1954800/36</f>
        <v>54300</v>
      </c>
      <c r="K134" s="98" t="s">
        <v>43</v>
      </c>
      <c r="L134" s="103"/>
      <c r="M134" s="103">
        <v>0.17</v>
      </c>
      <c r="N134" s="97">
        <v>144</v>
      </c>
      <c r="O134" s="101" t="s">
        <v>43</v>
      </c>
      <c r="P134" s="97">
        <f t="shared" ref="P134" si="44">(C134+(E134*F134*H134))-N134</f>
        <v>0</v>
      </c>
      <c r="Q134" s="101" t="s">
        <v>43</v>
      </c>
      <c r="R134" s="102">
        <f t="shared" ref="R134" si="45">P134*(J134-(J134*L134)-((J134-(J134*L134))*M134))</f>
        <v>0</v>
      </c>
      <c r="S134" s="102">
        <f t="shared" ref="S134" si="46">R134/1.11</f>
        <v>0</v>
      </c>
    </row>
    <row r="135" spans="1:19" s="63" customFormat="1">
      <c r="A135" s="188" t="s">
        <v>132</v>
      </c>
      <c r="B135" s="189" t="s">
        <v>26</v>
      </c>
      <c r="C135" s="190">
        <v>291</v>
      </c>
      <c r="D135" s="191" t="s">
        <v>43</v>
      </c>
      <c r="E135" s="192"/>
      <c r="F135" s="193">
        <v>1</v>
      </c>
      <c r="G135" s="194" t="s">
        <v>21</v>
      </c>
      <c r="H135" s="193">
        <v>36</v>
      </c>
      <c r="I135" s="194" t="s">
        <v>43</v>
      </c>
      <c r="J135" s="195">
        <f>1533600/36</f>
        <v>42600</v>
      </c>
      <c r="K135" s="191" t="s">
        <v>43</v>
      </c>
      <c r="L135" s="196"/>
      <c r="M135" s="196">
        <v>0.17</v>
      </c>
      <c r="N135" s="190">
        <f>72+36+72+36+36+36+36-33</f>
        <v>291</v>
      </c>
      <c r="O135" s="194" t="s">
        <v>43</v>
      </c>
      <c r="P135" s="190">
        <f t="shared" si="36"/>
        <v>0</v>
      </c>
      <c r="Q135" s="194" t="s">
        <v>43</v>
      </c>
      <c r="R135" s="195">
        <f t="shared" si="37"/>
        <v>0</v>
      </c>
      <c r="S135" s="195">
        <f t="shared" si="24"/>
        <v>0</v>
      </c>
    </row>
    <row r="136" spans="1:19" s="63" customFormat="1">
      <c r="A136" s="188" t="s">
        <v>132</v>
      </c>
      <c r="B136" s="189" t="s">
        <v>26</v>
      </c>
      <c r="C136" s="190"/>
      <c r="D136" s="191" t="s">
        <v>43</v>
      </c>
      <c r="E136" s="192">
        <f>2+3+5</f>
        <v>10</v>
      </c>
      <c r="F136" s="193">
        <v>1</v>
      </c>
      <c r="G136" s="194" t="s">
        <v>21</v>
      </c>
      <c r="H136" s="193">
        <v>36</v>
      </c>
      <c r="I136" s="194" t="s">
        <v>43</v>
      </c>
      <c r="J136" s="195">
        <f>1641600/36</f>
        <v>45600</v>
      </c>
      <c r="K136" s="191" t="s">
        <v>43</v>
      </c>
      <c r="L136" s="196"/>
      <c r="M136" s="196">
        <v>0.17</v>
      </c>
      <c r="N136" s="190">
        <f>(36-3)+36+291</f>
        <v>360</v>
      </c>
      <c r="O136" s="194" t="s">
        <v>43</v>
      </c>
      <c r="P136" s="190">
        <f t="shared" ref="P136" si="47">(C136+(E136*F136*H136))-N136</f>
        <v>0</v>
      </c>
      <c r="Q136" s="194" t="s">
        <v>43</v>
      </c>
      <c r="R136" s="195">
        <f t="shared" ref="R136" si="48">P136*(J136-(J136*L136)-((J136-(J136*L136))*M136))</f>
        <v>0</v>
      </c>
      <c r="S136" s="195">
        <f t="shared" ref="S136" si="49">R136/1.11</f>
        <v>0</v>
      </c>
    </row>
    <row r="137" spans="1:19" s="17" customFormat="1">
      <c r="A137" s="16" t="s">
        <v>133</v>
      </c>
      <c r="B137" s="17" t="s">
        <v>26</v>
      </c>
      <c r="C137" s="18"/>
      <c r="D137" s="19" t="s">
        <v>43</v>
      </c>
      <c r="E137" s="20"/>
      <c r="F137" s="21">
        <v>1</v>
      </c>
      <c r="G137" s="22" t="s">
        <v>21</v>
      </c>
      <c r="H137" s="21">
        <v>36</v>
      </c>
      <c r="I137" s="22" t="s">
        <v>43</v>
      </c>
      <c r="J137" s="23">
        <f>1760400/36</f>
        <v>48900</v>
      </c>
      <c r="K137" s="19" t="s">
        <v>43</v>
      </c>
      <c r="L137" s="24"/>
      <c r="M137" s="24">
        <v>0.17</v>
      </c>
      <c r="N137" s="18"/>
      <c r="O137" s="22" t="s">
        <v>43</v>
      </c>
      <c r="P137" s="18">
        <f t="shared" si="36"/>
        <v>0</v>
      </c>
      <c r="Q137" s="22" t="s">
        <v>43</v>
      </c>
      <c r="R137" s="23">
        <f t="shared" si="37"/>
        <v>0</v>
      </c>
      <c r="S137" s="23">
        <f t="shared" si="24"/>
        <v>0</v>
      </c>
    </row>
    <row r="138" spans="1:19" s="63" customFormat="1">
      <c r="A138" s="95" t="s">
        <v>134</v>
      </c>
      <c r="B138" s="96" t="s">
        <v>26</v>
      </c>
      <c r="C138" s="97">
        <v>336</v>
      </c>
      <c r="D138" s="98" t="s">
        <v>43</v>
      </c>
      <c r="E138" s="105"/>
      <c r="F138" s="100">
        <v>1</v>
      </c>
      <c r="G138" s="101" t="s">
        <v>21</v>
      </c>
      <c r="H138" s="100">
        <v>36</v>
      </c>
      <c r="I138" s="101" t="s">
        <v>43</v>
      </c>
      <c r="J138" s="102">
        <f>1890000/36</f>
        <v>52500</v>
      </c>
      <c r="K138" s="98" t="s">
        <v>43</v>
      </c>
      <c r="L138" s="103"/>
      <c r="M138" s="103">
        <v>0.17</v>
      </c>
      <c r="N138" s="97">
        <f>36+36+18+10+72+164</f>
        <v>336</v>
      </c>
      <c r="O138" s="101" t="s">
        <v>43</v>
      </c>
      <c r="P138" s="97">
        <f t="shared" ref="P138" si="50">(C138+(E138*F138*H138))-N138</f>
        <v>0</v>
      </c>
      <c r="Q138" s="101" t="s">
        <v>43</v>
      </c>
      <c r="R138" s="102">
        <f t="shared" ref="R138" si="51">P138*(J138-(J138*L138)-((J138-(J138*L138))*M138))</f>
        <v>0</v>
      </c>
      <c r="S138" s="102">
        <f t="shared" ref="S138" si="52">R138/1.11</f>
        <v>0</v>
      </c>
    </row>
    <row r="139" spans="1:19" s="45" customFormat="1">
      <c r="A139" s="35" t="s">
        <v>134</v>
      </c>
      <c r="B139" s="36" t="s">
        <v>26</v>
      </c>
      <c r="C139" s="37"/>
      <c r="D139" s="38" t="s">
        <v>43</v>
      </c>
      <c r="E139" s="39">
        <f>1+1+5</f>
        <v>7</v>
      </c>
      <c r="F139" s="40">
        <v>1</v>
      </c>
      <c r="G139" s="41" t="s">
        <v>21</v>
      </c>
      <c r="H139" s="40">
        <v>36</v>
      </c>
      <c r="I139" s="41" t="s">
        <v>43</v>
      </c>
      <c r="J139" s="42">
        <f>1998000/36</f>
        <v>55500</v>
      </c>
      <c r="K139" s="38" t="s">
        <v>43</v>
      </c>
      <c r="L139" s="43"/>
      <c r="M139" s="43">
        <v>0.17</v>
      </c>
      <c r="N139" s="37"/>
      <c r="O139" s="41" t="s">
        <v>43</v>
      </c>
      <c r="P139" s="37">
        <f t="shared" si="36"/>
        <v>252</v>
      </c>
      <c r="Q139" s="41" t="s">
        <v>43</v>
      </c>
      <c r="R139" s="42">
        <f t="shared" si="37"/>
        <v>11608380</v>
      </c>
      <c r="S139" s="42">
        <f t="shared" si="24"/>
        <v>10458000</v>
      </c>
    </row>
    <row r="140" spans="1:19" s="17" customFormat="1">
      <c r="A140" s="16" t="s">
        <v>135</v>
      </c>
      <c r="B140" s="17" t="s">
        <v>26</v>
      </c>
      <c r="C140" s="18">
        <v>36</v>
      </c>
      <c r="D140" s="19" t="s">
        <v>43</v>
      </c>
      <c r="E140" s="20"/>
      <c r="F140" s="21">
        <v>1</v>
      </c>
      <c r="G140" s="22" t="s">
        <v>21</v>
      </c>
      <c r="H140" s="21">
        <v>36</v>
      </c>
      <c r="I140" s="22" t="s">
        <v>43</v>
      </c>
      <c r="J140" s="23">
        <f>2116800/36</f>
        <v>58800</v>
      </c>
      <c r="K140" s="19" t="s">
        <v>43</v>
      </c>
      <c r="L140" s="24"/>
      <c r="M140" s="24">
        <v>0.17</v>
      </c>
      <c r="N140" s="18">
        <f>12+6+(48/12)+14</f>
        <v>36</v>
      </c>
      <c r="O140" s="22" t="s">
        <v>43</v>
      </c>
      <c r="P140" s="18">
        <f t="shared" si="36"/>
        <v>0</v>
      </c>
      <c r="Q140" s="22" t="s">
        <v>43</v>
      </c>
      <c r="R140" s="23">
        <f t="shared" si="37"/>
        <v>0</v>
      </c>
      <c r="S140" s="23">
        <f t="shared" si="24"/>
        <v>0</v>
      </c>
    </row>
    <row r="141" spans="1:19">
      <c r="A141" s="15" t="s">
        <v>136</v>
      </c>
      <c r="S141" s="23"/>
    </row>
    <row r="142" spans="1:19" s="17" customFormat="1">
      <c r="A142" s="16" t="s">
        <v>137</v>
      </c>
      <c r="B142" s="17" t="s">
        <v>19</v>
      </c>
      <c r="C142" s="18">
        <v>3</v>
      </c>
      <c r="D142" s="19" t="s">
        <v>43</v>
      </c>
      <c r="E142" s="20">
        <v>1</v>
      </c>
      <c r="F142" s="21">
        <v>60</v>
      </c>
      <c r="G142" s="22" t="s">
        <v>34</v>
      </c>
      <c r="H142" s="21">
        <v>1</v>
      </c>
      <c r="I142" s="22" t="s">
        <v>43</v>
      </c>
      <c r="J142" s="23">
        <f>4600*12</f>
        <v>55200</v>
      </c>
      <c r="K142" s="19" t="s">
        <v>43</v>
      </c>
      <c r="L142" s="24">
        <v>0.125</v>
      </c>
      <c r="M142" s="24">
        <v>0.05</v>
      </c>
      <c r="N142" s="18">
        <f>60+3</f>
        <v>63</v>
      </c>
      <c r="O142" s="22" t="s">
        <v>43</v>
      </c>
      <c r="P142" s="18">
        <f t="shared" ref="P142:P165" si="53">(C142+(E142*F142*H142))-N142</f>
        <v>0</v>
      </c>
      <c r="Q142" s="22" t="s">
        <v>43</v>
      </c>
      <c r="R142" s="23">
        <f t="shared" ref="R142:R165" si="54">P142*(J142-(J142*L142)-((J142-(J142*L142))*M142))</f>
        <v>0</v>
      </c>
      <c r="S142" s="23">
        <f t="shared" si="24"/>
        <v>0</v>
      </c>
    </row>
    <row r="143" spans="1:19" s="17" customFormat="1">
      <c r="A143" s="16" t="s">
        <v>138</v>
      </c>
      <c r="B143" s="17" t="s">
        <v>19</v>
      </c>
      <c r="C143" s="18"/>
      <c r="D143" s="19" t="s">
        <v>43</v>
      </c>
      <c r="E143" s="20"/>
      <c r="F143" s="21">
        <v>60</v>
      </c>
      <c r="G143" s="22" t="s">
        <v>34</v>
      </c>
      <c r="H143" s="21">
        <v>1</v>
      </c>
      <c r="I143" s="22" t="s">
        <v>43</v>
      </c>
      <c r="J143" s="23">
        <f>4500*12</f>
        <v>54000</v>
      </c>
      <c r="K143" s="19" t="s">
        <v>43</v>
      </c>
      <c r="L143" s="24">
        <v>0.125</v>
      </c>
      <c r="M143" s="24">
        <v>0.05</v>
      </c>
      <c r="N143" s="18"/>
      <c r="O143" s="22" t="s">
        <v>43</v>
      </c>
      <c r="P143" s="18">
        <f t="shared" si="53"/>
        <v>0</v>
      </c>
      <c r="Q143" s="22" t="s">
        <v>43</v>
      </c>
      <c r="R143" s="23">
        <f t="shared" si="54"/>
        <v>0</v>
      </c>
      <c r="S143" s="23">
        <f t="shared" si="24"/>
        <v>0</v>
      </c>
    </row>
    <row r="144" spans="1:19" s="17" customFormat="1">
      <c r="A144" s="16" t="s">
        <v>771</v>
      </c>
      <c r="B144" s="17" t="s">
        <v>19</v>
      </c>
      <c r="C144" s="18"/>
      <c r="D144" s="19" t="s">
        <v>43</v>
      </c>
      <c r="E144" s="20">
        <v>1</v>
      </c>
      <c r="F144" s="21">
        <v>60</v>
      </c>
      <c r="G144" s="22" t="s">
        <v>34</v>
      </c>
      <c r="H144" s="21">
        <v>1</v>
      </c>
      <c r="I144" s="22" t="s">
        <v>43</v>
      </c>
      <c r="J144" s="23">
        <f>4500*12</f>
        <v>54000</v>
      </c>
      <c r="K144" s="19" t="s">
        <v>43</v>
      </c>
      <c r="L144" s="24">
        <v>0.125</v>
      </c>
      <c r="M144" s="24">
        <v>0.05</v>
      </c>
      <c r="N144" s="18">
        <v>60</v>
      </c>
      <c r="O144" s="22" t="s">
        <v>43</v>
      </c>
      <c r="P144" s="18">
        <f t="shared" ref="P144" si="55">(C144+(E144*F144*H144))-N144</f>
        <v>0</v>
      </c>
      <c r="Q144" s="22" t="s">
        <v>43</v>
      </c>
      <c r="R144" s="23">
        <f t="shared" ref="R144" si="56">P144*(J144-(J144*L144)-((J144-(J144*L144))*M144))</f>
        <v>0</v>
      </c>
      <c r="S144" s="23">
        <f t="shared" ref="S144" si="57">R144/1.11</f>
        <v>0</v>
      </c>
    </row>
    <row r="145" spans="1:20" s="17" customFormat="1">
      <c r="A145" s="16" t="s">
        <v>139</v>
      </c>
      <c r="B145" s="17" t="s">
        <v>19</v>
      </c>
      <c r="C145" s="18"/>
      <c r="D145" s="19" t="s">
        <v>43</v>
      </c>
      <c r="E145" s="20"/>
      <c r="F145" s="21">
        <v>30</v>
      </c>
      <c r="G145" s="22" t="s">
        <v>34</v>
      </c>
      <c r="H145" s="21">
        <v>1</v>
      </c>
      <c r="I145" s="22" t="s">
        <v>43</v>
      </c>
      <c r="J145" s="23">
        <f>5500*12</f>
        <v>66000</v>
      </c>
      <c r="K145" s="19" t="s">
        <v>43</v>
      </c>
      <c r="L145" s="24">
        <v>0.125</v>
      </c>
      <c r="M145" s="24">
        <v>0.05</v>
      </c>
      <c r="N145" s="18"/>
      <c r="O145" s="22" t="s">
        <v>43</v>
      </c>
      <c r="P145" s="18">
        <f t="shared" si="53"/>
        <v>0</v>
      </c>
      <c r="Q145" s="22" t="s">
        <v>43</v>
      </c>
      <c r="R145" s="23">
        <f t="shared" si="54"/>
        <v>0</v>
      </c>
      <c r="S145" s="23">
        <f t="shared" si="24"/>
        <v>0</v>
      </c>
    </row>
    <row r="146" spans="1:20" s="45" customFormat="1">
      <c r="A146" s="44" t="s">
        <v>140</v>
      </c>
      <c r="B146" s="45" t="s">
        <v>19</v>
      </c>
      <c r="C146" s="46">
        <v>317</v>
      </c>
      <c r="D146" s="47" t="s">
        <v>43</v>
      </c>
      <c r="E146" s="48">
        <f>7+5+1</f>
        <v>13</v>
      </c>
      <c r="F146" s="49">
        <v>60</v>
      </c>
      <c r="G146" s="50" t="s">
        <v>34</v>
      </c>
      <c r="H146" s="49">
        <v>1</v>
      </c>
      <c r="I146" s="50" t="s">
        <v>43</v>
      </c>
      <c r="J146" s="51">
        <f>4800*12</f>
        <v>57600</v>
      </c>
      <c r="K146" s="47" t="s">
        <v>43</v>
      </c>
      <c r="L146" s="52">
        <v>0.125</v>
      </c>
      <c r="M146" s="52">
        <v>0.05</v>
      </c>
      <c r="N146" s="46">
        <f>5+60+10+5+120+60+4+60+60</f>
        <v>384</v>
      </c>
      <c r="O146" s="50" t="s">
        <v>43</v>
      </c>
      <c r="P146" s="46">
        <f t="shared" si="53"/>
        <v>713</v>
      </c>
      <c r="Q146" s="50" t="s">
        <v>43</v>
      </c>
      <c r="R146" s="51">
        <f t="shared" si="54"/>
        <v>34138440</v>
      </c>
      <c r="S146" s="51">
        <f t="shared" si="24"/>
        <v>30755351.351351347</v>
      </c>
    </row>
    <row r="147" spans="1:20" s="63" customFormat="1">
      <c r="A147" s="72" t="s">
        <v>141</v>
      </c>
      <c r="B147" s="63" t="s">
        <v>19</v>
      </c>
      <c r="C147" s="64"/>
      <c r="D147" s="65" t="s">
        <v>43</v>
      </c>
      <c r="E147" s="66"/>
      <c r="F147" s="67">
        <v>60</v>
      </c>
      <c r="G147" s="68" t="s">
        <v>34</v>
      </c>
      <c r="H147" s="67">
        <v>1</v>
      </c>
      <c r="I147" s="68" t="s">
        <v>43</v>
      </c>
      <c r="J147" s="69">
        <f>5800*12</f>
        <v>69600</v>
      </c>
      <c r="K147" s="65" t="s">
        <v>43</v>
      </c>
      <c r="L147" s="70">
        <v>0.125</v>
      </c>
      <c r="M147" s="70">
        <v>0.05</v>
      </c>
      <c r="N147" s="64"/>
      <c r="O147" s="68" t="s">
        <v>43</v>
      </c>
      <c r="P147" s="64">
        <f t="shared" si="53"/>
        <v>0</v>
      </c>
      <c r="Q147" s="68" t="s">
        <v>43</v>
      </c>
      <c r="R147" s="69">
        <f t="shared" si="54"/>
        <v>0</v>
      </c>
      <c r="S147" s="23">
        <f t="shared" si="24"/>
        <v>0</v>
      </c>
    </row>
    <row r="148" spans="1:20" s="63" customFormat="1">
      <c r="A148" s="72" t="s">
        <v>142</v>
      </c>
      <c r="B148" s="63" t="s">
        <v>19</v>
      </c>
      <c r="C148" s="64"/>
      <c r="D148" s="65" t="s">
        <v>43</v>
      </c>
      <c r="E148" s="66"/>
      <c r="F148" s="67">
        <v>40</v>
      </c>
      <c r="G148" s="68" t="s">
        <v>34</v>
      </c>
      <c r="H148" s="67">
        <v>1</v>
      </c>
      <c r="I148" s="68" t="s">
        <v>43</v>
      </c>
      <c r="J148" s="69">
        <f>8500*12</f>
        <v>102000</v>
      </c>
      <c r="K148" s="65" t="s">
        <v>43</v>
      </c>
      <c r="L148" s="70">
        <v>0.125</v>
      </c>
      <c r="M148" s="70">
        <v>0.05</v>
      </c>
      <c r="N148" s="64"/>
      <c r="O148" s="68" t="s">
        <v>43</v>
      </c>
      <c r="P148" s="64">
        <f t="shared" si="53"/>
        <v>0</v>
      </c>
      <c r="Q148" s="68" t="s">
        <v>43</v>
      </c>
      <c r="R148" s="69">
        <f t="shared" si="54"/>
        <v>0</v>
      </c>
      <c r="S148" s="23">
        <f t="shared" si="24"/>
        <v>0</v>
      </c>
    </row>
    <row r="149" spans="1:20" s="63" customFormat="1">
      <c r="A149" s="72" t="s">
        <v>143</v>
      </c>
      <c r="B149" s="63" t="s">
        <v>19</v>
      </c>
      <c r="C149" s="64"/>
      <c r="D149" s="65" t="s">
        <v>43</v>
      </c>
      <c r="E149" s="66"/>
      <c r="F149" s="67">
        <v>40</v>
      </c>
      <c r="G149" s="68" t="s">
        <v>34</v>
      </c>
      <c r="H149" s="67">
        <v>1</v>
      </c>
      <c r="I149" s="68" t="s">
        <v>43</v>
      </c>
      <c r="J149" s="69">
        <f>8800*12</f>
        <v>105600</v>
      </c>
      <c r="K149" s="65" t="s">
        <v>43</v>
      </c>
      <c r="L149" s="70">
        <v>0.125</v>
      </c>
      <c r="M149" s="70">
        <v>0.05</v>
      </c>
      <c r="N149" s="64"/>
      <c r="O149" s="68" t="s">
        <v>43</v>
      </c>
      <c r="P149" s="64">
        <f t="shared" si="53"/>
        <v>0</v>
      </c>
      <c r="Q149" s="68" t="s">
        <v>43</v>
      </c>
      <c r="R149" s="69">
        <f t="shared" si="54"/>
        <v>0</v>
      </c>
      <c r="S149" s="23">
        <f t="shared" si="24"/>
        <v>0</v>
      </c>
    </row>
    <row r="150" spans="1:20" s="63" customFormat="1">
      <c r="A150" s="72" t="s">
        <v>144</v>
      </c>
      <c r="B150" s="63" t="s">
        <v>26</v>
      </c>
      <c r="C150" s="64"/>
      <c r="D150" s="65" t="s">
        <v>43</v>
      </c>
      <c r="E150" s="66"/>
      <c r="F150" s="67">
        <v>1</v>
      </c>
      <c r="G150" s="68" t="s">
        <v>21</v>
      </c>
      <c r="H150" s="67">
        <v>36</v>
      </c>
      <c r="I150" s="68" t="s">
        <v>43</v>
      </c>
      <c r="J150" s="69">
        <f>2095200/36</f>
        <v>58200</v>
      </c>
      <c r="K150" s="65" t="s">
        <v>43</v>
      </c>
      <c r="L150" s="70"/>
      <c r="M150" s="70">
        <v>0.17</v>
      </c>
      <c r="N150" s="64"/>
      <c r="O150" s="68" t="s">
        <v>43</v>
      </c>
      <c r="P150" s="64">
        <f t="shared" si="53"/>
        <v>0</v>
      </c>
      <c r="Q150" s="68" t="s">
        <v>43</v>
      </c>
      <c r="R150" s="69">
        <f t="shared" si="54"/>
        <v>0</v>
      </c>
      <c r="S150" s="69">
        <f t="shared" si="24"/>
        <v>0</v>
      </c>
    </row>
    <row r="151" spans="1:20" s="17" customFormat="1">
      <c r="A151" s="44" t="s">
        <v>145</v>
      </c>
      <c r="B151" s="45" t="s">
        <v>26</v>
      </c>
      <c r="C151" s="46">
        <v>229</v>
      </c>
      <c r="D151" s="47" t="s">
        <v>43</v>
      </c>
      <c r="E151" s="48"/>
      <c r="F151" s="49">
        <v>1</v>
      </c>
      <c r="G151" s="50" t="s">
        <v>21</v>
      </c>
      <c r="H151" s="49">
        <v>48</v>
      </c>
      <c r="I151" s="50" t="s">
        <v>43</v>
      </c>
      <c r="J151" s="51">
        <f>2793600/48</f>
        <v>58200</v>
      </c>
      <c r="K151" s="47" t="s">
        <v>43</v>
      </c>
      <c r="L151" s="52"/>
      <c r="M151" s="52">
        <v>0.17</v>
      </c>
      <c r="N151" s="46">
        <f>1+2+2+48+5+10+1+3+1+1</f>
        <v>74</v>
      </c>
      <c r="O151" s="50" t="s">
        <v>43</v>
      </c>
      <c r="P151" s="46">
        <f t="shared" si="53"/>
        <v>155</v>
      </c>
      <c r="Q151" s="50" t="s">
        <v>43</v>
      </c>
      <c r="R151" s="51">
        <f t="shared" si="54"/>
        <v>7487430</v>
      </c>
      <c r="S151" s="32">
        <f t="shared" si="24"/>
        <v>6745432.4324324317</v>
      </c>
      <c r="T151" s="45"/>
    </row>
    <row r="152" spans="1:20" s="17" customFormat="1">
      <c r="A152" s="72" t="s">
        <v>146</v>
      </c>
      <c r="B152" s="63" t="s">
        <v>26</v>
      </c>
      <c r="C152" s="64">
        <v>16</v>
      </c>
      <c r="D152" s="65" t="s">
        <v>43</v>
      </c>
      <c r="E152" s="66">
        <f>1+1</f>
        <v>2</v>
      </c>
      <c r="F152" s="67">
        <v>1</v>
      </c>
      <c r="G152" s="68" t="s">
        <v>21</v>
      </c>
      <c r="H152" s="67">
        <v>48</v>
      </c>
      <c r="I152" s="68" t="s">
        <v>43</v>
      </c>
      <c r="J152" s="69">
        <f>3916800/48</f>
        <v>81600</v>
      </c>
      <c r="K152" s="65" t="s">
        <v>43</v>
      </c>
      <c r="L152" s="70"/>
      <c r="M152" s="70">
        <v>0.17</v>
      </c>
      <c r="N152" s="64">
        <f>48+48+16</f>
        <v>112</v>
      </c>
      <c r="O152" s="68" t="s">
        <v>43</v>
      </c>
      <c r="P152" s="64">
        <f t="shared" si="53"/>
        <v>0</v>
      </c>
      <c r="Q152" s="68" t="s">
        <v>43</v>
      </c>
      <c r="R152" s="69">
        <f t="shared" si="54"/>
        <v>0</v>
      </c>
      <c r="S152" s="23">
        <f t="shared" si="24"/>
        <v>0</v>
      </c>
      <c r="T152" s="63"/>
    </row>
    <row r="153" spans="1:20" s="26" customFormat="1">
      <c r="A153" s="16" t="s">
        <v>147</v>
      </c>
      <c r="B153" s="17" t="s">
        <v>26</v>
      </c>
      <c r="C153" s="18"/>
      <c r="D153" s="19" t="s">
        <v>43</v>
      </c>
      <c r="E153" s="20"/>
      <c r="F153" s="21">
        <v>1</v>
      </c>
      <c r="G153" s="22" t="s">
        <v>21</v>
      </c>
      <c r="H153" s="21">
        <v>48</v>
      </c>
      <c r="I153" s="22" t="s">
        <v>43</v>
      </c>
      <c r="J153" s="23">
        <f>5100*12</f>
        <v>61200</v>
      </c>
      <c r="K153" s="19" t="s">
        <v>43</v>
      </c>
      <c r="L153" s="24"/>
      <c r="M153" s="24">
        <v>0.17</v>
      </c>
      <c r="N153" s="18"/>
      <c r="O153" s="22" t="s">
        <v>43</v>
      </c>
      <c r="P153" s="18">
        <f t="shared" si="53"/>
        <v>0</v>
      </c>
      <c r="Q153" s="22" t="s">
        <v>43</v>
      </c>
      <c r="R153" s="23">
        <f t="shared" si="54"/>
        <v>0</v>
      </c>
      <c r="S153" s="23">
        <f t="shared" si="24"/>
        <v>0</v>
      </c>
      <c r="T153" s="17"/>
    </row>
    <row r="154" spans="1:20">
      <c r="A154" s="16" t="s">
        <v>148</v>
      </c>
      <c r="B154" s="17" t="s">
        <v>26</v>
      </c>
      <c r="C154" s="18"/>
      <c r="D154" s="19" t="s">
        <v>43</v>
      </c>
      <c r="E154" s="20"/>
      <c r="F154" s="21">
        <v>1</v>
      </c>
      <c r="G154" s="22" t="s">
        <v>21</v>
      </c>
      <c r="H154" s="21">
        <v>48</v>
      </c>
      <c r="I154" s="22" t="s">
        <v>43</v>
      </c>
      <c r="J154" s="23">
        <f>4250*12</f>
        <v>51000</v>
      </c>
      <c r="K154" s="19" t="s">
        <v>43</v>
      </c>
      <c r="L154" s="24"/>
      <c r="M154" s="24">
        <v>0.17</v>
      </c>
      <c r="N154" s="18"/>
      <c r="O154" s="22" t="s">
        <v>43</v>
      </c>
      <c r="P154" s="18">
        <f t="shared" si="53"/>
        <v>0</v>
      </c>
      <c r="Q154" s="22" t="s">
        <v>43</v>
      </c>
      <c r="R154" s="23">
        <f t="shared" si="54"/>
        <v>0</v>
      </c>
      <c r="S154" s="23">
        <f t="shared" si="24"/>
        <v>0</v>
      </c>
      <c r="T154" s="17"/>
    </row>
    <row r="155" spans="1:20" s="45" customFormat="1">
      <c r="A155" s="44" t="s">
        <v>149</v>
      </c>
      <c r="B155" s="45" t="s">
        <v>26</v>
      </c>
      <c r="C155" s="46">
        <v>48</v>
      </c>
      <c r="D155" s="47" t="s">
        <v>43</v>
      </c>
      <c r="E155" s="48">
        <v>1</v>
      </c>
      <c r="F155" s="49">
        <v>1</v>
      </c>
      <c r="G155" s="50" t="s">
        <v>21</v>
      </c>
      <c r="H155" s="49">
        <v>48</v>
      </c>
      <c r="I155" s="50" t="s">
        <v>43</v>
      </c>
      <c r="J155" s="51">
        <f>2592000/48</f>
        <v>54000</v>
      </c>
      <c r="K155" s="47" t="s">
        <v>43</v>
      </c>
      <c r="L155" s="52"/>
      <c r="M155" s="52">
        <v>0.17</v>
      </c>
      <c r="N155" s="46">
        <f>10+4+2+32</f>
        <v>48</v>
      </c>
      <c r="O155" s="50" t="s">
        <v>43</v>
      </c>
      <c r="P155" s="46">
        <f t="shared" si="53"/>
        <v>48</v>
      </c>
      <c r="Q155" s="50" t="s">
        <v>43</v>
      </c>
      <c r="R155" s="51">
        <f t="shared" si="54"/>
        <v>2151360</v>
      </c>
      <c r="S155" s="51">
        <f t="shared" si="24"/>
        <v>1938162.1621621619</v>
      </c>
    </row>
    <row r="156" spans="1:20" s="45" customFormat="1">
      <c r="A156" s="25" t="s">
        <v>150</v>
      </c>
      <c r="B156" s="26" t="s">
        <v>26</v>
      </c>
      <c r="C156" s="27"/>
      <c r="D156" s="28" t="s">
        <v>43</v>
      </c>
      <c r="E156" s="29">
        <v>1</v>
      </c>
      <c r="F156" s="30">
        <v>1</v>
      </c>
      <c r="G156" s="31" t="s">
        <v>21</v>
      </c>
      <c r="H156" s="30">
        <v>48</v>
      </c>
      <c r="I156" s="31" t="s">
        <v>43</v>
      </c>
      <c r="J156" s="32">
        <f>2448000/48</f>
        <v>51000</v>
      </c>
      <c r="K156" s="28" t="s">
        <v>43</v>
      </c>
      <c r="L156" s="33"/>
      <c r="M156" s="33">
        <v>0.17</v>
      </c>
      <c r="N156" s="27">
        <f>10+3+5+3</f>
        <v>21</v>
      </c>
      <c r="O156" s="31" t="s">
        <v>43</v>
      </c>
      <c r="P156" s="27">
        <f t="shared" si="53"/>
        <v>27</v>
      </c>
      <c r="Q156" s="31" t="s">
        <v>43</v>
      </c>
      <c r="R156" s="32">
        <f t="shared" si="54"/>
        <v>1142910</v>
      </c>
      <c r="S156" s="32">
        <f t="shared" si="24"/>
        <v>1029648.6486486485</v>
      </c>
      <c r="T156" s="26"/>
    </row>
    <row r="157" spans="1:20" s="17" customFormat="1">
      <c r="A157" s="16" t="s">
        <v>151</v>
      </c>
      <c r="B157" s="17" t="s">
        <v>26</v>
      </c>
      <c r="C157" s="18"/>
      <c r="D157" s="19" t="s">
        <v>43</v>
      </c>
      <c r="E157" s="20"/>
      <c r="F157" s="21">
        <v>1</v>
      </c>
      <c r="G157" s="22" t="s">
        <v>21</v>
      </c>
      <c r="H157" s="21">
        <v>24</v>
      </c>
      <c r="I157" s="22" t="s">
        <v>43</v>
      </c>
      <c r="J157" s="23">
        <f>2491200/24</f>
        <v>103800</v>
      </c>
      <c r="K157" s="19" t="s">
        <v>43</v>
      </c>
      <c r="L157" s="24"/>
      <c r="M157" s="24">
        <v>0.17</v>
      </c>
      <c r="N157" s="18"/>
      <c r="O157" s="22" t="s">
        <v>43</v>
      </c>
      <c r="P157" s="18">
        <f t="shared" si="53"/>
        <v>0</v>
      </c>
      <c r="Q157" s="22" t="s">
        <v>43</v>
      </c>
      <c r="R157" s="23">
        <f t="shared" si="54"/>
        <v>0</v>
      </c>
      <c r="S157" s="23">
        <f t="shared" ref="S157:S228" si="58">R157/1.11</f>
        <v>0</v>
      </c>
    </row>
    <row r="158" spans="1:20" s="17" customFormat="1">
      <c r="A158" s="25" t="s">
        <v>152</v>
      </c>
      <c r="B158" s="26" t="s">
        <v>26</v>
      </c>
      <c r="C158" s="27">
        <v>3</v>
      </c>
      <c r="D158" s="28" t="s">
        <v>43</v>
      </c>
      <c r="E158" s="29"/>
      <c r="F158" s="30">
        <v>1</v>
      </c>
      <c r="G158" s="31" t="s">
        <v>21</v>
      </c>
      <c r="H158" s="30">
        <v>36</v>
      </c>
      <c r="I158" s="31" t="s">
        <v>43</v>
      </c>
      <c r="J158" s="32">
        <f>3736800/36</f>
        <v>103800</v>
      </c>
      <c r="K158" s="28" t="s">
        <v>43</v>
      </c>
      <c r="L158" s="33"/>
      <c r="M158" s="33">
        <v>0.17</v>
      </c>
      <c r="N158" s="27"/>
      <c r="O158" s="31" t="s">
        <v>43</v>
      </c>
      <c r="P158" s="27">
        <f t="shared" si="53"/>
        <v>3</v>
      </c>
      <c r="Q158" s="31" t="s">
        <v>43</v>
      </c>
      <c r="R158" s="32">
        <f t="shared" si="54"/>
        <v>258462</v>
      </c>
      <c r="S158" s="32">
        <f t="shared" si="58"/>
        <v>232848.64864864864</v>
      </c>
      <c r="T158" s="26"/>
    </row>
    <row r="159" spans="1:20" s="26" customFormat="1">
      <c r="A159" s="34" t="s">
        <v>153</v>
      </c>
      <c r="B159" s="2" t="s">
        <v>26</v>
      </c>
      <c r="C159" s="3">
        <v>2</v>
      </c>
      <c r="D159" s="4" t="s">
        <v>43</v>
      </c>
      <c r="E159" s="5">
        <v>1</v>
      </c>
      <c r="F159" s="6">
        <v>1</v>
      </c>
      <c r="G159" s="7" t="s">
        <v>21</v>
      </c>
      <c r="H159" s="6">
        <v>48</v>
      </c>
      <c r="I159" s="7" t="s">
        <v>43</v>
      </c>
      <c r="J159" s="8">
        <f>2592000/48</f>
        <v>54000</v>
      </c>
      <c r="K159" s="4" t="s">
        <v>43</v>
      </c>
      <c r="L159" s="9"/>
      <c r="M159" s="9">
        <v>0.17</v>
      </c>
      <c r="N159" s="3">
        <f>10+4+3</f>
        <v>17</v>
      </c>
      <c r="O159" s="7" t="s">
        <v>43</v>
      </c>
      <c r="P159" s="3">
        <f t="shared" si="53"/>
        <v>33</v>
      </c>
      <c r="Q159" s="7" t="s">
        <v>43</v>
      </c>
      <c r="R159" s="8">
        <f t="shared" si="54"/>
        <v>1479060</v>
      </c>
      <c r="S159" s="32">
        <f t="shared" si="58"/>
        <v>1332486.4864864864</v>
      </c>
      <c r="T159" s="2"/>
    </row>
    <row r="160" spans="1:20" s="17" customFormat="1">
      <c r="A160" s="16" t="s">
        <v>154</v>
      </c>
      <c r="B160" s="17" t="s">
        <v>26</v>
      </c>
      <c r="C160" s="18">
        <v>5</v>
      </c>
      <c r="D160" s="19" t="s">
        <v>43</v>
      </c>
      <c r="E160" s="20"/>
      <c r="F160" s="21">
        <v>1</v>
      </c>
      <c r="G160" s="22" t="s">
        <v>21</v>
      </c>
      <c r="H160" s="21">
        <v>48</v>
      </c>
      <c r="I160" s="22" t="s">
        <v>43</v>
      </c>
      <c r="J160" s="23">
        <f>2880000/48</f>
        <v>60000</v>
      </c>
      <c r="K160" s="19" t="s">
        <v>43</v>
      </c>
      <c r="L160" s="24"/>
      <c r="M160" s="24">
        <v>0.17</v>
      </c>
      <c r="N160" s="18">
        <f>3+5-3</f>
        <v>5</v>
      </c>
      <c r="O160" s="22" t="s">
        <v>43</v>
      </c>
      <c r="P160" s="18">
        <f t="shared" si="53"/>
        <v>0</v>
      </c>
      <c r="Q160" s="22" t="s">
        <v>43</v>
      </c>
      <c r="R160" s="23">
        <f t="shared" si="54"/>
        <v>0</v>
      </c>
      <c r="S160" s="23">
        <f t="shared" si="58"/>
        <v>0</v>
      </c>
    </row>
    <row r="161" spans="1:19" s="45" customFormat="1">
      <c r="A161" s="44" t="s">
        <v>155</v>
      </c>
      <c r="B161" s="45" t="s">
        <v>26</v>
      </c>
      <c r="C161" s="46">
        <v>160</v>
      </c>
      <c r="D161" s="47" t="s">
        <v>43</v>
      </c>
      <c r="E161" s="48"/>
      <c r="F161" s="49">
        <v>1</v>
      </c>
      <c r="G161" s="50" t="s">
        <v>21</v>
      </c>
      <c r="H161" s="49">
        <v>48</v>
      </c>
      <c r="I161" s="50" t="s">
        <v>43</v>
      </c>
      <c r="J161" s="51">
        <f>2736000/48</f>
        <v>57000</v>
      </c>
      <c r="K161" s="47" t="s">
        <v>43</v>
      </c>
      <c r="L161" s="52"/>
      <c r="M161" s="52">
        <v>0.17</v>
      </c>
      <c r="N161" s="46">
        <f>10+48</f>
        <v>58</v>
      </c>
      <c r="O161" s="50" t="s">
        <v>43</v>
      </c>
      <c r="P161" s="46">
        <f t="shared" si="53"/>
        <v>102</v>
      </c>
      <c r="Q161" s="50" t="s">
        <v>43</v>
      </c>
      <c r="R161" s="51">
        <f t="shared" si="54"/>
        <v>4825620</v>
      </c>
      <c r="S161" s="51">
        <f t="shared" si="58"/>
        <v>4347405.405405405</v>
      </c>
    </row>
    <row r="162" spans="1:19" s="26" customFormat="1">
      <c r="A162" s="25" t="s">
        <v>156</v>
      </c>
      <c r="B162" s="26" t="s">
        <v>26</v>
      </c>
      <c r="C162" s="27">
        <v>15</v>
      </c>
      <c r="D162" s="28" t="s">
        <v>43</v>
      </c>
      <c r="E162" s="29"/>
      <c r="F162" s="30">
        <v>1</v>
      </c>
      <c r="G162" s="31" t="s">
        <v>21</v>
      </c>
      <c r="H162" s="30">
        <v>48</v>
      </c>
      <c r="I162" s="31" t="s">
        <v>43</v>
      </c>
      <c r="J162" s="32">
        <f>2736000/48</f>
        <v>57000</v>
      </c>
      <c r="K162" s="28" t="s">
        <v>43</v>
      </c>
      <c r="L162" s="33"/>
      <c r="M162" s="33">
        <v>0.17</v>
      </c>
      <c r="N162" s="27">
        <f>(5-2)+1</f>
        <v>4</v>
      </c>
      <c r="O162" s="31" t="s">
        <v>43</v>
      </c>
      <c r="P162" s="27">
        <f t="shared" si="53"/>
        <v>11</v>
      </c>
      <c r="Q162" s="31" t="s">
        <v>43</v>
      </c>
      <c r="R162" s="32">
        <f t="shared" si="54"/>
        <v>520410</v>
      </c>
      <c r="S162" s="32">
        <f t="shared" si="58"/>
        <v>468837.83783783781</v>
      </c>
    </row>
    <row r="163" spans="1:19" s="17" customFormat="1">
      <c r="A163" s="16" t="s">
        <v>157</v>
      </c>
      <c r="B163" s="17" t="s">
        <v>26</v>
      </c>
      <c r="C163" s="18"/>
      <c r="D163" s="19" t="s">
        <v>43</v>
      </c>
      <c r="E163" s="20">
        <v>1</v>
      </c>
      <c r="F163" s="21">
        <v>1</v>
      </c>
      <c r="G163" s="22" t="s">
        <v>21</v>
      </c>
      <c r="H163" s="21">
        <v>48</v>
      </c>
      <c r="I163" s="22" t="s">
        <v>43</v>
      </c>
      <c r="J163" s="23">
        <f>3024000/48</f>
        <v>63000</v>
      </c>
      <c r="K163" s="19" t="s">
        <v>43</v>
      </c>
      <c r="L163" s="24"/>
      <c r="M163" s="24">
        <v>0.17</v>
      </c>
      <c r="N163" s="18">
        <v>48</v>
      </c>
      <c r="O163" s="22" t="s">
        <v>43</v>
      </c>
      <c r="P163" s="18">
        <f t="shared" si="53"/>
        <v>0</v>
      </c>
      <c r="Q163" s="22" t="s">
        <v>43</v>
      </c>
      <c r="R163" s="23">
        <f t="shared" si="54"/>
        <v>0</v>
      </c>
      <c r="S163" s="23">
        <f t="shared" si="58"/>
        <v>0</v>
      </c>
    </row>
    <row r="164" spans="1:19" s="17" customFormat="1">
      <c r="A164" s="16" t="s">
        <v>158</v>
      </c>
      <c r="B164" s="17" t="s">
        <v>26</v>
      </c>
      <c r="C164" s="18"/>
      <c r="D164" s="19" t="s">
        <v>43</v>
      </c>
      <c r="E164" s="20">
        <v>1</v>
      </c>
      <c r="F164" s="21">
        <v>1</v>
      </c>
      <c r="G164" s="22" t="s">
        <v>21</v>
      </c>
      <c r="H164" s="21">
        <v>48</v>
      </c>
      <c r="I164" s="22" t="s">
        <v>43</v>
      </c>
      <c r="J164" s="23">
        <f>2995200/48</f>
        <v>62400</v>
      </c>
      <c r="K164" s="19" t="s">
        <v>43</v>
      </c>
      <c r="L164" s="24"/>
      <c r="M164" s="24">
        <v>0.17</v>
      </c>
      <c r="N164" s="18">
        <v>48</v>
      </c>
      <c r="O164" s="22" t="s">
        <v>43</v>
      </c>
      <c r="P164" s="18">
        <f t="shared" si="53"/>
        <v>0</v>
      </c>
      <c r="Q164" s="22" t="s">
        <v>43</v>
      </c>
      <c r="R164" s="23">
        <f t="shared" si="54"/>
        <v>0</v>
      </c>
      <c r="S164" s="23">
        <f t="shared" si="58"/>
        <v>0</v>
      </c>
    </row>
    <row r="165" spans="1:19" s="17" customFormat="1">
      <c r="A165" s="16" t="s">
        <v>159</v>
      </c>
      <c r="B165" s="17" t="s">
        <v>26</v>
      </c>
      <c r="C165" s="18"/>
      <c r="D165" s="19" t="s">
        <v>43</v>
      </c>
      <c r="E165" s="20"/>
      <c r="F165" s="21">
        <v>1</v>
      </c>
      <c r="G165" s="22" t="s">
        <v>21</v>
      </c>
      <c r="H165" s="21">
        <v>48</v>
      </c>
      <c r="I165" s="22" t="s">
        <v>43</v>
      </c>
      <c r="J165" s="23">
        <f>2995200/48</f>
        <v>62400</v>
      </c>
      <c r="K165" s="19" t="s">
        <v>43</v>
      </c>
      <c r="L165" s="24"/>
      <c r="M165" s="24">
        <v>0.17</v>
      </c>
      <c r="N165" s="18"/>
      <c r="O165" s="22" t="s">
        <v>43</v>
      </c>
      <c r="P165" s="18">
        <f t="shared" si="53"/>
        <v>0</v>
      </c>
      <c r="Q165" s="22" t="s">
        <v>43</v>
      </c>
      <c r="R165" s="23">
        <f t="shared" si="54"/>
        <v>0</v>
      </c>
      <c r="S165" s="23">
        <f t="shared" si="58"/>
        <v>0</v>
      </c>
    </row>
    <row r="166" spans="1:19">
      <c r="S166" s="23"/>
    </row>
    <row r="167" spans="1:19" ht="15.75">
      <c r="A167" s="14" t="s">
        <v>160</v>
      </c>
      <c r="S167" s="23"/>
    </row>
    <row r="168" spans="1:19" s="63" customFormat="1">
      <c r="A168" s="93" t="s">
        <v>781</v>
      </c>
      <c r="B168" s="63" t="s">
        <v>19</v>
      </c>
      <c r="C168" s="64"/>
      <c r="D168" s="65" t="s">
        <v>162</v>
      </c>
      <c r="E168" s="66">
        <v>4</v>
      </c>
      <c r="F168" s="67">
        <v>12</v>
      </c>
      <c r="G168" s="68" t="s">
        <v>34</v>
      </c>
      <c r="H168" s="67">
        <v>12</v>
      </c>
      <c r="I168" s="68" t="s">
        <v>162</v>
      </c>
      <c r="J168" s="69">
        <v>11000</v>
      </c>
      <c r="K168" s="65" t="s">
        <v>162</v>
      </c>
      <c r="L168" s="70">
        <v>0.125</v>
      </c>
      <c r="M168" s="70">
        <v>0.05</v>
      </c>
      <c r="N168" s="64">
        <v>576</v>
      </c>
      <c r="O168" s="68" t="s">
        <v>162</v>
      </c>
      <c r="P168" s="64">
        <f t="shared" ref="P168:P189" si="59">(C168+(E168*F168*H168))-N168</f>
        <v>0</v>
      </c>
      <c r="Q168" s="68" t="s">
        <v>162</v>
      </c>
      <c r="R168" s="69">
        <f t="shared" ref="R168:R189" si="60">P168*(J168-(J168*L168)-((J168-(J168*L168))*M168))</f>
        <v>0</v>
      </c>
      <c r="S168" s="23">
        <f t="shared" si="58"/>
        <v>0</v>
      </c>
    </row>
    <row r="169" spans="1:19" s="63" customFormat="1">
      <c r="A169" s="93" t="s">
        <v>161</v>
      </c>
      <c r="B169" s="63" t="s">
        <v>19</v>
      </c>
      <c r="C169" s="64">
        <v>2304</v>
      </c>
      <c r="D169" s="65" t="s">
        <v>162</v>
      </c>
      <c r="E169" s="66"/>
      <c r="F169" s="67">
        <v>12</v>
      </c>
      <c r="G169" s="68" t="s">
        <v>34</v>
      </c>
      <c r="H169" s="67">
        <v>12</v>
      </c>
      <c r="I169" s="68" t="s">
        <v>162</v>
      </c>
      <c r="J169" s="69">
        <v>11000</v>
      </c>
      <c r="K169" s="65" t="s">
        <v>162</v>
      </c>
      <c r="L169" s="70">
        <v>0.125</v>
      </c>
      <c r="M169" s="70">
        <v>0.05</v>
      </c>
      <c r="N169" s="64">
        <f>144+144+24+144+720+432+36+660</f>
        <v>2304</v>
      </c>
      <c r="O169" s="68" t="s">
        <v>162</v>
      </c>
      <c r="P169" s="64">
        <f t="shared" ref="P169" si="61">(C169+(E169*F169*H169))-N169</f>
        <v>0</v>
      </c>
      <c r="Q169" s="68" t="s">
        <v>162</v>
      </c>
      <c r="R169" s="69">
        <f t="shared" ref="R169" si="62">P169*(J169-(J169*L169)-((J169-(J169*L169))*M169))</f>
        <v>0</v>
      </c>
      <c r="S169" s="23">
        <f t="shared" ref="S169" si="63">R169/1.11</f>
        <v>0</v>
      </c>
    </row>
    <row r="170" spans="1:19" s="63" customFormat="1">
      <c r="A170" s="93" t="s">
        <v>163</v>
      </c>
      <c r="B170" s="63" t="s">
        <v>19</v>
      </c>
      <c r="C170" s="64"/>
      <c r="D170" s="65" t="s">
        <v>162</v>
      </c>
      <c r="E170" s="66">
        <v>2</v>
      </c>
      <c r="F170" s="67">
        <v>6</v>
      </c>
      <c r="G170" s="68" t="s">
        <v>34</v>
      </c>
      <c r="H170" s="67">
        <v>24</v>
      </c>
      <c r="I170" s="68" t="s">
        <v>162</v>
      </c>
      <c r="J170" s="69">
        <v>9000</v>
      </c>
      <c r="K170" s="65" t="s">
        <v>162</v>
      </c>
      <c r="L170" s="70">
        <v>0.125</v>
      </c>
      <c r="M170" s="70">
        <v>0.05</v>
      </c>
      <c r="N170" s="64">
        <v>288</v>
      </c>
      <c r="O170" s="68" t="s">
        <v>162</v>
      </c>
      <c r="P170" s="64">
        <f t="shared" si="59"/>
        <v>0</v>
      </c>
      <c r="Q170" s="68" t="s">
        <v>162</v>
      </c>
      <c r="R170" s="69">
        <f t="shared" si="60"/>
        <v>0</v>
      </c>
      <c r="S170" s="23">
        <f t="shared" si="58"/>
        <v>0</v>
      </c>
    </row>
    <row r="171" spans="1:19" s="45" customFormat="1">
      <c r="A171" s="44" t="s">
        <v>164</v>
      </c>
      <c r="B171" s="45" t="s">
        <v>19</v>
      </c>
      <c r="C171" s="46">
        <v>4524</v>
      </c>
      <c r="D171" s="47" t="s">
        <v>162</v>
      </c>
      <c r="E171" s="48">
        <f>2+35+6</f>
        <v>43</v>
      </c>
      <c r="F171" s="49">
        <v>1</v>
      </c>
      <c r="G171" s="50" t="s">
        <v>21</v>
      </c>
      <c r="H171" s="49">
        <v>144</v>
      </c>
      <c r="I171" s="50" t="s">
        <v>162</v>
      </c>
      <c r="J171" s="51">
        <v>11900</v>
      </c>
      <c r="K171" s="47" t="s">
        <v>162</v>
      </c>
      <c r="L171" s="52">
        <v>0.125</v>
      </c>
      <c r="M171" s="52">
        <v>0.05</v>
      </c>
      <c r="N171" s="46">
        <f>144+720+720+288+288+720+432+(5*12)+288+1440+144+288+144+288+144+720+144+720+720+144+288+288</f>
        <v>9132</v>
      </c>
      <c r="O171" s="50" t="s">
        <v>162</v>
      </c>
      <c r="P171" s="46">
        <f t="shared" si="59"/>
        <v>1584</v>
      </c>
      <c r="Q171" s="50" t="s">
        <v>162</v>
      </c>
      <c r="R171" s="51">
        <f t="shared" si="60"/>
        <v>15668730</v>
      </c>
      <c r="S171" s="51">
        <f t="shared" si="58"/>
        <v>14115972.972972972</v>
      </c>
    </row>
    <row r="172" spans="1:19" s="63" customFormat="1">
      <c r="A172" s="72" t="s">
        <v>165</v>
      </c>
      <c r="B172" s="63" t="s">
        <v>19</v>
      </c>
      <c r="C172" s="64">
        <v>72</v>
      </c>
      <c r="D172" s="65" t="s">
        <v>162</v>
      </c>
      <c r="E172" s="66">
        <f>2+10+1</f>
        <v>13</v>
      </c>
      <c r="F172" s="67">
        <v>6</v>
      </c>
      <c r="G172" s="68" t="s">
        <v>34</v>
      </c>
      <c r="H172" s="67">
        <v>12</v>
      </c>
      <c r="I172" s="68" t="s">
        <v>162</v>
      </c>
      <c r="J172" s="69">
        <v>23000</v>
      </c>
      <c r="K172" s="65" t="s">
        <v>162</v>
      </c>
      <c r="L172" s="70">
        <v>0.125</v>
      </c>
      <c r="M172" s="70">
        <v>0.05</v>
      </c>
      <c r="N172" s="64">
        <f>72+360+144+144+72+72+144</f>
        <v>1008</v>
      </c>
      <c r="O172" s="68" t="s">
        <v>162</v>
      </c>
      <c r="P172" s="64">
        <f t="shared" si="59"/>
        <v>0</v>
      </c>
      <c r="Q172" s="68" t="s">
        <v>162</v>
      </c>
      <c r="R172" s="69">
        <f t="shared" si="60"/>
        <v>0</v>
      </c>
      <c r="S172" s="69">
        <f t="shared" si="58"/>
        <v>0</v>
      </c>
    </row>
    <row r="173" spans="1:19" s="63" customFormat="1">
      <c r="A173" s="72" t="s">
        <v>166</v>
      </c>
      <c r="B173" s="63" t="s">
        <v>19</v>
      </c>
      <c r="C173" s="64">
        <f>1440+12</f>
        <v>1452</v>
      </c>
      <c r="D173" s="65" t="s">
        <v>162</v>
      </c>
      <c r="E173" s="66">
        <v>1</v>
      </c>
      <c r="F173" s="67">
        <v>8</v>
      </c>
      <c r="G173" s="68" t="s">
        <v>34</v>
      </c>
      <c r="H173" s="67">
        <v>6</v>
      </c>
      <c r="I173" s="68" t="s">
        <v>162</v>
      </c>
      <c r="J173" s="69">
        <v>28700</v>
      </c>
      <c r="K173" s="65" t="s">
        <v>162</v>
      </c>
      <c r="L173" s="70">
        <v>0.125</v>
      </c>
      <c r="M173" s="70">
        <v>0.05</v>
      </c>
      <c r="N173" s="64">
        <f>240+48+96+48+96+(1*12)+96+48+48+48+96+240+240+48+96</f>
        <v>1500</v>
      </c>
      <c r="O173" s="68" t="s">
        <v>162</v>
      </c>
      <c r="P173" s="64">
        <f>(C173+(E173*F173*H173))-N173</f>
        <v>0</v>
      </c>
      <c r="Q173" s="68" t="s">
        <v>162</v>
      </c>
      <c r="R173" s="69">
        <f>P173*(J173-(J173*L173)-((J173-(J173*L173))*M173))</f>
        <v>0</v>
      </c>
      <c r="S173" s="69">
        <f t="shared" si="58"/>
        <v>0</v>
      </c>
    </row>
    <row r="174" spans="1:19" s="45" customFormat="1">
      <c r="A174" s="44" t="s">
        <v>167</v>
      </c>
      <c r="B174" s="45" t="s">
        <v>19</v>
      </c>
      <c r="C174" s="46">
        <v>198</v>
      </c>
      <c r="D174" s="47" t="s">
        <v>162</v>
      </c>
      <c r="E174" s="48">
        <v>6</v>
      </c>
      <c r="F174" s="49">
        <v>6</v>
      </c>
      <c r="G174" s="50" t="s">
        <v>34</v>
      </c>
      <c r="H174" s="49">
        <v>6</v>
      </c>
      <c r="I174" s="50" t="s">
        <v>162</v>
      </c>
      <c r="J174" s="51">
        <v>41500</v>
      </c>
      <c r="K174" s="47" t="s">
        <v>162</v>
      </c>
      <c r="L174" s="52">
        <v>0.125</v>
      </c>
      <c r="M174" s="52">
        <v>0.05</v>
      </c>
      <c r="N174" s="46">
        <f>36+36+36+36+12+36+36+36</f>
        <v>264</v>
      </c>
      <c r="O174" s="50" t="s">
        <v>162</v>
      </c>
      <c r="P174" s="46">
        <f t="shared" si="59"/>
        <v>150</v>
      </c>
      <c r="Q174" s="50" t="s">
        <v>162</v>
      </c>
      <c r="R174" s="51">
        <f t="shared" si="60"/>
        <v>5174531.25</v>
      </c>
      <c r="S174" s="51">
        <f>R174/1.11</f>
        <v>4661739.8648648644</v>
      </c>
    </row>
    <row r="175" spans="1:19" s="45" customFormat="1">
      <c r="A175" s="44" t="s">
        <v>168</v>
      </c>
      <c r="B175" s="45" t="s">
        <v>19</v>
      </c>
      <c r="C175" s="46"/>
      <c r="D175" s="47" t="s">
        <v>162</v>
      </c>
      <c r="E175" s="48">
        <f>5+6+5</f>
        <v>16</v>
      </c>
      <c r="F175" s="49">
        <v>4</v>
      </c>
      <c r="G175" s="50" t="s">
        <v>34</v>
      </c>
      <c r="H175" s="49">
        <v>6</v>
      </c>
      <c r="I175" s="50" t="s">
        <v>162</v>
      </c>
      <c r="J175" s="51">
        <v>58900</v>
      </c>
      <c r="K175" s="47" t="s">
        <v>162</v>
      </c>
      <c r="L175" s="52">
        <v>0.125</v>
      </c>
      <c r="M175" s="52">
        <v>0.05</v>
      </c>
      <c r="N175" s="46">
        <f>24+48+72+48+120+24</f>
        <v>336</v>
      </c>
      <c r="O175" s="50" t="s">
        <v>162</v>
      </c>
      <c r="P175" s="46">
        <f t="shared" si="59"/>
        <v>48</v>
      </c>
      <c r="Q175" s="50" t="s">
        <v>162</v>
      </c>
      <c r="R175" s="51">
        <f t="shared" si="60"/>
        <v>2350110</v>
      </c>
      <c r="S175" s="51">
        <f t="shared" si="58"/>
        <v>2117216.2162162159</v>
      </c>
    </row>
    <row r="176" spans="1:19" s="45" customFormat="1">
      <c r="A176" s="44" t="s">
        <v>169</v>
      </c>
      <c r="B176" s="45" t="s">
        <v>19</v>
      </c>
      <c r="C176" s="46">
        <v>336</v>
      </c>
      <c r="D176" s="47" t="s">
        <v>162</v>
      </c>
      <c r="E176" s="48">
        <v>1</v>
      </c>
      <c r="F176" s="49">
        <v>4</v>
      </c>
      <c r="G176" s="50" t="s">
        <v>34</v>
      </c>
      <c r="H176" s="49">
        <v>6</v>
      </c>
      <c r="I176" s="50" t="s">
        <v>162</v>
      </c>
      <c r="J176" s="51">
        <v>66900</v>
      </c>
      <c r="K176" s="47" t="s">
        <v>162</v>
      </c>
      <c r="L176" s="52">
        <v>0.125</v>
      </c>
      <c r="M176" s="52">
        <v>0.05</v>
      </c>
      <c r="N176" s="46">
        <f>24+24+24+24+72+24+24</f>
        <v>216</v>
      </c>
      <c r="O176" s="50" t="s">
        <v>162</v>
      </c>
      <c r="P176" s="46">
        <f t="shared" si="59"/>
        <v>144</v>
      </c>
      <c r="Q176" s="50" t="s">
        <v>162</v>
      </c>
      <c r="R176" s="51">
        <f t="shared" si="60"/>
        <v>8007930</v>
      </c>
      <c r="S176" s="51">
        <f t="shared" si="58"/>
        <v>7214351.3513513505</v>
      </c>
    </row>
    <row r="177" spans="1:19" s="63" customFormat="1">
      <c r="A177" s="72" t="s">
        <v>775</v>
      </c>
      <c r="B177" s="63" t="s">
        <v>19</v>
      </c>
      <c r="C177" s="64"/>
      <c r="D177" s="65" t="s">
        <v>162</v>
      </c>
      <c r="E177" s="66">
        <v>1</v>
      </c>
      <c r="F177" s="67">
        <v>1</v>
      </c>
      <c r="G177" s="68" t="s">
        <v>21</v>
      </c>
      <c r="H177" s="67">
        <v>24</v>
      </c>
      <c r="I177" s="68" t="s">
        <v>162</v>
      </c>
      <c r="J177" s="69">
        <v>96000</v>
      </c>
      <c r="K177" s="65" t="s">
        <v>162</v>
      </c>
      <c r="L177" s="70">
        <v>0.125</v>
      </c>
      <c r="M177" s="70">
        <v>0.05</v>
      </c>
      <c r="N177" s="64">
        <v>24</v>
      </c>
      <c r="O177" s="68" t="s">
        <v>162</v>
      </c>
      <c r="P177" s="64">
        <f t="shared" ref="P177" si="64">(C177+(E177*F177*H177))-N177</f>
        <v>0</v>
      </c>
      <c r="Q177" s="68" t="s">
        <v>162</v>
      </c>
      <c r="R177" s="69">
        <f t="shared" ref="R177" si="65">P177*(J177-(J177*L177)-((J177-(J177*L177))*M177))</f>
        <v>0</v>
      </c>
      <c r="S177" s="69">
        <f t="shared" ref="S177" si="66">R177/1.11</f>
        <v>0</v>
      </c>
    </row>
    <row r="178" spans="1:19" s="17" customFormat="1">
      <c r="A178" s="93" t="s">
        <v>170</v>
      </c>
      <c r="B178" s="17" t="s">
        <v>26</v>
      </c>
      <c r="C178" s="18">
        <v>408</v>
      </c>
      <c r="D178" s="19" t="s">
        <v>162</v>
      </c>
      <c r="E178" s="20"/>
      <c r="F178" s="21">
        <v>12</v>
      </c>
      <c r="G178" s="22" t="s">
        <v>43</v>
      </c>
      <c r="H178" s="21">
        <v>12</v>
      </c>
      <c r="I178" s="22" t="s">
        <v>162</v>
      </c>
      <c r="J178" s="23">
        <f>1512000/12/12</f>
        <v>10500</v>
      </c>
      <c r="K178" s="19" t="s">
        <v>162</v>
      </c>
      <c r="L178" s="24"/>
      <c r="M178" s="24">
        <v>0.17</v>
      </c>
      <c r="N178" s="18">
        <v>408</v>
      </c>
      <c r="O178" s="22" t="s">
        <v>162</v>
      </c>
      <c r="P178" s="18">
        <f t="shared" si="59"/>
        <v>0</v>
      </c>
      <c r="Q178" s="22" t="s">
        <v>162</v>
      </c>
      <c r="R178" s="23">
        <f t="shared" si="60"/>
        <v>0</v>
      </c>
      <c r="S178" s="23">
        <f t="shared" si="58"/>
        <v>0</v>
      </c>
    </row>
    <row r="179" spans="1:19" s="17" customFormat="1">
      <c r="A179" s="93" t="s">
        <v>171</v>
      </c>
      <c r="B179" s="17" t="s">
        <v>26</v>
      </c>
      <c r="C179" s="18">
        <v>60</v>
      </c>
      <c r="D179" s="19" t="s">
        <v>162</v>
      </c>
      <c r="E179" s="20"/>
      <c r="F179" s="21">
        <v>6</v>
      </c>
      <c r="G179" s="22" t="s">
        <v>43</v>
      </c>
      <c r="H179" s="21">
        <v>12</v>
      </c>
      <c r="I179" s="22" t="s">
        <v>162</v>
      </c>
      <c r="J179" s="23">
        <f>1368000/6/12</f>
        <v>19000</v>
      </c>
      <c r="K179" s="19" t="s">
        <v>162</v>
      </c>
      <c r="L179" s="24"/>
      <c r="M179" s="24">
        <v>0.17</v>
      </c>
      <c r="N179" s="18">
        <v>60</v>
      </c>
      <c r="O179" s="22" t="s">
        <v>162</v>
      </c>
      <c r="P179" s="18">
        <f t="shared" si="59"/>
        <v>0</v>
      </c>
      <c r="Q179" s="22" t="s">
        <v>162</v>
      </c>
      <c r="R179" s="23">
        <f t="shared" si="60"/>
        <v>0</v>
      </c>
      <c r="S179" s="23">
        <f t="shared" si="58"/>
        <v>0</v>
      </c>
    </row>
    <row r="180" spans="1:19" s="17" customFormat="1">
      <c r="A180" s="93" t="s">
        <v>172</v>
      </c>
      <c r="B180" s="17" t="s">
        <v>19</v>
      </c>
      <c r="C180" s="18"/>
      <c r="D180" s="19" t="s">
        <v>162</v>
      </c>
      <c r="E180" s="20"/>
      <c r="F180" s="21">
        <v>8</v>
      </c>
      <c r="G180" s="22" t="s">
        <v>34</v>
      </c>
      <c r="H180" s="21">
        <v>12</v>
      </c>
      <c r="I180" s="22" t="s">
        <v>162</v>
      </c>
      <c r="J180" s="23">
        <v>12500</v>
      </c>
      <c r="K180" s="19" t="s">
        <v>162</v>
      </c>
      <c r="L180" s="24">
        <v>0.125</v>
      </c>
      <c r="M180" s="24">
        <v>0.05</v>
      </c>
      <c r="N180" s="18"/>
      <c r="O180" s="22" t="s">
        <v>162</v>
      </c>
      <c r="P180" s="18">
        <f t="shared" si="59"/>
        <v>0</v>
      </c>
      <c r="Q180" s="22" t="s">
        <v>162</v>
      </c>
      <c r="R180" s="23">
        <f t="shared" si="60"/>
        <v>0</v>
      </c>
      <c r="S180" s="23">
        <f t="shared" si="58"/>
        <v>0</v>
      </c>
    </row>
    <row r="181" spans="1:19" s="63" customFormat="1">
      <c r="A181" s="93" t="s">
        <v>173</v>
      </c>
      <c r="B181" s="63" t="s">
        <v>19</v>
      </c>
      <c r="C181" s="64"/>
      <c r="D181" s="65" t="s">
        <v>162</v>
      </c>
      <c r="E181" s="66"/>
      <c r="F181" s="67">
        <v>1</v>
      </c>
      <c r="G181" s="68" t="s">
        <v>21</v>
      </c>
      <c r="H181" s="67">
        <v>144</v>
      </c>
      <c r="I181" s="68" t="s">
        <v>162</v>
      </c>
      <c r="J181" s="69">
        <v>11600</v>
      </c>
      <c r="K181" s="65" t="s">
        <v>162</v>
      </c>
      <c r="L181" s="70">
        <v>0.125</v>
      </c>
      <c r="M181" s="70">
        <v>0.05</v>
      </c>
      <c r="N181" s="64"/>
      <c r="O181" s="68" t="s">
        <v>162</v>
      </c>
      <c r="P181" s="64">
        <f t="shared" si="59"/>
        <v>0</v>
      </c>
      <c r="Q181" s="68" t="s">
        <v>162</v>
      </c>
      <c r="R181" s="69">
        <f t="shared" si="60"/>
        <v>0</v>
      </c>
      <c r="S181" s="69">
        <f t="shared" si="58"/>
        <v>0</v>
      </c>
    </row>
    <row r="182" spans="1:19" s="63" customFormat="1">
      <c r="A182" s="95" t="s">
        <v>174</v>
      </c>
      <c r="B182" s="96" t="s">
        <v>26</v>
      </c>
      <c r="C182" s="97">
        <v>420</v>
      </c>
      <c r="D182" s="98" t="s">
        <v>162</v>
      </c>
      <c r="E182" s="105"/>
      <c r="F182" s="100">
        <v>12</v>
      </c>
      <c r="G182" s="101" t="s">
        <v>43</v>
      </c>
      <c r="H182" s="100">
        <v>12</v>
      </c>
      <c r="I182" s="101" t="s">
        <v>162</v>
      </c>
      <c r="J182" s="102">
        <f>1944000/144</f>
        <v>13500</v>
      </c>
      <c r="K182" s="98" t="s">
        <v>162</v>
      </c>
      <c r="L182" s="103">
        <v>0.05</v>
      </c>
      <c r="M182" s="103">
        <v>0.17</v>
      </c>
      <c r="N182" s="97">
        <f>(24*12)+(12*12)-12</f>
        <v>420</v>
      </c>
      <c r="O182" s="101" t="s">
        <v>162</v>
      </c>
      <c r="P182" s="97">
        <f t="shared" si="59"/>
        <v>0</v>
      </c>
      <c r="Q182" s="101" t="s">
        <v>162</v>
      </c>
      <c r="R182" s="102">
        <f t="shared" si="60"/>
        <v>0</v>
      </c>
      <c r="S182" s="102">
        <f t="shared" si="58"/>
        <v>0</v>
      </c>
    </row>
    <row r="183" spans="1:19" s="63" customFormat="1">
      <c r="A183" s="95" t="s">
        <v>174</v>
      </c>
      <c r="B183" s="96" t="s">
        <v>26</v>
      </c>
      <c r="C183" s="97"/>
      <c r="D183" s="98" t="s">
        <v>162</v>
      </c>
      <c r="E183" s="105">
        <f>5+1</f>
        <v>6</v>
      </c>
      <c r="F183" s="100">
        <v>12</v>
      </c>
      <c r="G183" s="101" t="s">
        <v>43</v>
      </c>
      <c r="H183" s="100">
        <v>12</v>
      </c>
      <c r="I183" s="101" t="s">
        <v>162</v>
      </c>
      <c r="J183" s="102">
        <f>2088000/144</f>
        <v>14500</v>
      </c>
      <c r="K183" s="98" t="s">
        <v>162</v>
      </c>
      <c r="L183" s="103">
        <v>0.05</v>
      </c>
      <c r="M183" s="103">
        <v>0.17</v>
      </c>
      <c r="N183" s="97">
        <f>((12*12)-132)+852</f>
        <v>864</v>
      </c>
      <c r="O183" s="101" t="s">
        <v>162</v>
      </c>
      <c r="P183" s="97">
        <f t="shared" ref="P183" si="67">(C183+(E183*F183*H183))-N183</f>
        <v>0</v>
      </c>
      <c r="Q183" s="101" t="s">
        <v>162</v>
      </c>
      <c r="R183" s="102">
        <f t="shared" ref="R183" si="68">P183*(J183-(J183*L183)-((J183-(J183*L183))*M183))</f>
        <v>0</v>
      </c>
      <c r="S183" s="102">
        <f t="shared" ref="S183" si="69">R183/1.11</f>
        <v>0</v>
      </c>
    </row>
    <row r="184" spans="1:19" s="17" customFormat="1">
      <c r="A184" s="16" t="s">
        <v>175</v>
      </c>
      <c r="B184" s="17" t="s">
        <v>26</v>
      </c>
      <c r="C184" s="18"/>
      <c r="D184" s="19" t="s">
        <v>162</v>
      </c>
      <c r="E184" s="20">
        <v>3</v>
      </c>
      <c r="F184" s="21">
        <v>6</v>
      </c>
      <c r="G184" s="22" t="s">
        <v>43</v>
      </c>
      <c r="H184" s="21">
        <v>12</v>
      </c>
      <c r="I184" s="22" t="s">
        <v>162</v>
      </c>
      <c r="J184" s="23">
        <f>1944000/72</f>
        <v>27000</v>
      </c>
      <c r="K184" s="19" t="s">
        <v>162</v>
      </c>
      <c r="L184" s="24">
        <v>0.05</v>
      </c>
      <c r="M184" s="24">
        <v>0.17</v>
      </c>
      <c r="N184" s="18">
        <v>216</v>
      </c>
      <c r="O184" s="22" t="s">
        <v>162</v>
      </c>
      <c r="P184" s="18">
        <f t="shared" si="59"/>
        <v>0</v>
      </c>
      <c r="Q184" s="22" t="s">
        <v>162</v>
      </c>
      <c r="R184" s="23">
        <f t="shared" si="60"/>
        <v>0</v>
      </c>
      <c r="S184" s="23">
        <f t="shared" si="58"/>
        <v>0</v>
      </c>
    </row>
    <row r="185" spans="1:19" s="17" customFormat="1">
      <c r="A185" s="16" t="s">
        <v>176</v>
      </c>
      <c r="B185" s="17" t="s">
        <v>26</v>
      </c>
      <c r="C185" s="18"/>
      <c r="D185" s="19" t="s">
        <v>162</v>
      </c>
      <c r="E185" s="20">
        <v>3</v>
      </c>
      <c r="F185" s="21">
        <v>8</v>
      </c>
      <c r="G185" s="22" t="s">
        <v>34</v>
      </c>
      <c r="H185" s="21">
        <v>6</v>
      </c>
      <c r="I185" s="22" t="s">
        <v>162</v>
      </c>
      <c r="J185" s="23">
        <f>1632000/8/6</f>
        <v>34000</v>
      </c>
      <c r="K185" s="19" t="s">
        <v>162</v>
      </c>
      <c r="L185" s="24">
        <v>0.05</v>
      </c>
      <c r="M185" s="24">
        <v>0.17</v>
      </c>
      <c r="N185" s="18">
        <v>144</v>
      </c>
      <c r="O185" s="22" t="s">
        <v>162</v>
      </c>
      <c r="P185" s="18">
        <f t="shared" si="59"/>
        <v>0</v>
      </c>
      <c r="Q185" s="22" t="s">
        <v>162</v>
      </c>
      <c r="R185" s="23">
        <f t="shared" si="60"/>
        <v>0</v>
      </c>
      <c r="S185" s="23">
        <f t="shared" si="58"/>
        <v>0</v>
      </c>
    </row>
    <row r="186" spans="1:19" s="17" customFormat="1">
      <c r="A186" s="95" t="s">
        <v>177</v>
      </c>
      <c r="B186" s="96" t="s">
        <v>26</v>
      </c>
      <c r="C186" s="97">
        <v>36</v>
      </c>
      <c r="D186" s="98" t="s">
        <v>162</v>
      </c>
      <c r="E186" s="105"/>
      <c r="F186" s="100">
        <v>6</v>
      </c>
      <c r="G186" s="101" t="s">
        <v>34</v>
      </c>
      <c r="H186" s="100">
        <v>6</v>
      </c>
      <c r="I186" s="101" t="s">
        <v>162</v>
      </c>
      <c r="J186" s="102">
        <f>1584000/6/6</f>
        <v>44000</v>
      </c>
      <c r="K186" s="98" t="s">
        <v>162</v>
      </c>
      <c r="L186" s="103">
        <v>0.05</v>
      </c>
      <c r="M186" s="103">
        <v>0.17</v>
      </c>
      <c r="N186" s="97">
        <f>3+33</f>
        <v>36</v>
      </c>
      <c r="O186" s="101" t="s">
        <v>162</v>
      </c>
      <c r="P186" s="97">
        <f t="shared" si="59"/>
        <v>0</v>
      </c>
      <c r="Q186" s="101" t="s">
        <v>162</v>
      </c>
      <c r="R186" s="102">
        <f t="shared" si="60"/>
        <v>0</v>
      </c>
      <c r="S186" s="102">
        <f t="shared" si="58"/>
        <v>0</v>
      </c>
    </row>
    <row r="187" spans="1:19" s="17" customFormat="1">
      <c r="A187" s="95" t="s">
        <v>177</v>
      </c>
      <c r="B187" s="96" t="s">
        <v>26</v>
      </c>
      <c r="C187" s="97"/>
      <c r="D187" s="98" t="s">
        <v>162</v>
      </c>
      <c r="E187" s="105">
        <v>2</v>
      </c>
      <c r="F187" s="100">
        <v>6</v>
      </c>
      <c r="G187" s="101" t="s">
        <v>34</v>
      </c>
      <c r="H187" s="100">
        <v>6</v>
      </c>
      <c r="I187" s="101" t="s">
        <v>162</v>
      </c>
      <c r="J187" s="102">
        <f>1710000/6/6</f>
        <v>47500</v>
      </c>
      <c r="K187" s="98" t="s">
        <v>162</v>
      </c>
      <c r="L187" s="103">
        <v>0.05</v>
      </c>
      <c r="M187" s="103">
        <v>0.17</v>
      </c>
      <c r="N187" s="97">
        <v>72</v>
      </c>
      <c r="O187" s="101" t="s">
        <v>162</v>
      </c>
      <c r="P187" s="97">
        <f t="shared" ref="P187" si="70">(C187+(E187*F187*H187))-N187</f>
        <v>0</v>
      </c>
      <c r="Q187" s="101" t="s">
        <v>162</v>
      </c>
      <c r="R187" s="102">
        <f t="shared" ref="R187" si="71">P187*(J187-(J187*L187)-((J187-(J187*L187))*M187))</f>
        <v>0</v>
      </c>
      <c r="S187" s="102">
        <f t="shared" ref="S187" si="72">R187/1.11</f>
        <v>0</v>
      </c>
    </row>
    <row r="188" spans="1:19" s="17" customFormat="1">
      <c r="A188" s="16" t="s">
        <v>178</v>
      </c>
      <c r="B188" s="17" t="s">
        <v>26</v>
      </c>
      <c r="C188" s="18"/>
      <c r="D188" s="19" t="s">
        <v>162</v>
      </c>
      <c r="E188" s="20">
        <v>1</v>
      </c>
      <c r="F188" s="21">
        <v>4</v>
      </c>
      <c r="G188" s="22" t="s">
        <v>34</v>
      </c>
      <c r="H188" s="21">
        <v>6</v>
      </c>
      <c r="I188" s="22" t="s">
        <v>162</v>
      </c>
      <c r="J188" s="23">
        <f>1656000/4/6</f>
        <v>69000</v>
      </c>
      <c r="K188" s="19" t="s">
        <v>162</v>
      </c>
      <c r="L188" s="24">
        <v>0.05</v>
      </c>
      <c r="M188" s="24">
        <v>0.17</v>
      </c>
      <c r="N188" s="18">
        <v>24</v>
      </c>
      <c r="O188" s="22" t="s">
        <v>162</v>
      </c>
      <c r="P188" s="18">
        <f t="shared" si="59"/>
        <v>0</v>
      </c>
      <c r="Q188" s="22" t="s">
        <v>162</v>
      </c>
      <c r="R188" s="23">
        <f t="shared" si="60"/>
        <v>0</v>
      </c>
      <c r="S188" s="23">
        <f t="shared" si="58"/>
        <v>0</v>
      </c>
    </row>
    <row r="189" spans="1:19" s="17" customFormat="1">
      <c r="A189" s="95" t="s">
        <v>179</v>
      </c>
      <c r="B189" s="96" t="s">
        <v>26</v>
      </c>
      <c r="C189" s="97">
        <v>24</v>
      </c>
      <c r="D189" s="98" t="s">
        <v>162</v>
      </c>
      <c r="E189" s="105"/>
      <c r="F189" s="100">
        <v>4</v>
      </c>
      <c r="G189" s="101" t="s">
        <v>34</v>
      </c>
      <c r="H189" s="100">
        <v>6</v>
      </c>
      <c r="I189" s="101" t="s">
        <v>162</v>
      </c>
      <c r="J189" s="102">
        <f>1728000/4/6</f>
        <v>72000</v>
      </c>
      <c r="K189" s="98" t="s">
        <v>162</v>
      </c>
      <c r="L189" s="103">
        <v>0.05</v>
      </c>
      <c r="M189" s="103">
        <v>0.17</v>
      </c>
      <c r="N189" s="97">
        <v>24</v>
      </c>
      <c r="O189" s="101" t="s">
        <v>162</v>
      </c>
      <c r="P189" s="97">
        <f t="shared" si="59"/>
        <v>0</v>
      </c>
      <c r="Q189" s="101" t="s">
        <v>162</v>
      </c>
      <c r="R189" s="102">
        <f t="shared" si="60"/>
        <v>0</v>
      </c>
      <c r="S189" s="102">
        <f t="shared" si="58"/>
        <v>0</v>
      </c>
    </row>
    <row r="190" spans="1:19" s="17" customFormat="1">
      <c r="A190" s="95" t="s">
        <v>179</v>
      </c>
      <c r="B190" s="96" t="s">
        <v>26</v>
      </c>
      <c r="C190" s="97"/>
      <c r="D190" s="98" t="s">
        <v>162</v>
      </c>
      <c r="E190" s="105">
        <v>1</v>
      </c>
      <c r="F190" s="100">
        <v>4</v>
      </c>
      <c r="G190" s="101" t="s">
        <v>34</v>
      </c>
      <c r="H190" s="100">
        <v>6</v>
      </c>
      <c r="I190" s="101" t="s">
        <v>162</v>
      </c>
      <c r="J190" s="102">
        <f>1824000/4/6</f>
        <v>76000</v>
      </c>
      <c r="K190" s="98" t="s">
        <v>162</v>
      </c>
      <c r="L190" s="103">
        <v>0.05</v>
      </c>
      <c r="M190" s="103">
        <v>0.17</v>
      </c>
      <c r="N190" s="97">
        <v>24</v>
      </c>
      <c r="O190" s="101" t="s">
        <v>162</v>
      </c>
      <c r="P190" s="97">
        <f t="shared" ref="P190" si="73">(C190+(E190*F190*H190))-N190</f>
        <v>0</v>
      </c>
      <c r="Q190" s="101" t="s">
        <v>162</v>
      </c>
      <c r="R190" s="102">
        <f t="shared" ref="R190" si="74">P190*(J190-(J190*L190)-((J190-(J190*L190))*M190))</f>
        <v>0</v>
      </c>
      <c r="S190" s="102">
        <f t="shared" ref="S190" si="75">R190/1.11</f>
        <v>0</v>
      </c>
    </row>
    <row r="191" spans="1:19">
      <c r="A191" s="15" t="s">
        <v>180</v>
      </c>
      <c r="S191" s="23"/>
    </row>
    <row r="192" spans="1:19" s="63" customFormat="1">
      <c r="A192" s="72" t="s">
        <v>181</v>
      </c>
      <c r="B192" s="63" t="s">
        <v>182</v>
      </c>
      <c r="C192" s="64">
        <v>1440</v>
      </c>
      <c r="D192" s="65" t="s">
        <v>162</v>
      </c>
      <c r="E192" s="66"/>
      <c r="F192" s="67">
        <v>1</v>
      </c>
      <c r="G192" s="68" t="s">
        <v>21</v>
      </c>
      <c r="H192" s="67">
        <v>144</v>
      </c>
      <c r="I192" s="68" t="s">
        <v>162</v>
      </c>
      <c r="J192" s="69">
        <v>14000</v>
      </c>
      <c r="K192" s="65" t="s">
        <v>162</v>
      </c>
      <c r="L192" s="70">
        <v>0.05</v>
      </c>
      <c r="M192" s="70">
        <v>0.03</v>
      </c>
      <c r="N192" s="64">
        <v>1440</v>
      </c>
      <c r="O192" s="68" t="s">
        <v>162</v>
      </c>
      <c r="P192" s="64">
        <f t="shared" ref="P192:P199" si="76">(C192+(E192*F192*H192))-N192</f>
        <v>0</v>
      </c>
      <c r="Q192" s="68" t="s">
        <v>162</v>
      </c>
      <c r="R192" s="69">
        <f t="shared" ref="R192:R199" si="77">P192*(J192-(J192*L192)-((J192-(J192*L192))*M192))</f>
        <v>0</v>
      </c>
      <c r="S192" s="23">
        <f t="shared" si="58"/>
        <v>0</v>
      </c>
    </row>
    <row r="193" spans="1:19" s="63" customFormat="1">
      <c r="A193" s="72" t="s">
        <v>183</v>
      </c>
      <c r="B193" s="63" t="s">
        <v>19</v>
      </c>
      <c r="C193" s="64">
        <v>288</v>
      </c>
      <c r="D193" s="65" t="s">
        <v>162</v>
      </c>
      <c r="E193" s="66">
        <f>4+2</f>
        <v>6</v>
      </c>
      <c r="F193" s="67">
        <v>12</v>
      </c>
      <c r="G193" s="68" t="s">
        <v>34</v>
      </c>
      <c r="H193" s="67">
        <v>12</v>
      </c>
      <c r="I193" s="68" t="s">
        <v>162</v>
      </c>
      <c r="J193" s="69">
        <v>18000</v>
      </c>
      <c r="K193" s="65" t="s">
        <v>162</v>
      </c>
      <c r="L193" s="70">
        <v>0.125</v>
      </c>
      <c r="M193" s="70">
        <v>0.05</v>
      </c>
      <c r="N193" s="64">
        <f>144+12+288+144+288+276</f>
        <v>1152</v>
      </c>
      <c r="O193" s="68" t="s">
        <v>162</v>
      </c>
      <c r="P193" s="64">
        <f t="shared" si="76"/>
        <v>0</v>
      </c>
      <c r="Q193" s="68" t="s">
        <v>162</v>
      </c>
      <c r="R193" s="69">
        <f t="shared" si="77"/>
        <v>0</v>
      </c>
      <c r="S193" s="23">
        <f t="shared" si="58"/>
        <v>0</v>
      </c>
    </row>
    <row r="194" spans="1:19" s="63" customFormat="1">
      <c r="A194" s="72" t="s">
        <v>184</v>
      </c>
      <c r="B194" s="63" t="s">
        <v>19</v>
      </c>
      <c r="C194" s="64">
        <v>864</v>
      </c>
      <c r="D194" s="65" t="s">
        <v>162</v>
      </c>
      <c r="E194" s="66">
        <v>2</v>
      </c>
      <c r="F194" s="67">
        <v>12</v>
      </c>
      <c r="G194" s="68" t="s">
        <v>34</v>
      </c>
      <c r="H194" s="67">
        <v>12</v>
      </c>
      <c r="I194" s="68" t="s">
        <v>162</v>
      </c>
      <c r="J194" s="69">
        <v>22750</v>
      </c>
      <c r="K194" s="65" t="s">
        <v>162</v>
      </c>
      <c r="L194" s="70">
        <v>0.125</v>
      </c>
      <c r="M194" s="70">
        <v>0.05</v>
      </c>
      <c r="N194" s="64">
        <f>144+(5*12)+144+(6*12)+288+444</f>
        <v>1152</v>
      </c>
      <c r="O194" s="68" t="s">
        <v>162</v>
      </c>
      <c r="P194" s="64">
        <f t="shared" si="76"/>
        <v>0</v>
      </c>
      <c r="Q194" s="68" t="s">
        <v>162</v>
      </c>
      <c r="R194" s="69">
        <f t="shared" si="77"/>
        <v>0</v>
      </c>
      <c r="S194" s="69">
        <f t="shared" si="58"/>
        <v>0</v>
      </c>
    </row>
    <row r="195" spans="1:19" s="17" customFormat="1">
      <c r="A195" s="16" t="s">
        <v>185</v>
      </c>
      <c r="B195" s="17" t="s">
        <v>19</v>
      </c>
      <c r="C195" s="18"/>
      <c r="D195" s="19" t="s">
        <v>162</v>
      </c>
      <c r="E195" s="20"/>
      <c r="F195" s="21">
        <v>12</v>
      </c>
      <c r="G195" s="22" t="s">
        <v>34</v>
      </c>
      <c r="H195" s="21">
        <v>6</v>
      </c>
      <c r="I195" s="22" t="s">
        <v>162</v>
      </c>
      <c r="J195" s="23">
        <v>48000</v>
      </c>
      <c r="K195" s="19" t="s">
        <v>162</v>
      </c>
      <c r="L195" s="24">
        <v>0.125</v>
      </c>
      <c r="M195" s="24">
        <v>0.05</v>
      </c>
      <c r="N195" s="18"/>
      <c r="O195" s="22" t="s">
        <v>162</v>
      </c>
      <c r="P195" s="18">
        <f t="shared" si="76"/>
        <v>0</v>
      </c>
      <c r="Q195" s="22" t="s">
        <v>162</v>
      </c>
      <c r="R195" s="23">
        <f t="shared" si="77"/>
        <v>0</v>
      </c>
      <c r="S195" s="23">
        <f t="shared" si="58"/>
        <v>0</v>
      </c>
    </row>
    <row r="196" spans="1:19" s="17" customFormat="1">
      <c r="A196" s="16" t="s">
        <v>186</v>
      </c>
      <c r="B196" s="17" t="s">
        <v>26</v>
      </c>
      <c r="C196" s="18"/>
      <c r="D196" s="19" t="s">
        <v>162</v>
      </c>
      <c r="E196" s="20"/>
      <c r="F196" s="21">
        <v>12</v>
      </c>
      <c r="G196" s="22" t="s">
        <v>43</v>
      </c>
      <c r="H196" s="21">
        <v>12</v>
      </c>
      <c r="I196" s="22" t="s">
        <v>162</v>
      </c>
      <c r="J196" s="23">
        <f>2592000/12/12</f>
        <v>18000</v>
      </c>
      <c r="K196" s="19" t="s">
        <v>162</v>
      </c>
      <c r="L196" s="24"/>
      <c r="M196" s="24">
        <v>0.17</v>
      </c>
      <c r="N196" s="18"/>
      <c r="O196" s="22" t="s">
        <v>162</v>
      </c>
      <c r="P196" s="18">
        <f t="shared" si="76"/>
        <v>0</v>
      </c>
      <c r="Q196" s="22" t="s">
        <v>162</v>
      </c>
      <c r="R196" s="23">
        <f t="shared" si="77"/>
        <v>0</v>
      </c>
      <c r="S196" s="23">
        <f t="shared" si="58"/>
        <v>0</v>
      </c>
    </row>
    <row r="197" spans="1:19" s="17" customFormat="1">
      <c r="A197" s="16" t="s">
        <v>187</v>
      </c>
      <c r="B197" s="17" t="s">
        <v>26</v>
      </c>
      <c r="C197" s="18"/>
      <c r="D197" s="19" t="s">
        <v>162</v>
      </c>
      <c r="E197" s="20"/>
      <c r="F197" s="21">
        <v>8</v>
      </c>
      <c r="G197" s="22" t="s">
        <v>43</v>
      </c>
      <c r="H197" s="21">
        <v>12</v>
      </c>
      <c r="I197" s="22" t="s">
        <v>162</v>
      </c>
      <c r="J197" s="23">
        <v>24500</v>
      </c>
      <c r="K197" s="19" t="s">
        <v>162</v>
      </c>
      <c r="L197" s="24"/>
      <c r="M197" s="24">
        <v>0.17</v>
      </c>
      <c r="N197" s="18"/>
      <c r="O197" s="22" t="s">
        <v>162</v>
      </c>
      <c r="P197" s="18">
        <f t="shared" si="76"/>
        <v>0</v>
      </c>
      <c r="Q197" s="22" t="s">
        <v>162</v>
      </c>
      <c r="R197" s="23">
        <f t="shared" si="77"/>
        <v>0</v>
      </c>
      <c r="S197" s="23">
        <f t="shared" si="58"/>
        <v>0</v>
      </c>
    </row>
    <row r="198" spans="1:19" s="17" customFormat="1">
      <c r="A198" s="16" t="s">
        <v>188</v>
      </c>
      <c r="B198" s="17" t="s">
        <v>26</v>
      </c>
      <c r="C198" s="18">
        <v>108</v>
      </c>
      <c r="D198" s="19" t="s">
        <v>162</v>
      </c>
      <c r="E198" s="20"/>
      <c r="F198" s="21">
        <v>12</v>
      </c>
      <c r="G198" s="22" t="s">
        <v>43</v>
      </c>
      <c r="H198" s="21">
        <v>12</v>
      </c>
      <c r="I198" s="22" t="s">
        <v>162</v>
      </c>
      <c r="J198" s="23">
        <f>3528000/144</f>
        <v>24500</v>
      </c>
      <c r="K198" s="19" t="s">
        <v>162</v>
      </c>
      <c r="L198" s="24">
        <v>0.05</v>
      </c>
      <c r="M198" s="24">
        <v>0.17</v>
      </c>
      <c r="N198" s="18">
        <f>12+(2*12)+72</f>
        <v>108</v>
      </c>
      <c r="O198" s="22" t="s">
        <v>162</v>
      </c>
      <c r="P198" s="18">
        <f t="shared" si="76"/>
        <v>0</v>
      </c>
      <c r="Q198" s="22" t="s">
        <v>162</v>
      </c>
      <c r="R198" s="23">
        <f t="shared" si="77"/>
        <v>0</v>
      </c>
      <c r="S198" s="23">
        <f t="shared" si="58"/>
        <v>0</v>
      </c>
    </row>
    <row r="199" spans="1:19" s="17" customFormat="1">
      <c r="A199" s="16" t="s">
        <v>189</v>
      </c>
      <c r="B199" s="17" t="s">
        <v>26</v>
      </c>
      <c r="C199" s="18">
        <v>12</v>
      </c>
      <c r="D199" s="19" t="s">
        <v>162</v>
      </c>
      <c r="E199" s="20"/>
      <c r="F199" s="21">
        <v>6</v>
      </c>
      <c r="G199" s="22" t="s">
        <v>43</v>
      </c>
      <c r="H199" s="21">
        <v>12</v>
      </c>
      <c r="I199" s="22" t="s">
        <v>162</v>
      </c>
      <c r="J199" s="23">
        <v>36000</v>
      </c>
      <c r="K199" s="19" t="s">
        <v>162</v>
      </c>
      <c r="L199" s="24">
        <v>0.05</v>
      </c>
      <c r="M199" s="24">
        <v>0.17</v>
      </c>
      <c r="N199" s="18">
        <f>(1*12)</f>
        <v>12</v>
      </c>
      <c r="O199" s="22" t="s">
        <v>162</v>
      </c>
      <c r="P199" s="18">
        <f t="shared" si="76"/>
        <v>0</v>
      </c>
      <c r="Q199" s="22" t="s">
        <v>162</v>
      </c>
      <c r="R199" s="23">
        <f t="shared" si="77"/>
        <v>0</v>
      </c>
      <c r="S199" s="23">
        <f t="shared" si="58"/>
        <v>0</v>
      </c>
    </row>
    <row r="200" spans="1:19">
      <c r="A200" s="15" t="s">
        <v>190</v>
      </c>
      <c r="S200" s="23"/>
    </row>
    <row r="201" spans="1:19" s="17" customFormat="1">
      <c r="A201" s="16" t="s">
        <v>191</v>
      </c>
      <c r="B201" s="17" t="s">
        <v>192</v>
      </c>
      <c r="C201" s="18">
        <v>1</v>
      </c>
      <c r="D201" s="19" t="s">
        <v>43</v>
      </c>
      <c r="E201" s="20"/>
      <c r="F201" s="21">
        <v>1</v>
      </c>
      <c r="G201" s="22" t="s">
        <v>21</v>
      </c>
      <c r="H201" s="21">
        <v>5</v>
      </c>
      <c r="I201" s="22" t="s">
        <v>43</v>
      </c>
      <c r="J201" s="23">
        <v>475000</v>
      </c>
      <c r="K201" s="19" t="s">
        <v>43</v>
      </c>
      <c r="L201" s="24"/>
      <c r="M201" s="24"/>
      <c r="N201" s="18">
        <v>1</v>
      </c>
      <c r="O201" s="22" t="s">
        <v>43</v>
      </c>
      <c r="P201" s="18">
        <f>(C201+(E201*F201*H201))-N201</f>
        <v>0</v>
      </c>
      <c r="Q201" s="22" t="s">
        <v>43</v>
      </c>
      <c r="R201" s="23">
        <f>P201*(J201-(J201*L201)-((J201-(J201*L201))*M201))</f>
        <v>0</v>
      </c>
      <c r="S201" s="23">
        <f t="shared" si="58"/>
        <v>0</v>
      </c>
    </row>
    <row r="202" spans="1:19" s="63" customFormat="1">
      <c r="A202" s="72" t="s">
        <v>193</v>
      </c>
      <c r="B202" s="63" t="s">
        <v>19</v>
      </c>
      <c r="C202" s="64"/>
      <c r="D202" s="65" t="s">
        <v>162</v>
      </c>
      <c r="E202" s="66"/>
      <c r="F202" s="67">
        <v>8</v>
      </c>
      <c r="G202" s="68" t="s">
        <v>34</v>
      </c>
      <c r="H202" s="67">
        <v>12</v>
      </c>
      <c r="I202" s="68" t="s">
        <v>162</v>
      </c>
      <c r="J202" s="69">
        <v>22500</v>
      </c>
      <c r="K202" s="65" t="s">
        <v>162</v>
      </c>
      <c r="L202" s="70">
        <v>0.125</v>
      </c>
      <c r="M202" s="70">
        <v>0.05</v>
      </c>
      <c r="N202" s="64"/>
      <c r="O202" s="68" t="s">
        <v>162</v>
      </c>
      <c r="P202" s="64">
        <f>(C202+(E202*F202*H202))-N202</f>
        <v>0</v>
      </c>
      <c r="Q202" s="68" t="s">
        <v>162</v>
      </c>
      <c r="R202" s="69">
        <f>P202*(J202-(J202*L202)-((J202-(J202*L202))*M202))</f>
        <v>0</v>
      </c>
      <c r="S202" s="23">
        <f t="shared" si="58"/>
        <v>0</v>
      </c>
    </row>
    <row r="203" spans="1:19" s="63" customFormat="1">
      <c r="A203" s="72" t="s">
        <v>194</v>
      </c>
      <c r="B203" s="63" t="s">
        <v>19</v>
      </c>
      <c r="C203" s="64"/>
      <c r="D203" s="65" t="s">
        <v>162</v>
      </c>
      <c r="E203" s="66"/>
      <c r="F203" s="67">
        <v>6</v>
      </c>
      <c r="G203" s="68" t="s">
        <v>34</v>
      </c>
      <c r="H203" s="67">
        <v>12</v>
      </c>
      <c r="I203" s="68" t="s">
        <v>162</v>
      </c>
      <c r="J203" s="69">
        <v>41500</v>
      </c>
      <c r="K203" s="65" t="s">
        <v>162</v>
      </c>
      <c r="L203" s="70">
        <v>0.125</v>
      </c>
      <c r="M203" s="70">
        <v>0.05</v>
      </c>
      <c r="N203" s="64"/>
      <c r="O203" s="68" t="s">
        <v>162</v>
      </c>
      <c r="P203" s="64">
        <f>(C203+(E203*F203*H203))-N203</f>
        <v>0</v>
      </c>
      <c r="Q203" s="68" t="s">
        <v>162</v>
      </c>
      <c r="R203" s="69">
        <f>P203*(J203-(J203*L203)-((J203-(J203*L203))*M203))</f>
        <v>0</v>
      </c>
      <c r="S203" s="23">
        <f t="shared" si="58"/>
        <v>0</v>
      </c>
    </row>
    <row r="204" spans="1:19">
      <c r="S204" s="23"/>
    </row>
    <row r="205" spans="1:19" ht="15.75">
      <c r="A205" s="14" t="s">
        <v>195</v>
      </c>
      <c r="S205" s="23"/>
    </row>
    <row r="206" spans="1:19">
      <c r="A206" s="15" t="s">
        <v>196</v>
      </c>
      <c r="S206" s="23"/>
    </row>
    <row r="207" spans="1:19" s="17" customFormat="1">
      <c r="A207" s="16" t="s">
        <v>769</v>
      </c>
      <c r="B207" s="17" t="s">
        <v>19</v>
      </c>
      <c r="C207" s="18"/>
      <c r="D207" s="19" t="s">
        <v>43</v>
      </c>
      <c r="E207" s="20">
        <v>1</v>
      </c>
      <c r="F207" s="21">
        <v>1</v>
      </c>
      <c r="G207" s="22" t="s">
        <v>21</v>
      </c>
      <c r="H207" s="21">
        <v>24</v>
      </c>
      <c r="I207" s="22" t="s">
        <v>43</v>
      </c>
      <c r="J207" s="23">
        <v>27600</v>
      </c>
      <c r="K207" s="19" t="s">
        <v>43</v>
      </c>
      <c r="L207" s="24">
        <v>0.125</v>
      </c>
      <c r="M207" s="24">
        <v>0.05</v>
      </c>
      <c r="N207" s="18">
        <v>24</v>
      </c>
      <c r="O207" s="22" t="s">
        <v>43</v>
      </c>
      <c r="P207" s="18">
        <f t="shared" ref="P207" si="78">(C207+(E207*F207*H207))-N207</f>
        <v>0</v>
      </c>
      <c r="Q207" s="22" t="s">
        <v>43</v>
      </c>
      <c r="R207" s="23">
        <f t="shared" ref="R207" si="79">P207*(J207-(J207*L207)-((J207-(J207*L207))*M207))</f>
        <v>0</v>
      </c>
      <c r="S207" s="23">
        <f t="shared" ref="S207" si="80">R207/1.11</f>
        <v>0</v>
      </c>
    </row>
    <row r="208" spans="1:19" s="17" customFormat="1">
      <c r="A208" s="16" t="s">
        <v>197</v>
      </c>
      <c r="B208" s="17" t="s">
        <v>19</v>
      </c>
      <c r="C208" s="18"/>
      <c r="D208" s="19" t="s">
        <v>43</v>
      </c>
      <c r="E208" s="20">
        <v>1</v>
      </c>
      <c r="F208" s="21">
        <v>1</v>
      </c>
      <c r="G208" s="22" t="s">
        <v>21</v>
      </c>
      <c r="H208" s="21">
        <v>24</v>
      </c>
      <c r="I208" s="22" t="s">
        <v>43</v>
      </c>
      <c r="J208" s="23">
        <v>73200</v>
      </c>
      <c r="K208" s="19" t="s">
        <v>43</v>
      </c>
      <c r="L208" s="24">
        <v>0.125</v>
      </c>
      <c r="M208" s="24">
        <v>0.05</v>
      </c>
      <c r="N208" s="18">
        <v>24</v>
      </c>
      <c r="O208" s="22" t="s">
        <v>43</v>
      </c>
      <c r="P208" s="18">
        <f t="shared" ref="P208:P215" si="81">(C208+(E208*F208*H208))-N208</f>
        <v>0</v>
      </c>
      <c r="Q208" s="22" t="s">
        <v>43</v>
      </c>
      <c r="R208" s="23">
        <f t="shared" ref="R208:R215" si="82">P208*(J208-(J208*L208)-((J208-(J208*L208))*M208))</f>
        <v>0</v>
      </c>
      <c r="S208" s="23">
        <f t="shared" si="58"/>
        <v>0</v>
      </c>
    </row>
    <row r="209" spans="1:19" s="17" customFormat="1">
      <c r="A209" s="16" t="s">
        <v>198</v>
      </c>
      <c r="B209" s="17" t="s">
        <v>19</v>
      </c>
      <c r="C209" s="18"/>
      <c r="D209" s="19" t="s">
        <v>43</v>
      </c>
      <c r="E209" s="20"/>
      <c r="F209" s="21">
        <v>1</v>
      </c>
      <c r="G209" s="22" t="s">
        <v>21</v>
      </c>
      <c r="H209" s="21">
        <v>48</v>
      </c>
      <c r="I209" s="22" t="s">
        <v>43</v>
      </c>
      <c r="J209" s="23">
        <v>50400</v>
      </c>
      <c r="K209" s="19" t="s">
        <v>43</v>
      </c>
      <c r="L209" s="24">
        <v>0.125</v>
      </c>
      <c r="M209" s="24">
        <v>0.05</v>
      </c>
      <c r="N209" s="18"/>
      <c r="O209" s="22" t="s">
        <v>43</v>
      </c>
      <c r="P209" s="18">
        <f t="shared" si="81"/>
        <v>0</v>
      </c>
      <c r="Q209" s="22" t="s">
        <v>43</v>
      </c>
      <c r="R209" s="23">
        <f t="shared" si="82"/>
        <v>0</v>
      </c>
      <c r="S209" s="23">
        <f t="shared" si="58"/>
        <v>0</v>
      </c>
    </row>
    <row r="210" spans="1:19" s="26" customFormat="1">
      <c r="A210" s="25" t="s">
        <v>199</v>
      </c>
      <c r="B210" s="26" t="s">
        <v>19</v>
      </c>
      <c r="C210" s="27">
        <v>16</v>
      </c>
      <c r="D210" s="28" t="s">
        <v>43</v>
      </c>
      <c r="E210" s="29">
        <v>1</v>
      </c>
      <c r="F210" s="30">
        <v>1</v>
      </c>
      <c r="G210" s="31" t="s">
        <v>21</v>
      </c>
      <c r="H210" s="30">
        <v>48</v>
      </c>
      <c r="I210" s="31" t="s">
        <v>43</v>
      </c>
      <c r="J210" s="32">
        <v>55800</v>
      </c>
      <c r="K210" s="28" t="s">
        <v>43</v>
      </c>
      <c r="L210" s="33">
        <v>0.125</v>
      </c>
      <c r="M210" s="33">
        <v>0.05</v>
      </c>
      <c r="N210" s="27">
        <v>48</v>
      </c>
      <c r="O210" s="31" t="s">
        <v>43</v>
      </c>
      <c r="P210" s="27">
        <f t="shared" si="81"/>
        <v>16</v>
      </c>
      <c r="Q210" s="31" t="s">
        <v>43</v>
      </c>
      <c r="R210" s="32">
        <f t="shared" si="82"/>
        <v>742140</v>
      </c>
      <c r="S210" s="32">
        <f t="shared" si="58"/>
        <v>668594.59459459456</v>
      </c>
    </row>
    <row r="211" spans="1:19" s="63" customFormat="1">
      <c r="A211" s="72" t="s">
        <v>200</v>
      </c>
      <c r="B211" s="63" t="s">
        <v>19</v>
      </c>
      <c r="C211" s="64"/>
      <c r="D211" s="65" t="s">
        <v>43</v>
      </c>
      <c r="E211" s="66">
        <v>3</v>
      </c>
      <c r="F211" s="67">
        <v>1</v>
      </c>
      <c r="G211" s="68" t="s">
        <v>21</v>
      </c>
      <c r="H211" s="67">
        <v>24</v>
      </c>
      <c r="I211" s="68" t="s">
        <v>43</v>
      </c>
      <c r="J211" s="69">
        <v>162000</v>
      </c>
      <c r="K211" s="65" t="s">
        <v>43</v>
      </c>
      <c r="L211" s="70">
        <v>0.125</v>
      </c>
      <c r="M211" s="70">
        <v>0.05</v>
      </c>
      <c r="N211" s="64">
        <v>72</v>
      </c>
      <c r="O211" s="68" t="s">
        <v>43</v>
      </c>
      <c r="P211" s="64">
        <f t="shared" si="81"/>
        <v>0</v>
      </c>
      <c r="Q211" s="68" t="s">
        <v>43</v>
      </c>
      <c r="R211" s="69">
        <f t="shared" si="82"/>
        <v>0</v>
      </c>
      <c r="S211" s="69">
        <f t="shared" si="58"/>
        <v>0</v>
      </c>
    </row>
    <row r="212" spans="1:19" s="63" customFormat="1">
      <c r="A212" s="72" t="s">
        <v>201</v>
      </c>
      <c r="B212" s="63" t="s">
        <v>26</v>
      </c>
      <c r="C212" s="64">
        <v>1</v>
      </c>
      <c r="D212" s="65" t="s">
        <v>43</v>
      </c>
      <c r="E212" s="66"/>
      <c r="F212" s="67">
        <v>1</v>
      </c>
      <c r="G212" s="68" t="s">
        <v>21</v>
      </c>
      <c r="H212" s="67">
        <v>30</v>
      </c>
      <c r="I212" s="68" t="s">
        <v>43</v>
      </c>
      <c r="J212" s="69">
        <f>1566000/30</f>
        <v>52200</v>
      </c>
      <c r="K212" s="65" t="s">
        <v>43</v>
      </c>
      <c r="L212" s="70"/>
      <c r="M212" s="70">
        <v>0.17</v>
      </c>
      <c r="N212" s="64">
        <v>1</v>
      </c>
      <c r="O212" s="68" t="s">
        <v>43</v>
      </c>
      <c r="P212" s="64">
        <f t="shared" si="81"/>
        <v>0</v>
      </c>
      <c r="Q212" s="68" t="s">
        <v>43</v>
      </c>
      <c r="R212" s="69">
        <f t="shared" si="82"/>
        <v>0</v>
      </c>
      <c r="S212" s="23">
        <f t="shared" si="58"/>
        <v>0</v>
      </c>
    </row>
    <row r="213" spans="1:19" s="26" customFormat="1">
      <c r="A213" s="25" t="s">
        <v>202</v>
      </c>
      <c r="B213" s="26" t="s">
        <v>26</v>
      </c>
      <c r="C213" s="27">
        <v>26</v>
      </c>
      <c r="D213" s="28" t="s">
        <v>43</v>
      </c>
      <c r="E213" s="29">
        <f>4+3+1</f>
        <v>8</v>
      </c>
      <c r="F213" s="30">
        <v>1</v>
      </c>
      <c r="G213" s="31" t="s">
        <v>21</v>
      </c>
      <c r="H213" s="30">
        <v>30</v>
      </c>
      <c r="I213" s="31" t="s">
        <v>43</v>
      </c>
      <c r="J213" s="32">
        <f>1710000/30</f>
        <v>57000</v>
      </c>
      <c r="K213" s="28" t="s">
        <v>43</v>
      </c>
      <c r="L213" s="33"/>
      <c r="M213" s="33">
        <v>0.17</v>
      </c>
      <c r="N213" s="27">
        <f>60+15+30+3+30+5+10+2+2+60+5+10</f>
        <v>232</v>
      </c>
      <c r="O213" s="31" t="s">
        <v>43</v>
      </c>
      <c r="P213" s="27">
        <f t="shared" si="81"/>
        <v>34</v>
      </c>
      <c r="Q213" s="31" t="s">
        <v>43</v>
      </c>
      <c r="R213" s="32">
        <f t="shared" si="82"/>
        <v>1608540</v>
      </c>
      <c r="S213" s="32">
        <f t="shared" si="58"/>
        <v>1449135.1351351349</v>
      </c>
    </row>
    <row r="214" spans="1:19" s="45" customFormat="1">
      <c r="A214" s="44" t="s">
        <v>203</v>
      </c>
      <c r="B214" s="45" t="s">
        <v>26</v>
      </c>
      <c r="C214" s="46">
        <v>42</v>
      </c>
      <c r="D214" s="47" t="s">
        <v>43</v>
      </c>
      <c r="E214" s="48">
        <f>2+2+3+3+2</f>
        <v>12</v>
      </c>
      <c r="F214" s="49">
        <v>1</v>
      </c>
      <c r="G214" s="50" t="s">
        <v>21</v>
      </c>
      <c r="H214" s="49">
        <v>20</v>
      </c>
      <c r="I214" s="50" t="s">
        <v>43</v>
      </c>
      <c r="J214" s="51">
        <f>2952000/20</f>
        <v>147600</v>
      </c>
      <c r="K214" s="47" t="s">
        <v>43</v>
      </c>
      <c r="L214" s="52"/>
      <c r="M214" s="52">
        <v>0.17</v>
      </c>
      <c r="N214" s="46">
        <f>20+20+20+20+20+5+20+12+20+3+40+20</f>
        <v>220</v>
      </c>
      <c r="O214" s="50" t="s">
        <v>43</v>
      </c>
      <c r="P214" s="46">
        <f t="shared" si="81"/>
        <v>62</v>
      </c>
      <c r="Q214" s="50" t="s">
        <v>43</v>
      </c>
      <c r="R214" s="51">
        <f t="shared" si="82"/>
        <v>7595496</v>
      </c>
      <c r="S214" s="51">
        <f t="shared" si="58"/>
        <v>6842789.1891891882</v>
      </c>
    </row>
    <row r="215" spans="1:19" s="26" customFormat="1">
      <c r="A215" s="25" t="s">
        <v>737</v>
      </c>
      <c r="B215" s="26" t="s">
        <v>659</v>
      </c>
      <c r="C215" s="27">
        <v>48</v>
      </c>
      <c r="D215" s="28" t="s">
        <v>43</v>
      </c>
      <c r="E215" s="29"/>
      <c r="F215" s="30">
        <v>1</v>
      </c>
      <c r="G215" s="31" t="s">
        <v>21</v>
      </c>
      <c r="H215" s="30">
        <v>48</v>
      </c>
      <c r="I215" s="31" t="s">
        <v>43</v>
      </c>
      <c r="J215" s="32">
        <v>60600</v>
      </c>
      <c r="K215" s="28" t="s">
        <v>43</v>
      </c>
      <c r="L215" s="33">
        <v>0.15</v>
      </c>
      <c r="M215" s="33">
        <v>0.03</v>
      </c>
      <c r="N215" s="27">
        <f>1+2+1+2+1</f>
        <v>7</v>
      </c>
      <c r="O215" s="31" t="s">
        <v>43</v>
      </c>
      <c r="P215" s="27">
        <f t="shared" si="81"/>
        <v>41</v>
      </c>
      <c r="Q215" s="31" t="s">
        <v>43</v>
      </c>
      <c r="R215" s="32">
        <f t="shared" si="82"/>
        <v>2048552.7</v>
      </c>
      <c r="S215" s="32">
        <f t="shared" si="58"/>
        <v>1845542.9729729728</v>
      </c>
    </row>
    <row r="216" spans="1:19">
      <c r="A216" s="15" t="s">
        <v>204</v>
      </c>
      <c r="S216" s="23"/>
    </row>
    <row r="217" spans="1:19" s="45" customFormat="1">
      <c r="A217" s="44" t="s">
        <v>205</v>
      </c>
      <c r="B217" s="45" t="s">
        <v>19</v>
      </c>
      <c r="C217" s="46"/>
      <c r="D217" s="47" t="s">
        <v>43</v>
      </c>
      <c r="E217" s="48">
        <v>1</v>
      </c>
      <c r="F217" s="49">
        <v>1</v>
      </c>
      <c r="G217" s="50" t="s">
        <v>21</v>
      </c>
      <c r="H217" s="49">
        <v>120</v>
      </c>
      <c r="I217" s="50" t="s">
        <v>43</v>
      </c>
      <c r="J217" s="51">
        <v>24600</v>
      </c>
      <c r="K217" s="47" t="s">
        <v>43</v>
      </c>
      <c r="L217" s="52">
        <v>0.125</v>
      </c>
      <c r="M217" s="52">
        <v>0.05</v>
      </c>
      <c r="N217" s="46"/>
      <c r="O217" s="50" t="s">
        <v>43</v>
      </c>
      <c r="P217" s="46">
        <f t="shared" ref="P217:P221" si="83">(C217+(E217*F217*H217))-N217</f>
        <v>120</v>
      </c>
      <c r="Q217" s="50" t="s">
        <v>43</v>
      </c>
      <c r="R217" s="51">
        <f t="shared" ref="R217:R221" si="84">P217*(J217-(J217*L217)-((J217-(J217*L217))*M217))</f>
        <v>2453850</v>
      </c>
      <c r="S217" s="32">
        <f t="shared" si="58"/>
        <v>2210675.6756756753</v>
      </c>
    </row>
    <row r="218" spans="1:19" s="45" customFormat="1">
      <c r="A218" s="35" t="s">
        <v>206</v>
      </c>
      <c r="B218" s="36" t="s">
        <v>19</v>
      </c>
      <c r="C218" s="37">
        <v>40</v>
      </c>
      <c r="D218" s="38" t="s">
        <v>43</v>
      </c>
      <c r="E218" s="39">
        <f>1+1</f>
        <v>2</v>
      </c>
      <c r="F218" s="40">
        <v>1</v>
      </c>
      <c r="G218" s="41" t="s">
        <v>21</v>
      </c>
      <c r="H218" s="40">
        <v>40</v>
      </c>
      <c r="I218" s="41" t="s">
        <v>43</v>
      </c>
      <c r="J218" s="42">
        <v>49200</v>
      </c>
      <c r="K218" s="38" t="s">
        <v>43</v>
      </c>
      <c r="L218" s="43">
        <v>0.125</v>
      </c>
      <c r="M218" s="43">
        <v>0.05</v>
      </c>
      <c r="N218" s="37">
        <v>40</v>
      </c>
      <c r="O218" s="41" t="s">
        <v>43</v>
      </c>
      <c r="P218" s="37">
        <f t="shared" si="83"/>
        <v>80</v>
      </c>
      <c r="Q218" s="41" t="s">
        <v>43</v>
      </c>
      <c r="R218" s="42">
        <f t="shared" si="84"/>
        <v>3271800</v>
      </c>
      <c r="S218" s="42">
        <f t="shared" si="58"/>
        <v>2947567.5675675673</v>
      </c>
    </row>
    <row r="219" spans="1:19" s="45" customFormat="1">
      <c r="A219" s="35" t="s">
        <v>773</v>
      </c>
      <c r="B219" s="36" t="s">
        <v>19</v>
      </c>
      <c r="C219" s="37">
        <f>7+72</f>
        <v>79</v>
      </c>
      <c r="D219" s="38" t="s">
        <v>43</v>
      </c>
      <c r="E219" s="39"/>
      <c r="F219" s="40">
        <v>1</v>
      </c>
      <c r="G219" s="41" t="s">
        <v>21</v>
      </c>
      <c r="H219" s="40">
        <v>40</v>
      </c>
      <c r="I219" s="41" t="s">
        <v>43</v>
      </c>
      <c r="J219" s="42">
        <v>0</v>
      </c>
      <c r="K219" s="38" t="s">
        <v>43</v>
      </c>
      <c r="L219" s="43">
        <v>0</v>
      </c>
      <c r="M219" s="43">
        <v>0</v>
      </c>
      <c r="N219" s="37">
        <v>72</v>
      </c>
      <c r="O219" s="41" t="s">
        <v>43</v>
      </c>
      <c r="P219" s="37">
        <f t="shared" si="83"/>
        <v>7</v>
      </c>
      <c r="Q219" s="41" t="s">
        <v>43</v>
      </c>
      <c r="R219" s="42">
        <f t="shared" si="84"/>
        <v>0</v>
      </c>
      <c r="S219" s="42">
        <f t="shared" si="58"/>
        <v>0</v>
      </c>
    </row>
    <row r="220" spans="1:19" s="45" customFormat="1">
      <c r="A220" s="44" t="s">
        <v>208</v>
      </c>
      <c r="B220" s="45" t="s">
        <v>26</v>
      </c>
      <c r="C220" s="46">
        <v>2305</v>
      </c>
      <c r="D220" s="47" t="s">
        <v>43</v>
      </c>
      <c r="E220" s="48"/>
      <c r="F220" s="49">
        <v>1</v>
      </c>
      <c r="G220" s="50" t="s">
        <v>21</v>
      </c>
      <c r="H220" s="49">
        <v>120</v>
      </c>
      <c r="I220" s="50" t="s">
        <v>43</v>
      </c>
      <c r="J220" s="51">
        <f>3744000/120</f>
        <v>31200</v>
      </c>
      <c r="K220" s="47" t="s">
        <v>43</v>
      </c>
      <c r="L220" s="52"/>
      <c r="M220" s="52">
        <v>0.17</v>
      </c>
      <c r="N220" s="46">
        <f>120+240+60+120+10+5+120</f>
        <v>675</v>
      </c>
      <c r="O220" s="50" t="s">
        <v>43</v>
      </c>
      <c r="P220" s="46">
        <f t="shared" si="83"/>
        <v>1630</v>
      </c>
      <c r="Q220" s="50" t="s">
        <v>43</v>
      </c>
      <c r="R220" s="51">
        <f t="shared" si="84"/>
        <v>42210480</v>
      </c>
      <c r="S220" s="51">
        <f t="shared" si="58"/>
        <v>38027459.459459454</v>
      </c>
    </row>
    <row r="221" spans="1:19" s="63" customFormat="1">
      <c r="A221" s="95" t="s">
        <v>209</v>
      </c>
      <c r="B221" s="96" t="s">
        <v>26</v>
      </c>
      <c r="C221" s="97">
        <v>327</v>
      </c>
      <c r="D221" s="98" t="s">
        <v>43</v>
      </c>
      <c r="E221" s="105"/>
      <c r="F221" s="100">
        <v>1</v>
      </c>
      <c r="G221" s="101" t="s">
        <v>21</v>
      </c>
      <c r="H221" s="100">
        <v>60</v>
      </c>
      <c r="I221" s="101" t="s">
        <v>43</v>
      </c>
      <c r="J221" s="102">
        <f>3744000/60</f>
        <v>62400</v>
      </c>
      <c r="K221" s="98" t="s">
        <v>43</v>
      </c>
      <c r="L221" s="103"/>
      <c r="M221" s="103">
        <v>0.17</v>
      </c>
      <c r="N221" s="97">
        <f>10+60+30+120+60+60-13</f>
        <v>327</v>
      </c>
      <c r="O221" s="101" t="s">
        <v>43</v>
      </c>
      <c r="P221" s="97">
        <f t="shared" si="83"/>
        <v>0</v>
      </c>
      <c r="Q221" s="101" t="s">
        <v>43</v>
      </c>
      <c r="R221" s="102">
        <f t="shared" si="84"/>
        <v>0</v>
      </c>
      <c r="S221" s="102">
        <f t="shared" si="58"/>
        <v>0</v>
      </c>
    </row>
    <row r="222" spans="1:19" s="63" customFormat="1">
      <c r="A222" s="95" t="s">
        <v>209</v>
      </c>
      <c r="B222" s="96" t="s">
        <v>26</v>
      </c>
      <c r="C222" s="97">
        <v>42</v>
      </c>
      <c r="D222" s="98" t="s">
        <v>43</v>
      </c>
      <c r="E222" s="105">
        <f>5+5</f>
        <v>10</v>
      </c>
      <c r="F222" s="100">
        <v>1</v>
      </c>
      <c r="G222" s="101" t="s">
        <v>21</v>
      </c>
      <c r="H222" s="100">
        <v>60</v>
      </c>
      <c r="I222" s="101" t="s">
        <v>43</v>
      </c>
      <c r="J222" s="102">
        <f>3888000/60</f>
        <v>64800</v>
      </c>
      <c r="K222" s="98" t="s">
        <v>43</v>
      </c>
      <c r="L222" s="103"/>
      <c r="M222" s="103">
        <v>0.17</v>
      </c>
      <c r="N222" s="97">
        <f>(60-47)+10+120+60+60+60+60+5+4+10+120+120</f>
        <v>642</v>
      </c>
      <c r="O222" s="101" t="s">
        <v>43</v>
      </c>
      <c r="P222" s="97">
        <f t="shared" ref="P222" si="85">(C222+(E222*F222*H222))-N222</f>
        <v>0</v>
      </c>
      <c r="Q222" s="101" t="s">
        <v>43</v>
      </c>
      <c r="R222" s="102">
        <f t="shared" ref="R222" si="86">P222*(J222-(J222*L222)-((J222-(J222*L222))*M222))</f>
        <v>0</v>
      </c>
      <c r="S222" s="102">
        <f t="shared" ref="S222" si="87">R222/1.11</f>
        <v>0</v>
      </c>
    </row>
    <row r="223" spans="1:19">
      <c r="A223" s="15" t="s">
        <v>210</v>
      </c>
      <c r="S223" s="23"/>
    </row>
    <row r="224" spans="1:19" s="17" customFormat="1">
      <c r="A224" s="16" t="s">
        <v>211</v>
      </c>
      <c r="B224" s="17" t="s">
        <v>19</v>
      </c>
      <c r="C224" s="18"/>
      <c r="D224" s="19" t="s">
        <v>20</v>
      </c>
      <c r="E224" s="20"/>
      <c r="F224" s="21">
        <v>1</v>
      </c>
      <c r="G224" s="22" t="s">
        <v>21</v>
      </c>
      <c r="H224" s="21">
        <v>5</v>
      </c>
      <c r="I224" s="22" t="s">
        <v>20</v>
      </c>
      <c r="J224" s="23">
        <v>214000</v>
      </c>
      <c r="K224" s="19" t="s">
        <v>20</v>
      </c>
      <c r="L224" s="24">
        <v>0.125</v>
      </c>
      <c r="M224" s="24">
        <v>0.05</v>
      </c>
      <c r="N224" s="18"/>
      <c r="O224" s="22" t="s">
        <v>20</v>
      </c>
      <c r="P224" s="18">
        <f>(C224+(E224*F224*H224))-N224</f>
        <v>0</v>
      </c>
      <c r="Q224" s="22" t="s">
        <v>20</v>
      </c>
      <c r="R224" s="23">
        <f>P224*(J224-(J224*L224)-((J224-(J224*L224))*M224))</f>
        <v>0</v>
      </c>
      <c r="S224" s="23">
        <f t="shared" si="58"/>
        <v>0</v>
      </c>
    </row>
    <row r="225" spans="1:19" s="26" customFormat="1">
      <c r="A225" s="25" t="s">
        <v>212</v>
      </c>
      <c r="B225" s="26" t="s">
        <v>19</v>
      </c>
      <c r="C225" s="27">
        <v>5</v>
      </c>
      <c r="D225" s="28" t="s">
        <v>20</v>
      </c>
      <c r="E225" s="29"/>
      <c r="F225" s="30">
        <v>1</v>
      </c>
      <c r="G225" s="31" t="s">
        <v>21</v>
      </c>
      <c r="H225" s="30">
        <v>5</v>
      </c>
      <c r="I225" s="31" t="s">
        <v>20</v>
      </c>
      <c r="J225" s="32">
        <v>219000</v>
      </c>
      <c r="K225" s="28" t="s">
        <v>20</v>
      </c>
      <c r="L225" s="33">
        <v>0.125</v>
      </c>
      <c r="M225" s="33">
        <v>0.05</v>
      </c>
      <c r="N225" s="27"/>
      <c r="O225" s="31" t="s">
        <v>20</v>
      </c>
      <c r="P225" s="27">
        <f>(C225+(E225*F225*H225))-N225</f>
        <v>5</v>
      </c>
      <c r="Q225" s="31" t="s">
        <v>20</v>
      </c>
      <c r="R225" s="32">
        <f>P225*(J225-(J225*L225)-((J225-(J225*L225))*M225))</f>
        <v>910218.75</v>
      </c>
      <c r="S225" s="32">
        <f t="shared" si="58"/>
        <v>820016.89189189184</v>
      </c>
    </row>
    <row r="226" spans="1:19" s="17" customFormat="1">
      <c r="A226" s="16" t="s">
        <v>213</v>
      </c>
      <c r="B226" s="17" t="s">
        <v>19</v>
      </c>
      <c r="C226" s="18"/>
      <c r="D226" s="19" t="s">
        <v>20</v>
      </c>
      <c r="E226" s="20"/>
      <c r="F226" s="21">
        <v>1</v>
      </c>
      <c r="G226" s="22" t="s">
        <v>21</v>
      </c>
      <c r="H226" s="21">
        <v>4</v>
      </c>
      <c r="I226" s="22" t="s">
        <v>20</v>
      </c>
      <c r="J226" s="23">
        <v>283000</v>
      </c>
      <c r="K226" s="19" t="s">
        <v>20</v>
      </c>
      <c r="L226" s="24">
        <v>0.125</v>
      </c>
      <c r="M226" s="24">
        <v>0.05</v>
      </c>
      <c r="N226" s="18"/>
      <c r="O226" s="22" t="s">
        <v>20</v>
      </c>
      <c r="P226" s="18">
        <f>(C226+(E226*F226*H226))-N226</f>
        <v>0</v>
      </c>
      <c r="Q226" s="22" t="s">
        <v>20</v>
      </c>
      <c r="R226" s="23">
        <f>P226*(J226-(J226*L226)-((J226-(J226*L226))*M226))</f>
        <v>0</v>
      </c>
      <c r="S226" s="23">
        <f t="shared" si="58"/>
        <v>0</v>
      </c>
    </row>
    <row r="227" spans="1:19" s="17" customFormat="1">
      <c r="A227" s="16" t="s">
        <v>214</v>
      </c>
      <c r="B227" s="17" t="s">
        <v>26</v>
      </c>
      <c r="C227" s="18"/>
      <c r="D227" s="19" t="s">
        <v>20</v>
      </c>
      <c r="E227" s="20"/>
      <c r="F227" s="21">
        <v>1</v>
      </c>
      <c r="G227" s="22" t="s">
        <v>21</v>
      </c>
      <c r="H227" s="21">
        <v>5</v>
      </c>
      <c r="I227" s="22" t="s">
        <v>20</v>
      </c>
      <c r="J227" s="23">
        <f>1075000/5</f>
        <v>215000</v>
      </c>
      <c r="K227" s="19" t="s">
        <v>20</v>
      </c>
      <c r="L227" s="24"/>
      <c r="M227" s="24">
        <v>0.17</v>
      </c>
      <c r="N227" s="18"/>
      <c r="O227" s="22" t="s">
        <v>20</v>
      </c>
      <c r="P227" s="18">
        <f>(C227+(E227*F227*H227))-N227</f>
        <v>0</v>
      </c>
      <c r="Q227" s="22" t="s">
        <v>20</v>
      </c>
      <c r="R227" s="23">
        <f>P227*(J227-(J227*L227)-((J227-(J227*L227))*M227))</f>
        <v>0</v>
      </c>
      <c r="S227" s="23">
        <f t="shared" si="58"/>
        <v>0</v>
      </c>
    </row>
    <row r="228" spans="1:19" s="17" customFormat="1">
      <c r="A228" s="16" t="s">
        <v>215</v>
      </c>
      <c r="B228" s="17" t="s">
        <v>26</v>
      </c>
      <c r="C228" s="18"/>
      <c r="D228" s="19" t="s">
        <v>20</v>
      </c>
      <c r="E228" s="20"/>
      <c r="F228" s="21">
        <v>1</v>
      </c>
      <c r="G228" s="22" t="s">
        <v>21</v>
      </c>
      <c r="H228" s="21">
        <v>5</v>
      </c>
      <c r="I228" s="22" t="s">
        <v>20</v>
      </c>
      <c r="J228" s="23">
        <f>1125000/5</f>
        <v>225000</v>
      </c>
      <c r="K228" s="19" t="s">
        <v>20</v>
      </c>
      <c r="L228" s="24"/>
      <c r="M228" s="24">
        <v>0.17</v>
      </c>
      <c r="N228" s="18"/>
      <c r="O228" s="22" t="s">
        <v>20</v>
      </c>
      <c r="P228" s="18">
        <f t="shared" ref="P228:P229" si="88">(C228+(E228*F228*H228))-N228</f>
        <v>0</v>
      </c>
      <c r="Q228" s="22" t="s">
        <v>20</v>
      </c>
      <c r="R228" s="23">
        <f t="shared" ref="R228:R229" si="89">P228*(J228-(J228*L228)-((J228-(J228*L228))*M228))</f>
        <v>0</v>
      </c>
      <c r="S228" s="23">
        <f t="shared" si="58"/>
        <v>0</v>
      </c>
    </row>
    <row r="229" spans="1:19" s="17" customFormat="1">
      <c r="A229" s="16" t="s">
        <v>216</v>
      </c>
      <c r="B229" s="17" t="s">
        <v>26</v>
      </c>
      <c r="C229" s="18"/>
      <c r="D229" s="19" t="s">
        <v>20</v>
      </c>
      <c r="E229" s="20"/>
      <c r="F229" s="21">
        <v>1</v>
      </c>
      <c r="G229" s="22" t="s">
        <v>21</v>
      </c>
      <c r="H229" s="21">
        <v>4</v>
      </c>
      <c r="I229" s="22" t="s">
        <v>20</v>
      </c>
      <c r="J229" s="23">
        <f>1100000/4</f>
        <v>275000</v>
      </c>
      <c r="K229" s="19" t="s">
        <v>20</v>
      </c>
      <c r="L229" s="24"/>
      <c r="M229" s="24">
        <v>0.17</v>
      </c>
      <c r="N229" s="18"/>
      <c r="O229" s="22" t="s">
        <v>20</v>
      </c>
      <c r="P229" s="18">
        <f t="shared" si="88"/>
        <v>0</v>
      </c>
      <c r="Q229" s="22" t="s">
        <v>20</v>
      </c>
      <c r="R229" s="23">
        <f t="shared" si="89"/>
        <v>0</v>
      </c>
      <c r="S229" s="23">
        <f t="shared" ref="S229:S298" si="90">R229/1.11</f>
        <v>0</v>
      </c>
    </row>
    <row r="230" spans="1:19">
      <c r="S230" s="23"/>
    </row>
    <row r="231" spans="1:19" ht="15.75">
      <c r="A231" s="14" t="s">
        <v>217</v>
      </c>
      <c r="S231" s="23"/>
    </row>
    <row r="232" spans="1:19" s="17" customFormat="1">
      <c r="A232" s="16" t="s">
        <v>218</v>
      </c>
      <c r="B232" s="17" t="s">
        <v>19</v>
      </c>
      <c r="C232" s="18"/>
      <c r="D232" s="19" t="s">
        <v>20</v>
      </c>
      <c r="E232" s="20"/>
      <c r="F232" s="21">
        <v>1</v>
      </c>
      <c r="G232" s="22" t="s">
        <v>21</v>
      </c>
      <c r="H232" s="21">
        <v>90</v>
      </c>
      <c r="I232" s="22" t="s">
        <v>20</v>
      </c>
      <c r="J232" s="23">
        <v>24000</v>
      </c>
      <c r="K232" s="19" t="s">
        <v>20</v>
      </c>
      <c r="L232" s="24">
        <v>0.125</v>
      </c>
      <c r="M232" s="24">
        <v>0.05</v>
      </c>
      <c r="N232" s="18"/>
      <c r="O232" s="22" t="s">
        <v>20</v>
      </c>
      <c r="P232" s="18">
        <f>(C232+(E232*F232*H232))-N232</f>
        <v>0</v>
      </c>
      <c r="Q232" s="22" t="s">
        <v>20</v>
      </c>
      <c r="R232" s="23">
        <f>P232*(J232-(J232*L232)-((J232-(J232*L232))*M232))</f>
        <v>0</v>
      </c>
      <c r="S232" s="23">
        <f t="shared" si="90"/>
        <v>0</v>
      </c>
    </row>
    <row r="233" spans="1:19" s="17" customFormat="1">
      <c r="A233" s="16" t="s">
        <v>219</v>
      </c>
      <c r="B233" s="17" t="s">
        <v>19</v>
      </c>
      <c r="C233" s="18"/>
      <c r="D233" s="19" t="s">
        <v>20</v>
      </c>
      <c r="E233" s="20"/>
      <c r="F233" s="21">
        <v>1</v>
      </c>
      <c r="G233" s="22" t="s">
        <v>21</v>
      </c>
      <c r="H233" s="21">
        <v>48</v>
      </c>
      <c r="I233" s="22" t="s">
        <v>20</v>
      </c>
      <c r="J233" s="23">
        <v>24900</v>
      </c>
      <c r="K233" s="19" t="s">
        <v>20</v>
      </c>
      <c r="L233" s="24">
        <v>0.125</v>
      </c>
      <c r="M233" s="24">
        <v>0.05</v>
      </c>
      <c r="N233" s="18"/>
      <c r="O233" s="22" t="s">
        <v>20</v>
      </c>
      <c r="P233" s="18">
        <f>(C233+(E233*F233*H233))-N233</f>
        <v>0</v>
      </c>
      <c r="Q233" s="22" t="s">
        <v>20</v>
      </c>
      <c r="R233" s="23">
        <f>P233*(J233-(J233*L233)-((J233-(J233*L233))*M233))</f>
        <v>0</v>
      </c>
      <c r="S233" s="23">
        <f t="shared" si="90"/>
        <v>0</v>
      </c>
    </row>
    <row r="234" spans="1:19" s="17" customFormat="1">
      <c r="A234" s="16" t="s">
        <v>220</v>
      </c>
      <c r="B234" s="17" t="s">
        <v>26</v>
      </c>
      <c r="C234" s="18"/>
      <c r="D234" s="19" t="s">
        <v>20</v>
      </c>
      <c r="E234" s="20"/>
      <c r="F234" s="21">
        <v>1</v>
      </c>
      <c r="G234" s="22" t="s">
        <v>21</v>
      </c>
      <c r="H234" s="21">
        <v>24</v>
      </c>
      <c r="I234" s="22" t="s">
        <v>20</v>
      </c>
      <c r="J234" s="23">
        <f>720000/24</f>
        <v>30000</v>
      </c>
      <c r="K234" s="19" t="s">
        <v>20</v>
      </c>
      <c r="L234" s="24"/>
      <c r="M234" s="24">
        <v>0.17</v>
      </c>
      <c r="N234" s="18"/>
      <c r="O234" s="22" t="s">
        <v>20</v>
      </c>
      <c r="P234" s="18">
        <f>(C234+(E234*F234*H234))-N234</f>
        <v>0</v>
      </c>
      <c r="Q234" s="22" t="s">
        <v>20</v>
      </c>
      <c r="R234" s="23">
        <f>P234*(J234-(J234*L234)-((J234-(J234*L234))*M234))</f>
        <v>0</v>
      </c>
      <c r="S234" s="23">
        <f t="shared" si="90"/>
        <v>0</v>
      </c>
    </row>
    <row r="235" spans="1:19">
      <c r="A235" s="34" t="s">
        <v>221</v>
      </c>
      <c r="B235" s="2" t="s">
        <v>26</v>
      </c>
      <c r="C235" s="3">
        <v>24</v>
      </c>
      <c r="D235" s="4" t="s">
        <v>20</v>
      </c>
      <c r="F235" s="6">
        <v>1</v>
      </c>
      <c r="G235" s="7" t="s">
        <v>21</v>
      </c>
      <c r="H235" s="6">
        <v>48</v>
      </c>
      <c r="I235" s="7" t="s">
        <v>20</v>
      </c>
      <c r="J235" s="8">
        <f>1104000/48</f>
        <v>23000</v>
      </c>
      <c r="K235" s="4" t="s">
        <v>20</v>
      </c>
      <c r="M235" s="9">
        <v>0.17</v>
      </c>
      <c r="O235" s="7" t="s">
        <v>20</v>
      </c>
      <c r="P235" s="3">
        <f>(C235+(E235*F235*H235))-N235</f>
        <v>24</v>
      </c>
      <c r="Q235" s="7" t="s">
        <v>20</v>
      </c>
      <c r="R235" s="8">
        <f>P235*(J235-(J235*L235)-((J235-(J235*L235))*M235))</f>
        <v>458160</v>
      </c>
      <c r="S235" s="32">
        <f t="shared" si="90"/>
        <v>412756.75675675675</v>
      </c>
    </row>
    <row r="236" spans="1:19">
      <c r="S236" s="23"/>
    </row>
    <row r="237" spans="1:19" ht="15.75">
      <c r="A237" s="14" t="s">
        <v>222</v>
      </c>
      <c r="S237" s="23"/>
    </row>
    <row r="238" spans="1:19">
      <c r="A238" s="15" t="s">
        <v>223</v>
      </c>
      <c r="S238" s="23"/>
    </row>
    <row r="239" spans="1:19" s="17" customFormat="1">
      <c r="A239" s="16" t="s">
        <v>224</v>
      </c>
      <c r="B239" s="17" t="s">
        <v>19</v>
      </c>
      <c r="C239" s="18"/>
      <c r="D239" s="19" t="s">
        <v>20</v>
      </c>
      <c r="E239" s="20"/>
      <c r="F239" s="21">
        <v>1</v>
      </c>
      <c r="G239" s="22" t="s">
        <v>21</v>
      </c>
      <c r="H239" s="21">
        <v>40</v>
      </c>
      <c r="I239" s="22" t="s">
        <v>20</v>
      </c>
      <c r="J239" s="23">
        <v>38500</v>
      </c>
      <c r="K239" s="19" t="s">
        <v>20</v>
      </c>
      <c r="L239" s="24">
        <v>0.125</v>
      </c>
      <c r="M239" s="24">
        <v>0.05</v>
      </c>
      <c r="N239" s="18"/>
      <c r="O239" s="22" t="s">
        <v>20</v>
      </c>
      <c r="P239" s="18">
        <f>(C239+(E239*F239*H239))-N239</f>
        <v>0</v>
      </c>
      <c r="Q239" s="22" t="s">
        <v>20</v>
      </c>
      <c r="R239" s="23">
        <f>P239*(J239-(J239*L239)-((J239-(J239*L239))*M239))</f>
        <v>0</v>
      </c>
      <c r="S239" s="23">
        <f t="shared" si="90"/>
        <v>0</v>
      </c>
    </row>
    <row r="240" spans="1:19">
      <c r="A240" s="15" t="s">
        <v>225</v>
      </c>
      <c r="S240" s="23"/>
    </row>
    <row r="241" spans="1:19" s="26" customFormat="1">
      <c r="A241" s="25" t="s">
        <v>226</v>
      </c>
      <c r="B241" s="26" t="s">
        <v>19</v>
      </c>
      <c r="C241" s="27">
        <v>48</v>
      </c>
      <c r="D241" s="28" t="s">
        <v>20</v>
      </c>
      <c r="E241" s="29"/>
      <c r="F241" s="30">
        <v>1</v>
      </c>
      <c r="G241" s="31" t="s">
        <v>21</v>
      </c>
      <c r="H241" s="30">
        <v>48</v>
      </c>
      <c r="I241" s="31" t="s">
        <v>20</v>
      </c>
      <c r="J241" s="32">
        <v>17000</v>
      </c>
      <c r="K241" s="28" t="s">
        <v>20</v>
      </c>
      <c r="L241" s="33">
        <v>0.125</v>
      </c>
      <c r="M241" s="33">
        <v>0.05</v>
      </c>
      <c r="N241" s="27"/>
      <c r="O241" s="31" t="s">
        <v>20</v>
      </c>
      <c r="P241" s="27">
        <f>(C241+(E241*F241*H241))-N241</f>
        <v>48</v>
      </c>
      <c r="Q241" s="31" t="s">
        <v>20</v>
      </c>
      <c r="R241" s="32">
        <f>P241*(J241-(J241*L241)-((J241-(J241*L241))*M241))</f>
        <v>678300</v>
      </c>
      <c r="S241" s="32">
        <f t="shared" si="90"/>
        <v>611081.08108108107</v>
      </c>
    </row>
    <row r="242" spans="1:19">
      <c r="S242" s="23"/>
    </row>
    <row r="243" spans="1:19" ht="15.75">
      <c r="A243" s="14" t="s">
        <v>227</v>
      </c>
      <c r="S243" s="23"/>
    </row>
    <row r="244" spans="1:19">
      <c r="A244" s="15" t="s">
        <v>228</v>
      </c>
      <c r="S244" s="23"/>
    </row>
    <row r="245" spans="1:19" s="45" customFormat="1">
      <c r="A245" s="44" t="s">
        <v>229</v>
      </c>
      <c r="B245" s="45" t="s">
        <v>26</v>
      </c>
      <c r="C245" s="46"/>
      <c r="D245" s="47" t="s">
        <v>43</v>
      </c>
      <c r="E245" s="48">
        <v>1</v>
      </c>
      <c r="F245" s="49">
        <v>1</v>
      </c>
      <c r="G245" s="50" t="s">
        <v>21</v>
      </c>
      <c r="H245" s="49">
        <v>50</v>
      </c>
      <c r="I245" s="50" t="s">
        <v>43</v>
      </c>
      <c r="J245" s="51">
        <f>1800000/50</f>
        <v>36000</v>
      </c>
      <c r="K245" s="47" t="s">
        <v>43</v>
      </c>
      <c r="L245" s="52"/>
      <c r="M245" s="52">
        <v>0.17</v>
      </c>
      <c r="N245" s="46">
        <v>10</v>
      </c>
      <c r="O245" s="50" t="s">
        <v>43</v>
      </c>
      <c r="P245" s="46">
        <f t="shared" ref="P245:P251" si="91">(C245+(E245*F245*H245))-N245</f>
        <v>40</v>
      </c>
      <c r="Q245" s="50" t="s">
        <v>43</v>
      </c>
      <c r="R245" s="51">
        <f t="shared" ref="R245:R251" si="92">P245*(J245-(J245*L245)-((J245-(J245*L245))*M245))</f>
        <v>1195200</v>
      </c>
      <c r="S245" s="32">
        <f t="shared" si="90"/>
        <v>1076756.7567567567</v>
      </c>
    </row>
    <row r="246" spans="1:19" s="85" customFormat="1">
      <c r="A246" s="84" t="s">
        <v>230</v>
      </c>
      <c r="B246" s="85" t="s">
        <v>26</v>
      </c>
      <c r="C246" s="86">
        <v>32</v>
      </c>
      <c r="D246" s="87" t="s">
        <v>43</v>
      </c>
      <c r="E246" s="92"/>
      <c r="F246" s="88">
        <v>1</v>
      </c>
      <c r="G246" s="89" t="s">
        <v>21</v>
      </c>
      <c r="H246" s="88">
        <v>25</v>
      </c>
      <c r="I246" s="89" t="s">
        <v>43</v>
      </c>
      <c r="J246" s="90">
        <f>1860000/25</f>
        <v>74400</v>
      </c>
      <c r="K246" s="87" t="s">
        <v>43</v>
      </c>
      <c r="L246" s="91"/>
      <c r="M246" s="91">
        <v>0.17</v>
      </c>
      <c r="N246" s="86">
        <f>2+2</f>
        <v>4</v>
      </c>
      <c r="O246" s="89" t="s">
        <v>43</v>
      </c>
      <c r="P246" s="86">
        <f t="shared" si="91"/>
        <v>28</v>
      </c>
      <c r="Q246" s="89" t="s">
        <v>43</v>
      </c>
      <c r="R246" s="90">
        <f t="shared" si="92"/>
        <v>1729056</v>
      </c>
      <c r="S246" s="32">
        <f t="shared" si="90"/>
        <v>1557708.1081081079</v>
      </c>
    </row>
    <row r="247" spans="1:19" s="17" customFormat="1">
      <c r="A247" s="16" t="s">
        <v>231</v>
      </c>
      <c r="B247" s="17" t="s">
        <v>26</v>
      </c>
      <c r="C247" s="18"/>
      <c r="D247" s="19" t="s">
        <v>43</v>
      </c>
      <c r="E247" s="20"/>
      <c r="F247" s="21">
        <v>1</v>
      </c>
      <c r="G247" s="22" t="s">
        <v>21</v>
      </c>
      <c r="H247" s="21">
        <v>10</v>
      </c>
      <c r="I247" s="22" t="s">
        <v>43</v>
      </c>
      <c r="J247" s="23">
        <v>153000</v>
      </c>
      <c r="K247" s="19" t="s">
        <v>43</v>
      </c>
      <c r="L247" s="24"/>
      <c r="M247" s="24">
        <v>0.17</v>
      </c>
      <c r="N247" s="18"/>
      <c r="O247" s="22" t="s">
        <v>43</v>
      </c>
      <c r="P247" s="18">
        <f t="shared" si="91"/>
        <v>0</v>
      </c>
      <c r="Q247" s="22" t="s">
        <v>43</v>
      </c>
      <c r="R247" s="23">
        <f t="shared" si="92"/>
        <v>0</v>
      </c>
      <c r="S247" s="23">
        <f t="shared" si="90"/>
        <v>0</v>
      </c>
    </row>
    <row r="248" spans="1:19" s="63" customFormat="1">
      <c r="A248" s="95" t="s">
        <v>232</v>
      </c>
      <c r="B248" s="96" t="s">
        <v>26</v>
      </c>
      <c r="C248" s="97">
        <v>7</v>
      </c>
      <c r="D248" s="98" t="s">
        <v>43</v>
      </c>
      <c r="E248" s="105"/>
      <c r="F248" s="100">
        <v>1</v>
      </c>
      <c r="G248" s="101" t="s">
        <v>21</v>
      </c>
      <c r="H248" s="100">
        <v>10</v>
      </c>
      <c r="I248" s="101" t="s">
        <v>43</v>
      </c>
      <c r="J248" s="102">
        <f>1932000/10</f>
        <v>193200</v>
      </c>
      <c r="K248" s="98" t="s">
        <v>43</v>
      </c>
      <c r="L248" s="103"/>
      <c r="M248" s="103">
        <v>0.17</v>
      </c>
      <c r="N248" s="97">
        <f>10-3</f>
        <v>7</v>
      </c>
      <c r="O248" s="101" t="s">
        <v>43</v>
      </c>
      <c r="P248" s="97">
        <f t="shared" si="91"/>
        <v>0</v>
      </c>
      <c r="Q248" s="101" t="s">
        <v>43</v>
      </c>
      <c r="R248" s="102">
        <f t="shared" si="92"/>
        <v>0</v>
      </c>
      <c r="S248" s="102">
        <f t="shared" si="90"/>
        <v>0</v>
      </c>
    </row>
    <row r="249" spans="1:19" s="45" customFormat="1">
      <c r="A249" s="35" t="s">
        <v>232</v>
      </c>
      <c r="B249" s="36" t="s">
        <v>26</v>
      </c>
      <c r="C249" s="37"/>
      <c r="D249" s="38" t="s">
        <v>43</v>
      </c>
      <c r="E249" s="39">
        <v>1</v>
      </c>
      <c r="F249" s="40">
        <v>1</v>
      </c>
      <c r="G249" s="41" t="s">
        <v>21</v>
      </c>
      <c r="H249" s="40">
        <v>10</v>
      </c>
      <c r="I249" s="41" t="s">
        <v>43</v>
      </c>
      <c r="J249" s="42">
        <f>2028000/10</f>
        <v>202800</v>
      </c>
      <c r="K249" s="38" t="s">
        <v>43</v>
      </c>
      <c r="L249" s="43"/>
      <c r="M249" s="43">
        <v>0.17</v>
      </c>
      <c r="N249" s="37">
        <f>(10-7)+4</f>
        <v>7</v>
      </c>
      <c r="O249" s="41" t="s">
        <v>43</v>
      </c>
      <c r="P249" s="37">
        <f t="shared" ref="P249" si="93">(C249+(E249*F249*H249))-N249</f>
        <v>3</v>
      </c>
      <c r="Q249" s="41" t="s">
        <v>43</v>
      </c>
      <c r="R249" s="42">
        <f t="shared" ref="R249" si="94">P249*(J249-(J249*L249)-((J249-(J249*L249))*M249))</f>
        <v>504972</v>
      </c>
      <c r="S249" s="42">
        <f t="shared" ref="S249" si="95">R249/1.11</f>
        <v>454929.7297297297</v>
      </c>
    </row>
    <row r="250" spans="1:19" s="45" customFormat="1">
      <c r="A250" s="44" t="s">
        <v>233</v>
      </c>
      <c r="B250" s="45" t="s">
        <v>26</v>
      </c>
      <c r="C250" s="46">
        <v>8</v>
      </c>
      <c r="D250" s="47" t="s">
        <v>43</v>
      </c>
      <c r="E250" s="48"/>
      <c r="F250" s="49">
        <v>1</v>
      </c>
      <c r="G250" s="50" t="s">
        <v>21</v>
      </c>
      <c r="H250" s="49">
        <v>10</v>
      </c>
      <c r="I250" s="50" t="s">
        <v>43</v>
      </c>
      <c r="J250" s="51">
        <f>2208000/10</f>
        <v>220800</v>
      </c>
      <c r="K250" s="47" t="s">
        <v>43</v>
      </c>
      <c r="L250" s="52"/>
      <c r="M250" s="52">
        <v>0.17</v>
      </c>
      <c r="N250" s="46">
        <v>5</v>
      </c>
      <c r="O250" s="50" t="s">
        <v>43</v>
      </c>
      <c r="P250" s="46">
        <f t="shared" si="91"/>
        <v>3</v>
      </c>
      <c r="Q250" s="50" t="s">
        <v>43</v>
      </c>
      <c r="R250" s="51">
        <f t="shared" si="92"/>
        <v>549792</v>
      </c>
      <c r="S250" s="32">
        <f t="shared" si="90"/>
        <v>495308.10810810805</v>
      </c>
    </row>
    <row r="251" spans="1:19" s="45" customFormat="1">
      <c r="A251" s="44" t="s">
        <v>234</v>
      </c>
      <c r="B251" s="45" t="s">
        <v>26</v>
      </c>
      <c r="C251" s="46">
        <v>84</v>
      </c>
      <c r="D251" s="47" t="s">
        <v>20</v>
      </c>
      <c r="E251" s="48"/>
      <c r="F251" s="49">
        <v>10</v>
      </c>
      <c r="G251" s="50" t="s">
        <v>43</v>
      </c>
      <c r="H251" s="49">
        <v>12</v>
      </c>
      <c r="I251" s="50" t="s">
        <v>20</v>
      </c>
      <c r="J251" s="51">
        <f>4920000/10/12</f>
        <v>41000</v>
      </c>
      <c r="K251" s="47" t="s">
        <v>20</v>
      </c>
      <c r="L251" s="52"/>
      <c r="M251" s="52">
        <v>0.17</v>
      </c>
      <c r="N251" s="46">
        <f>12+12+12+12</f>
        <v>48</v>
      </c>
      <c r="O251" s="50" t="s">
        <v>20</v>
      </c>
      <c r="P251" s="46">
        <f t="shared" si="91"/>
        <v>36</v>
      </c>
      <c r="Q251" s="50" t="s">
        <v>20</v>
      </c>
      <c r="R251" s="51">
        <f t="shared" si="92"/>
        <v>1225080</v>
      </c>
      <c r="S251" s="51">
        <f t="shared" si="90"/>
        <v>1103675.6756756755</v>
      </c>
    </row>
    <row r="252" spans="1:19">
      <c r="A252" s="15" t="s">
        <v>739</v>
      </c>
      <c r="S252" s="23"/>
    </row>
    <row r="253" spans="1:19" s="45" customFormat="1">
      <c r="A253" s="44" t="s">
        <v>740</v>
      </c>
      <c r="B253" s="45" t="s">
        <v>182</v>
      </c>
      <c r="C253" s="46">
        <v>9600</v>
      </c>
      <c r="D253" s="47" t="s">
        <v>20</v>
      </c>
      <c r="E253" s="48"/>
      <c r="F253" s="49">
        <v>20</v>
      </c>
      <c r="G253" s="50" t="s">
        <v>34</v>
      </c>
      <c r="H253" s="49">
        <v>48</v>
      </c>
      <c r="I253" s="50" t="s">
        <v>20</v>
      </c>
      <c r="J253" s="51">
        <v>1400</v>
      </c>
      <c r="K253" s="47" t="s">
        <v>20</v>
      </c>
      <c r="L253" s="52">
        <v>0.05</v>
      </c>
      <c r="M253" s="52"/>
      <c r="N253" s="46"/>
      <c r="O253" s="50" t="s">
        <v>20</v>
      </c>
      <c r="P253" s="46">
        <f t="shared" ref="P253" si="96">(C253+(E253*F253*H253))-N253</f>
        <v>9600</v>
      </c>
      <c r="Q253" s="50" t="s">
        <v>20</v>
      </c>
      <c r="R253" s="51">
        <f t="shared" ref="R253" si="97">P253*(J253-(J253*L253)-((J253-(J253*L253))*M253))</f>
        <v>12768000</v>
      </c>
      <c r="S253" s="32">
        <f t="shared" ref="S253" si="98">R253/1.11</f>
        <v>11502702.702702701</v>
      </c>
    </row>
    <row r="254" spans="1:19" ht="15.75">
      <c r="A254" s="106"/>
      <c r="S254" s="23"/>
    </row>
    <row r="255" spans="1:19" ht="15.75">
      <c r="A255" s="14" t="s">
        <v>235</v>
      </c>
      <c r="S255" s="23"/>
    </row>
    <row r="256" spans="1:19" s="17" customFormat="1">
      <c r="A256" s="16" t="s">
        <v>236</v>
      </c>
      <c r="B256" s="17" t="s">
        <v>19</v>
      </c>
      <c r="C256" s="18"/>
      <c r="D256" s="19" t="s">
        <v>20</v>
      </c>
      <c r="E256" s="20"/>
      <c r="F256" s="21">
        <v>12</v>
      </c>
      <c r="G256" s="22" t="s">
        <v>34</v>
      </c>
      <c r="H256" s="21">
        <v>12</v>
      </c>
      <c r="I256" s="22" t="s">
        <v>20</v>
      </c>
      <c r="J256" s="23">
        <f>52500/12</f>
        <v>4375</v>
      </c>
      <c r="K256" s="19" t="s">
        <v>20</v>
      </c>
      <c r="L256" s="24">
        <v>0.125</v>
      </c>
      <c r="M256" s="24">
        <v>0.05</v>
      </c>
      <c r="N256" s="18"/>
      <c r="O256" s="22" t="s">
        <v>20</v>
      </c>
      <c r="P256" s="18">
        <f>(C256+(E256*F256*H256))-N256</f>
        <v>0</v>
      </c>
      <c r="Q256" s="22" t="s">
        <v>20</v>
      </c>
      <c r="R256" s="23">
        <f>P256*(J256-(J256*L256)-((J256-(J256*L256))*M256))</f>
        <v>0</v>
      </c>
      <c r="S256" s="23">
        <f t="shared" ref="S256" si="99">R256/1.11</f>
        <v>0</v>
      </c>
    </row>
    <row r="257" spans="1:19" s="26" customFormat="1">
      <c r="A257" s="25" t="s">
        <v>237</v>
      </c>
      <c r="B257" s="26" t="s">
        <v>19</v>
      </c>
      <c r="C257" s="27">
        <v>144</v>
      </c>
      <c r="D257" s="28" t="s">
        <v>20</v>
      </c>
      <c r="E257" s="29"/>
      <c r="F257" s="30">
        <v>12</v>
      </c>
      <c r="G257" s="31" t="s">
        <v>34</v>
      </c>
      <c r="H257" s="30">
        <v>12</v>
      </c>
      <c r="I257" s="31" t="s">
        <v>20</v>
      </c>
      <c r="J257" s="32">
        <v>20500</v>
      </c>
      <c r="K257" s="28" t="s">
        <v>20</v>
      </c>
      <c r="L257" s="33">
        <v>0.125</v>
      </c>
      <c r="M257" s="33">
        <v>0.05</v>
      </c>
      <c r="N257" s="27"/>
      <c r="O257" s="31" t="s">
        <v>20</v>
      </c>
      <c r="P257" s="27">
        <f>(C257+(E257*F257*H257))-N257</f>
        <v>144</v>
      </c>
      <c r="Q257" s="31" t="s">
        <v>20</v>
      </c>
      <c r="R257" s="32">
        <f>P257*(J257-(J257*L257)-((J257-(J257*L257))*M257))</f>
        <v>2453850</v>
      </c>
      <c r="S257" s="32">
        <f t="shared" si="90"/>
        <v>2210675.6756756753</v>
      </c>
    </row>
    <row r="258" spans="1:19" s="26" customFormat="1">
      <c r="A258" s="25" t="s">
        <v>238</v>
      </c>
      <c r="B258" s="26" t="s">
        <v>19</v>
      </c>
      <c r="C258" s="27">
        <v>144</v>
      </c>
      <c r="D258" s="28" t="s">
        <v>20</v>
      </c>
      <c r="E258" s="29"/>
      <c r="F258" s="30">
        <v>12</v>
      </c>
      <c r="G258" s="31" t="s">
        <v>34</v>
      </c>
      <c r="H258" s="30">
        <v>12</v>
      </c>
      <c r="I258" s="31" t="s">
        <v>20</v>
      </c>
      <c r="J258" s="32">
        <v>22000</v>
      </c>
      <c r="K258" s="28" t="s">
        <v>20</v>
      </c>
      <c r="L258" s="33">
        <v>0.125</v>
      </c>
      <c r="M258" s="33">
        <v>0.05</v>
      </c>
      <c r="N258" s="27"/>
      <c r="O258" s="31" t="s">
        <v>20</v>
      </c>
      <c r="P258" s="27">
        <f>(C258+(E258*F258*H258))-N258</f>
        <v>144</v>
      </c>
      <c r="Q258" s="31" t="s">
        <v>20</v>
      </c>
      <c r="R258" s="32">
        <f>P258*(J258-(J258*L258)-((J258-(J258*L258))*M258))</f>
        <v>2633400</v>
      </c>
      <c r="S258" s="32">
        <f t="shared" si="90"/>
        <v>2372432.4324324322</v>
      </c>
    </row>
    <row r="259" spans="1:19" s="45" customFormat="1">
      <c r="A259" s="44" t="s">
        <v>239</v>
      </c>
      <c r="B259" s="45" t="s">
        <v>19</v>
      </c>
      <c r="C259" s="46">
        <v>576</v>
      </c>
      <c r="D259" s="47" t="s">
        <v>20</v>
      </c>
      <c r="E259" s="48"/>
      <c r="F259" s="49">
        <v>12</v>
      </c>
      <c r="G259" s="50" t="s">
        <v>34</v>
      </c>
      <c r="H259" s="49">
        <v>12</v>
      </c>
      <c r="I259" s="50" t="s">
        <v>20</v>
      </c>
      <c r="J259" s="51">
        <v>4100</v>
      </c>
      <c r="K259" s="47" t="s">
        <v>20</v>
      </c>
      <c r="L259" s="52">
        <v>0.125</v>
      </c>
      <c r="M259" s="52">
        <v>0.05</v>
      </c>
      <c r="N259" s="46">
        <v>288</v>
      </c>
      <c r="O259" s="50" t="s">
        <v>20</v>
      </c>
      <c r="P259" s="46">
        <f>(C259+(E259*F259*H259))-N259</f>
        <v>288</v>
      </c>
      <c r="Q259" s="50" t="s">
        <v>20</v>
      </c>
      <c r="R259" s="51">
        <f>P259*(J259-(J259*L259)-((J259-(J259*L259))*M259))</f>
        <v>981540</v>
      </c>
      <c r="S259" s="51">
        <f t="shared" si="90"/>
        <v>884270.27027027018</v>
      </c>
    </row>
    <row r="260" spans="1:19" s="45" customFormat="1">
      <c r="A260" s="44" t="s">
        <v>240</v>
      </c>
      <c r="B260" s="45" t="s">
        <v>19</v>
      </c>
      <c r="C260" s="46">
        <v>576</v>
      </c>
      <c r="D260" s="47" t="s">
        <v>20</v>
      </c>
      <c r="E260" s="48">
        <v>5</v>
      </c>
      <c r="F260" s="49">
        <v>12</v>
      </c>
      <c r="G260" s="50" t="s">
        <v>34</v>
      </c>
      <c r="H260" s="49">
        <v>12</v>
      </c>
      <c r="I260" s="50" t="s">
        <v>20</v>
      </c>
      <c r="J260" s="51">
        <v>6300</v>
      </c>
      <c r="K260" s="47" t="s">
        <v>20</v>
      </c>
      <c r="L260" s="52">
        <v>0.125</v>
      </c>
      <c r="M260" s="52">
        <v>0.05</v>
      </c>
      <c r="N260" s="46">
        <f>720+288</f>
        <v>1008</v>
      </c>
      <c r="O260" s="50" t="s">
        <v>20</v>
      </c>
      <c r="P260" s="46">
        <f t="shared" ref="P260:P267" si="100">(C260+(E260*F260*H260))-N260</f>
        <v>288</v>
      </c>
      <c r="Q260" s="50" t="s">
        <v>20</v>
      </c>
      <c r="R260" s="51">
        <f t="shared" ref="R260:R267" si="101">P260*(J260-(J260*L260)-((J260-(J260*L260))*M260))</f>
        <v>1508220</v>
      </c>
      <c r="S260" s="51">
        <f t="shared" si="90"/>
        <v>1358756.7567567567</v>
      </c>
    </row>
    <row r="261" spans="1:19" s="45" customFormat="1">
      <c r="A261" s="44" t="s">
        <v>241</v>
      </c>
      <c r="B261" s="45" t="s">
        <v>19</v>
      </c>
      <c r="C261" s="46">
        <v>144</v>
      </c>
      <c r="D261" s="47" t="s">
        <v>20</v>
      </c>
      <c r="E261" s="48">
        <v>5</v>
      </c>
      <c r="F261" s="49">
        <v>12</v>
      </c>
      <c r="G261" s="50" t="s">
        <v>34</v>
      </c>
      <c r="H261" s="49">
        <v>12</v>
      </c>
      <c r="I261" s="50" t="s">
        <v>20</v>
      </c>
      <c r="J261" s="51">
        <v>9500</v>
      </c>
      <c r="K261" s="47" t="s">
        <v>20</v>
      </c>
      <c r="L261" s="52">
        <v>0.125</v>
      </c>
      <c r="M261" s="52">
        <v>0.05</v>
      </c>
      <c r="N261" s="46">
        <v>720</v>
      </c>
      <c r="O261" s="50" t="s">
        <v>20</v>
      </c>
      <c r="P261" s="46">
        <f t="shared" si="100"/>
        <v>144</v>
      </c>
      <c r="Q261" s="50" t="s">
        <v>20</v>
      </c>
      <c r="R261" s="51">
        <f t="shared" si="101"/>
        <v>1137150</v>
      </c>
      <c r="S261" s="32">
        <f t="shared" si="90"/>
        <v>1024459.4594594594</v>
      </c>
    </row>
    <row r="262" spans="1:19" s="63" customFormat="1">
      <c r="A262" s="72" t="s">
        <v>242</v>
      </c>
      <c r="B262" s="63" t="s">
        <v>19</v>
      </c>
      <c r="C262" s="64"/>
      <c r="D262" s="65" t="s">
        <v>20</v>
      </c>
      <c r="E262" s="66"/>
      <c r="F262" s="67">
        <v>6</v>
      </c>
      <c r="G262" s="68" t="s">
        <v>34</v>
      </c>
      <c r="H262" s="67">
        <v>12</v>
      </c>
      <c r="I262" s="68" t="s">
        <v>20</v>
      </c>
      <c r="J262" s="69">
        <v>19200</v>
      </c>
      <c r="K262" s="65" t="s">
        <v>20</v>
      </c>
      <c r="L262" s="70">
        <v>0.125</v>
      </c>
      <c r="M262" s="70">
        <v>0.05</v>
      </c>
      <c r="N262" s="64"/>
      <c r="O262" s="68" t="s">
        <v>20</v>
      </c>
      <c r="P262" s="64">
        <f t="shared" si="100"/>
        <v>0</v>
      </c>
      <c r="Q262" s="68" t="s">
        <v>20</v>
      </c>
      <c r="R262" s="69">
        <f t="shared" si="101"/>
        <v>0</v>
      </c>
      <c r="S262" s="23">
        <f t="shared" si="90"/>
        <v>0</v>
      </c>
    </row>
    <row r="263" spans="1:19" s="17" customFormat="1">
      <c r="A263" s="16" t="s">
        <v>243</v>
      </c>
      <c r="B263" s="17" t="s">
        <v>19</v>
      </c>
      <c r="C263" s="18"/>
      <c r="D263" s="19" t="s">
        <v>20</v>
      </c>
      <c r="E263" s="20"/>
      <c r="F263" s="21">
        <v>12</v>
      </c>
      <c r="G263" s="22" t="s">
        <v>34</v>
      </c>
      <c r="H263" s="21">
        <v>12</v>
      </c>
      <c r="I263" s="22" t="s">
        <v>20</v>
      </c>
      <c r="J263" s="23">
        <v>5900</v>
      </c>
      <c r="K263" s="19" t="s">
        <v>20</v>
      </c>
      <c r="L263" s="24">
        <v>0.125</v>
      </c>
      <c r="M263" s="24">
        <v>0.05</v>
      </c>
      <c r="N263" s="18"/>
      <c r="O263" s="22" t="s">
        <v>20</v>
      </c>
      <c r="P263" s="18">
        <f t="shared" si="100"/>
        <v>0</v>
      </c>
      <c r="Q263" s="22" t="s">
        <v>20</v>
      </c>
      <c r="R263" s="23">
        <f t="shared" si="101"/>
        <v>0</v>
      </c>
      <c r="S263" s="23">
        <f t="shared" si="90"/>
        <v>0</v>
      </c>
    </row>
    <row r="264" spans="1:19" s="17" customFormat="1">
      <c r="A264" s="16" t="s">
        <v>244</v>
      </c>
      <c r="B264" s="17" t="s">
        <v>19</v>
      </c>
      <c r="C264" s="18"/>
      <c r="D264" s="19" t="s">
        <v>20</v>
      </c>
      <c r="E264" s="20"/>
      <c r="F264" s="21">
        <v>12</v>
      </c>
      <c r="G264" s="22" t="s">
        <v>34</v>
      </c>
      <c r="H264" s="21">
        <v>12</v>
      </c>
      <c r="I264" s="22" t="s">
        <v>20</v>
      </c>
      <c r="J264" s="23">
        <v>7150</v>
      </c>
      <c r="K264" s="19" t="s">
        <v>20</v>
      </c>
      <c r="L264" s="24">
        <v>0.125</v>
      </c>
      <c r="M264" s="24">
        <v>0.05</v>
      </c>
      <c r="N264" s="18"/>
      <c r="O264" s="22" t="s">
        <v>20</v>
      </c>
      <c r="P264" s="18">
        <f t="shared" si="100"/>
        <v>0</v>
      </c>
      <c r="Q264" s="22" t="s">
        <v>20</v>
      </c>
      <c r="R264" s="23">
        <f t="shared" si="101"/>
        <v>0</v>
      </c>
      <c r="S264" s="23">
        <f t="shared" si="90"/>
        <v>0</v>
      </c>
    </row>
    <row r="265" spans="1:19" s="63" customFormat="1" ht="15">
      <c r="A265" s="72" t="s">
        <v>245</v>
      </c>
      <c r="B265" s="63" t="s">
        <v>19</v>
      </c>
      <c r="C265" s="207"/>
      <c r="D265" s="65" t="s">
        <v>20</v>
      </c>
      <c r="E265" s="66"/>
      <c r="F265" s="67">
        <v>12</v>
      </c>
      <c r="G265" s="68" t="s">
        <v>34</v>
      </c>
      <c r="H265" s="67">
        <v>12</v>
      </c>
      <c r="I265" s="68" t="s">
        <v>20</v>
      </c>
      <c r="J265" s="69">
        <v>11200</v>
      </c>
      <c r="K265" s="65" t="s">
        <v>20</v>
      </c>
      <c r="L265" s="70">
        <v>0.125</v>
      </c>
      <c r="M265" s="70">
        <v>0.05</v>
      </c>
      <c r="N265" s="64"/>
      <c r="O265" s="68" t="s">
        <v>20</v>
      </c>
      <c r="P265" s="64">
        <f t="shared" si="100"/>
        <v>0</v>
      </c>
      <c r="Q265" s="68" t="s">
        <v>20</v>
      </c>
      <c r="R265" s="69">
        <f t="shared" si="101"/>
        <v>0</v>
      </c>
      <c r="S265" s="69">
        <f t="shared" si="90"/>
        <v>0</v>
      </c>
    </row>
    <row r="266" spans="1:19" s="17" customFormat="1">
      <c r="A266" s="16" t="s">
        <v>246</v>
      </c>
      <c r="B266" s="17" t="s">
        <v>19</v>
      </c>
      <c r="C266" s="18"/>
      <c r="D266" s="19" t="s">
        <v>20</v>
      </c>
      <c r="E266" s="20"/>
      <c r="F266" s="21">
        <v>12</v>
      </c>
      <c r="G266" s="22" t="s">
        <v>34</v>
      </c>
      <c r="H266" s="21">
        <v>12</v>
      </c>
      <c r="I266" s="22" t="s">
        <v>20</v>
      </c>
      <c r="J266" s="23">
        <v>7600</v>
      </c>
      <c r="K266" s="19" t="s">
        <v>20</v>
      </c>
      <c r="L266" s="24">
        <v>0.125</v>
      </c>
      <c r="M266" s="24">
        <v>0.05</v>
      </c>
      <c r="N266" s="18"/>
      <c r="O266" s="22" t="s">
        <v>20</v>
      </c>
      <c r="P266" s="18">
        <f t="shared" si="100"/>
        <v>0</v>
      </c>
      <c r="Q266" s="22" t="s">
        <v>20</v>
      </c>
      <c r="R266" s="23">
        <f t="shared" si="101"/>
        <v>0</v>
      </c>
      <c r="S266" s="23">
        <f t="shared" si="90"/>
        <v>0</v>
      </c>
    </row>
    <row r="267" spans="1:19" s="17" customFormat="1">
      <c r="A267" s="16" t="s">
        <v>247</v>
      </c>
      <c r="B267" s="17" t="s">
        <v>19</v>
      </c>
      <c r="C267" s="18"/>
      <c r="D267" s="19" t="s">
        <v>20</v>
      </c>
      <c r="E267" s="20"/>
      <c r="F267" s="21">
        <v>8</v>
      </c>
      <c r="G267" s="22" t="s">
        <v>34</v>
      </c>
      <c r="H267" s="21">
        <v>6</v>
      </c>
      <c r="I267" s="22" t="s">
        <v>20</v>
      </c>
      <c r="J267" s="23">
        <v>65000</v>
      </c>
      <c r="K267" s="19" t="s">
        <v>20</v>
      </c>
      <c r="L267" s="24">
        <v>0.125</v>
      </c>
      <c r="M267" s="24">
        <v>0.05</v>
      </c>
      <c r="N267" s="18"/>
      <c r="O267" s="22" t="s">
        <v>20</v>
      </c>
      <c r="P267" s="18">
        <f t="shared" si="100"/>
        <v>0</v>
      </c>
      <c r="Q267" s="22" t="s">
        <v>20</v>
      </c>
      <c r="R267" s="23">
        <f t="shared" si="101"/>
        <v>0</v>
      </c>
      <c r="S267" s="23">
        <f t="shared" si="90"/>
        <v>0</v>
      </c>
    </row>
    <row r="268" spans="1:19" s="45" customFormat="1">
      <c r="A268" s="44" t="s">
        <v>248</v>
      </c>
      <c r="B268" s="45" t="s">
        <v>26</v>
      </c>
      <c r="C268" s="46">
        <v>47</v>
      </c>
      <c r="D268" s="47" t="s">
        <v>43</v>
      </c>
      <c r="E268" s="48"/>
      <c r="F268" s="49">
        <v>1</v>
      </c>
      <c r="G268" s="50" t="s">
        <v>21</v>
      </c>
      <c r="H268" s="49">
        <v>25</v>
      </c>
      <c r="I268" s="50" t="s">
        <v>43</v>
      </c>
      <c r="J268" s="51">
        <f>1245000/25</f>
        <v>49800</v>
      </c>
      <c r="K268" s="47" t="s">
        <v>43</v>
      </c>
      <c r="L268" s="52"/>
      <c r="M268" s="52">
        <v>0.17</v>
      </c>
      <c r="N268" s="46">
        <v>25</v>
      </c>
      <c r="O268" s="50" t="s">
        <v>43</v>
      </c>
      <c r="P268" s="46">
        <f>(C268+(E268*F268*H268))-N268</f>
        <v>22</v>
      </c>
      <c r="Q268" s="50" t="s">
        <v>43</v>
      </c>
      <c r="R268" s="51">
        <f>P268*(J268-(J268*L268)-((J268-(J268*L268))*M268))</f>
        <v>909348</v>
      </c>
      <c r="S268" s="51">
        <f t="shared" si="90"/>
        <v>819232.43243243231</v>
      </c>
    </row>
    <row r="269" spans="1:19" s="45" customFormat="1">
      <c r="A269" s="44" t="s">
        <v>249</v>
      </c>
      <c r="B269" s="45" t="s">
        <v>26</v>
      </c>
      <c r="C269" s="46">
        <v>204</v>
      </c>
      <c r="D269" s="47" t="s">
        <v>43</v>
      </c>
      <c r="E269" s="48"/>
      <c r="F269" s="49">
        <v>1</v>
      </c>
      <c r="G269" s="50" t="s">
        <v>21</v>
      </c>
      <c r="H269" s="49">
        <v>25</v>
      </c>
      <c r="I269" s="50" t="s">
        <v>43</v>
      </c>
      <c r="J269" s="51">
        <f>1890000/25</f>
        <v>75600</v>
      </c>
      <c r="K269" s="47" t="s">
        <v>43</v>
      </c>
      <c r="L269" s="52"/>
      <c r="M269" s="52">
        <v>0.17</v>
      </c>
      <c r="N269" s="46">
        <f>25+3+3+1+3+3+25</f>
        <v>63</v>
      </c>
      <c r="O269" s="50" t="s">
        <v>43</v>
      </c>
      <c r="P269" s="46">
        <f t="shared" ref="P269" si="102">(C269+(E269*F269*H269))-N269</f>
        <v>141</v>
      </c>
      <c r="Q269" s="50" t="s">
        <v>43</v>
      </c>
      <c r="R269" s="51">
        <f t="shared" ref="R269" si="103">P269*(J269-(J269*L269)-((J269-(J269*L269))*M269))</f>
        <v>8847468</v>
      </c>
      <c r="S269" s="51">
        <f t="shared" si="90"/>
        <v>7970691.8918918911</v>
      </c>
    </row>
    <row r="270" spans="1:19" s="45" customFormat="1">
      <c r="A270" s="44" t="s">
        <v>250</v>
      </c>
      <c r="B270" s="45" t="s">
        <v>26</v>
      </c>
      <c r="C270" s="46">
        <v>50</v>
      </c>
      <c r="D270" s="47" t="s">
        <v>43</v>
      </c>
      <c r="E270" s="48">
        <f>2+1+2</f>
        <v>5</v>
      </c>
      <c r="F270" s="49">
        <v>1</v>
      </c>
      <c r="G270" s="50" t="s">
        <v>21</v>
      </c>
      <c r="H270" s="49">
        <v>10</v>
      </c>
      <c r="I270" s="50" t="s">
        <v>43</v>
      </c>
      <c r="J270" s="51">
        <f>1122000/10</f>
        <v>112200</v>
      </c>
      <c r="K270" s="47" t="s">
        <v>43</v>
      </c>
      <c r="L270" s="52"/>
      <c r="M270" s="52">
        <v>0.17</v>
      </c>
      <c r="N270" s="46">
        <f>2+3+10+1+10+3+20</f>
        <v>49</v>
      </c>
      <c r="O270" s="50" t="s">
        <v>43</v>
      </c>
      <c r="P270" s="46">
        <f>(C270+(E270*F270*H270))-N270</f>
        <v>51</v>
      </c>
      <c r="Q270" s="50" t="s">
        <v>43</v>
      </c>
      <c r="R270" s="51">
        <f>P270*(J270-(J270*L270)-((J270-(J270*L270))*M270))</f>
        <v>4749426</v>
      </c>
      <c r="S270" s="51">
        <f t="shared" si="90"/>
        <v>4278762.1621621614</v>
      </c>
    </row>
    <row r="271" spans="1:19" s="45" customFormat="1">
      <c r="A271" s="44" t="s">
        <v>755</v>
      </c>
      <c r="B271" s="45" t="s">
        <v>26</v>
      </c>
      <c r="C271" s="46"/>
      <c r="D271" s="47" t="s">
        <v>43</v>
      </c>
      <c r="E271" s="48">
        <f>1+2</f>
        <v>3</v>
      </c>
      <c r="F271" s="49">
        <v>1</v>
      </c>
      <c r="G271" s="50" t="s">
        <v>21</v>
      </c>
      <c r="H271" s="49">
        <v>25</v>
      </c>
      <c r="I271" s="50" t="s">
        <v>43</v>
      </c>
      <c r="J271" s="51">
        <f>2010000/25</f>
        <v>80400</v>
      </c>
      <c r="K271" s="47" t="s">
        <v>43</v>
      </c>
      <c r="L271" s="52"/>
      <c r="M271" s="52">
        <v>0.17</v>
      </c>
      <c r="N271" s="46">
        <f>10+25+25</f>
        <v>60</v>
      </c>
      <c r="O271" s="50" t="s">
        <v>43</v>
      </c>
      <c r="P271" s="46">
        <f>(C271+(E271*F271*H271))-N271</f>
        <v>15</v>
      </c>
      <c r="Q271" s="50" t="s">
        <v>43</v>
      </c>
      <c r="R271" s="51">
        <f>P271*(J271-(J271*L271)-((J271-(J271*L271))*M271))</f>
        <v>1000980</v>
      </c>
      <c r="S271" s="51">
        <f t="shared" ref="S271" si="104">R271/1.11</f>
        <v>901783.78378378367</v>
      </c>
    </row>
    <row r="272" spans="1:19" s="63" customFormat="1">
      <c r="A272" s="72" t="s">
        <v>251</v>
      </c>
      <c r="B272" s="63" t="s">
        <v>26</v>
      </c>
      <c r="C272" s="64"/>
      <c r="D272" s="65" t="s">
        <v>43</v>
      </c>
      <c r="E272" s="66">
        <f>1+1</f>
        <v>2</v>
      </c>
      <c r="F272" s="67">
        <v>1</v>
      </c>
      <c r="G272" s="68" t="s">
        <v>21</v>
      </c>
      <c r="H272" s="67">
        <v>10</v>
      </c>
      <c r="I272" s="68" t="s">
        <v>43</v>
      </c>
      <c r="J272" s="69">
        <f>1260000/10</f>
        <v>126000</v>
      </c>
      <c r="K272" s="65" t="s">
        <v>43</v>
      </c>
      <c r="L272" s="70"/>
      <c r="M272" s="70">
        <v>0.17</v>
      </c>
      <c r="N272" s="64">
        <f>10+10</f>
        <v>20</v>
      </c>
      <c r="O272" s="68" t="s">
        <v>43</v>
      </c>
      <c r="P272" s="64">
        <f>(C272+(E272*F272*H272))-N272</f>
        <v>0</v>
      </c>
      <c r="Q272" s="68" t="s">
        <v>43</v>
      </c>
      <c r="R272" s="69">
        <f>P272*(J272-(J272*L272)-((J272-(J272*L272))*M272))</f>
        <v>0</v>
      </c>
      <c r="S272" s="69">
        <f t="shared" si="90"/>
        <v>0</v>
      </c>
    </row>
    <row r="273" spans="1:19">
      <c r="S273" s="23"/>
    </row>
    <row r="274" spans="1:19" ht="15.75">
      <c r="A274" s="14" t="s">
        <v>252</v>
      </c>
      <c r="S274" s="23"/>
    </row>
    <row r="275" spans="1:19" s="26" customFormat="1">
      <c r="A275" s="107" t="s">
        <v>253</v>
      </c>
      <c r="B275" s="26" t="s">
        <v>26</v>
      </c>
      <c r="C275" s="27">
        <v>178</v>
      </c>
      <c r="D275" s="28" t="s">
        <v>20</v>
      </c>
      <c r="E275" s="29"/>
      <c r="F275" s="30">
        <v>20</v>
      </c>
      <c r="G275" s="31" t="s">
        <v>34</v>
      </c>
      <c r="H275" s="30">
        <v>10</v>
      </c>
      <c r="I275" s="31" t="s">
        <v>20</v>
      </c>
      <c r="J275" s="32">
        <f>3800000/20/10</f>
        <v>19000</v>
      </c>
      <c r="K275" s="28" t="s">
        <v>20</v>
      </c>
      <c r="L275" s="33"/>
      <c r="M275" s="33">
        <v>0.17</v>
      </c>
      <c r="N275" s="27"/>
      <c r="O275" s="31" t="s">
        <v>20</v>
      </c>
      <c r="P275" s="27">
        <f>(C275+(E275*F275*H275))-N275</f>
        <v>178</v>
      </c>
      <c r="Q275" s="31" t="s">
        <v>20</v>
      </c>
      <c r="R275" s="32">
        <f>P275*(J275-(J275*L275)-((J275-(J275*L275))*M275))</f>
        <v>2807060</v>
      </c>
      <c r="S275" s="32">
        <f t="shared" si="90"/>
        <v>2528882.8828828828</v>
      </c>
    </row>
    <row r="276" spans="1:19" s="26" customFormat="1">
      <c r="A276" s="107" t="s">
        <v>254</v>
      </c>
      <c r="B276" s="26" t="s">
        <v>26</v>
      </c>
      <c r="C276" s="27">
        <v>108</v>
      </c>
      <c r="D276" s="28" t="s">
        <v>20</v>
      </c>
      <c r="E276" s="29"/>
      <c r="F276" s="30">
        <v>20</v>
      </c>
      <c r="G276" s="31" t="s">
        <v>34</v>
      </c>
      <c r="H276" s="30">
        <v>12</v>
      </c>
      <c r="I276" s="31" t="s">
        <v>20</v>
      </c>
      <c r="J276" s="32">
        <f>3000000/20/12</f>
        <v>12500</v>
      </c>
      <c r="K276" s="28" t="s">
        <v>20</v>
      </c>
      <c r="L276" s="33"/>
      <c r="M276" s="33">
        <v>0.17</v>
      </c>
      <c r="N276" s="27">
        <f>(5*12)</f>
        <v>60</v>
      </c>
      <c r="O276" s="31" t="s">
        <v>20</v>
      </c>
      <c r="P276" s="27">
        <f>(C276+(E276*F276*H276))-N276</f>
        <v>48</v>
      </c>
      <c r="Q276" s="31" t="s">
        <v>20</v>
      </c>
      <c r="R276" s="32">
        <f>P276*(J276-(J276*L276)-((J276-(J276*L276))*M276))</f>
        <v>498000</v>
      </c>
      <c r="S276" s="32">
        <f t="shared" si="90"/>
        <v>448648.64864864858</v>
      </c>
    </row>
    <row r="277" spans="1:19">
      <c r="S277" s="23"/>
    </row>
    <row r="278" spans="1:19" ht="15.75">
      <c r="A278" s="14" t="s">
        <v>255</v>
      </c>
      <c r="S278" s="23"/>
    </row>
    <row r="279" spans="1:19" s="26" customFormat="1">
      <c r="A279" s="25" t="s">
        <v>256</v>
      </c>
      <c r="B279" s="26" t="s">
        <v>19</v>
      </c>
      <c r="C279" s="27"/>
      <c r="D279" s="28" t="s">
        <v>43</v>
      </c>
      <c r="E279" s="29">
        <v>1</v>
      </c>
      <c r="F279" s="30">
        <v>1</v>
      </c>
      <c r="G279" s="31" t="s">
        <v>21</v>
      </c>
      <c r="H279" s="30">
        <v>24</v>
      </c>
      <c r="I279" s="31" t="s">
        <v>43</v>
      </c>
      <c r="J279" s="32">
        <v>88200</v>
      </c>
      <c r="K279" s="28" t="s">
        <v>43</v>
      </c>
      <c r="L279" s="33">
        <v>0.125</v>
      </c>
      <c r="M279" s="33">
        <v>0.05</v>
      </c>
      <c r="N279" s="27">
        <f>6+5+1</f>
        <v>12</v>
      </c>
      <c r="O279" s="31" t="s">
        <v>43</v>
      </c>
      <c r="P279" s="27">
        <f t="shared" ref="P279:P290" si="105">(C279+(E279*F279*H279))-N279</f>
        <v>12</v>
      </c>
      <c r="Q279" s="31" t="s">
        <v>43</v>
      </c>
      <c r="R279" s="32">
        <f t="shared" ref="R279:R290" si="106">P279*(J279-(J279*L279)-((J279-(J279*L279))*M279))</f>
        <v>879795</v>
      </c>
      <c r="S279" s="32">
        <f t="shared" si="90"/>
        <v>792608.10810810805</v>
      </c>
    </row>
    <row r="280" spans="1:19" s="26" customFormat="1">
      <c r="A280" s="25" t="s">
        <v>728</v>
      </c>
      <c r="B280" s="26" t="s">
        <v>19</v>
      </c>
      <c r="C280" s="27">
        <v>24</v>
      </c>
      <c r="D280" s="28" t="s">
        <v>43</v>
      </c>
      <c r="E280" s="29"/>
      <c r="F280" s="30">
        <v>1</v>
      </c>
      <c r="G280" s="31" t="s">
        <v>21</v>
      </c>
      <c r="H280" s="30">
        <v>24</v>
      </c>
      <c r="I280" s="31" t="s">
        <v>43</v>
      </c>
      <c r="J280" s="32">
        <v>114000</v>
      </c>
      <c r="K280" s="28" t="s">
        <v>43</v>
      </c>
      <c r="L280" s="33">
        <v>0.125</v>
      </c>
      <c r="M280" s="33">
        <v>0.05</v>
      </c>
      <c r="N280" s="27">
        <f>2+2</f>
        <v>4</v>
      </c>
      <c r="O280" s="31" t="s">
        <v>43</v>
      </c>
      <c r="P280" s="27">
        <f t="shared" si="105"/>
        <v>20</v>
      </c>
      <c r="Q280" s="31" t="s">
        <v>43</v>
      </c>
      <c r="R280" s="32">
        <f t="shared" si="106"/>
        <v>1895250</v>
      </c>
      <c r="S280" s="32">
        <f t="shared" si="90"/>
        <v>1707432.4324324322</v>
      </c>
    </row>
    <row r="281" spans="1:19" s="26" customFormat="1">
      <c r="A281" s="25" t="s">
        <v>257</v>
      </c>
      <c r="B281" s="26" t="s">
        <v>19</v>
      </c>
      <c r="C281" s="27">
        <v>4</v>
      </c>
      <c r="D281" s="28" t="s">
        <v>43</v>
      </c>
      <c r="E281" s="29">
        <f>1+1</f>
        <v>2</v>
      </c>
      <c r="F281" s="30">
        <v>1</v>
      </c>
      <c r="G281" s="31" t="s">
        <v>21</v>
      </c>
      <c r="H281" s="30">
        <v>24</v>
      </c>
      <c r="I281" s="31" t="s">
        <v>43</v>
      </c>
      <c r="J281" s="32">
        <v>88200</v>
      </c>
      <c r="K281" s="28" t="s">
        <v>43</v>
      </c>
      <c r="L281" s="33">
        <v>0.125</v>
      </c>
      <c r="M281" s="33">
        <v>0.05</v>
      </c>
      <c r="N281" s="27">
        <f>5+19</f>
        <v>24</v>
      </c>
      <c r="O281" s="31" t="s">
        <v>43</v>
      </c>
      <c r="P281" s="27">
        <f t="shared" si="105"/>
        <v>28</v>
      </c>
      <c r="Q281" s="31" t="s">
        <v>43</v>
      </c>
      <c r="R281" s="32">
        <f t="shared" si="106"/>
        <v>2052855</v>
      </c>
      <c r="S281" s="32">
        <f t="shared" si="90"/>
        <v>1849418.9189189188</v>
      </c>
    </row>
    <row r="282" spans="1:19" s="26" customFormat="1">
      <c r="A282" s="25" t="s">
        <v>258</v>
      </c>
      <c r="B282" s="26" t="s">
        <v>19</v>
      </c>
      <c r="C282" s="27"/>
      <c r="D282" s="28" t="s">
        <v>43</v>
      </c>
      <c r="E282" s="29">
        <f>1+1+2</f>
        <v>4</v>
      </c>
      <c r="F282" s="30">
        <v>1</v>
      </c>
      <c r="G282" s="31" t="s">
        <v>21</v>
      </c>
      <c r="H282" s="30">
        <v>24</v>
      </c>
      <c r="I282" s="31" t="s">
        <v>43</v>
      </c>
      <c r="J282" s="32">
        <v>89400</v>
      </c>
      <c r="K282" s="28" t="s">
        <v>43</v>
      </c>
      <c r="L282" s="33">
        <v>0.125</v>
      </c>
      <c r="M282" s="33">
        <v>0.05</v>
      </c>
      <c r="N282" s="27">
        <f>6+5+5+48+19</f>
        <v>83</v>
      </c>
      <c r="O282" s="31" t="s">
        <v>43</v>
      </c>
      <c r="P282" s="27">
        <f t="shared" si="105"/>
        <v>13</v>
      </c>
      <c r="Q282" s="31" t="s">
        <v>43</v>
      </c>
      <c r="R282" s="32">
        <f t="shared" si="106"/>
        <v>966078.75</v>
      </c>
      <c r="S282" s="32">
        <f t="shared" si="90"/>
        <v>870341.2162162161</v>
      </c>
    </row>
    <row r="283" spans="1:19" s="17" customFormat="1">
      <c r="A283" s="16" t="s">
        <v>259</v>
      </c>
      <c r="B283" s="17" t="s">
        <v>19</v>
      </c>
      <c r="C283" s="18">
        <v>300</v>
      </c>
      <c r="D283" s="19" t="s">
        <v>162</v>
      </c>
      <c r="E283" s="20">
        <v>1</v>
      </c>
      <c r="F283" s="21">
        <v>12</v>
      </c>
      <c r="G283" s="22" t="s">
        <v>34</v>
      </c>
      <c r="H283" s="21">
        <v>24</v>
      </c>
      <c r="I283" s="22" t="s">
        <v>162</v>
      </c>
      <c r="J283" s="23">
        <v>12000</v>
      </c>
      <c r="K283" s="19" t="s">
        <v>162</v>
      </c>
      <c r="L283" s="24">
        <v>0.125</v>
      </c>
      <c r="M283" s="24">
        <v>0.05</v>
      </c>
      <c r="N283" s="18">
        <f>(1*12)+(48*12)</f>
        <v>588</v>
      </c>
      <c r="O283" s="22" t="s">
        <v>162</v>
      </c>
      <c r="P283" s="18">
        <f t="shared" si="105"/>
        <v>0</v>
      </c>
      <c r="Q283" s="22" t="s">
        <v>162</v>
      </c>
      <c r="R283" s="23">
        <f t="shared" si="106"/>
        <v>0</v>
      </c>
      <c r="S283" s="23">
        <f t="shared" si="90"/>
        <v>0</v>
      </c>
    </row>
    <row r="284" spans="1:19" s="17" customFormat="1">
      <c r="A284" s="16" t="s">
        <v>260</v>
      </c>
      <c r="B284" s="17" t="s">
        <v>19</v>
      </c>
      <c r="C284" s="18"/>
      <c r="D284" s="19" t="s">
        <v>162</v>
      </c>
      <c r="E284" s="20"/>
      <c r="F284" s="21">
        <v>10</v>
      </c>
      <c r="G284" s="22" t="s">
        <v>34</v>
      </c>
      <c r="H284" s="21">
        <v>10</v>
      </c>
      <c r="I284" s="22" t="s">
        <v>162</v>
      </c>
      <c r="J284" s="23">
        <v>28000</v>
      </c>
      <c r="K284" s="19" t="s">
        <v>162</v>
      </c>
      <c r="L284" s="24">
        <v>0.125</v>
      </c>
      <c r="M284" s="24">
        <v>0.05</v>
      </c>
      <c r="N284" s="18"/>
      <c r="O284" s="22" t="s">
        <v>162</v>
      </c>
      <c r="P284" s="18">
        <f t="shared" si="105"/>
        <v>0</v>
      </c>
      <c r="Q284" s="22" t="s">
        <v>162</v>
      </c>
      <c r="R284" s="23">
        <f t="shared" si="106"/>
        <v>0</v>
      </c>
      <c r="S284" s="23">
        <f t="shared" si="90"/>
        <v>0</v>
      </c>
    </row>
    <row r="285" spans="1:19" s="17" customFormat="1">
      <c r="A285" s="16" t="s">
        <v>261</v>
      </c>
      <c r="B285" s="17" t="s">
        <v>19</v>
      </c>
      <c r="C285" s="18"/>
      <c r="D285" s="19" t="s">
        <v>162</v>
      </c>
      <c r="E285" s="20"/>
      <c r="F285" s="21">
        <v>10</v>
      </c>
      <c r="G285" s="22" t="s">
        <v>34</v>
      </c>
      <c r="H285" s="21">
        <v>10</v>
      </c>
      <c r="I285" s="22" t="s">
        <v>162</v>
      </c>
      <c r="J285" s="23">
        <v>33500</v>
      </c>
      <c r="K285" s="19" t="s">
        <v>162</v>
      </c>
      <c r="L285" s="24">
        <v>0.125</v>
      </c>
      <c r="M285" s="24">
        <v>0.05</v>
      </c>
      <c r="N285" s="18"/>
      <c r="O285" s="22" t="s">
        <v>162</v>
      </c>
      <c r="P285" s="18">
        <f t="shared" si="105"/>
        <v>0</v>
      </c>
      <c r="Q285" s="22" t="s">
        <v>162</v>
      </c>
      <c r="R285" s="23">
        <f t="shared" si="106"/>
        <v>0</v>
      </c>
      <c r="S285" s="23">
        <f t="shared" si="90"/>
        <v>0</v>
      </c>
    </row>
    <row r="286" spans="1:19" s="17" customFormat="1">
      <c r="A286" s="16" t="s">
        <v>262</v>
      </c>
      <c r="B286" s="17" t="s">
        <v>19</v>
      </c>
      <c r="C286" s="18"/>
      <c r="D286" s="19" t="s">
        <v>162</v>
      </c>
      <c r="E286" s="20"/>
      <c r="F286" s="21">
        <v>8</v>
      </c>
      <c r="G286" s="22" t="s">
        <v>34</v>
      </c>
      <c r="H286" s="21">
        <v>10</v>
      </c>
      <c r="I286" s="22" t="s">
        <v>162</v>
      </c>
      <c r="J286" s="23">
        <v>48500</v>
      </c>
      <c r="K286" s="19" t="s">
        <v>162</v>
      </c>
      <c r="L286" s="24">
        <v>0.125</v>
      </c>
      <c r="M286" s="24">
        <v>0.05</v>
      </c>
      <c r="N286" s="18"/>
      <c r="O286" s="22" t="s">
        <v>162</v>
      </c>
      <c r="P286" s="18">
        <f t="shared" si="105"/>
        <v>0</v>
      </c>
      <c r="Q286" s="22" t="s">
        <v>162</v>
      </c>
      <c r="R286" s="23">
        <f t="shared" si="106"/>
        <v>0</v>
      </c>
      <c r="S286" s="23">
        <f t="shared" si="90"/>
        <v>0</v>
      </c>
    </row>
    <row r="287" spans="1:19" s="17" customFormat="1">
      <c r="A287" s="16" t="s">
        <v>263</v>
      </c>
      <c r="B287" s="17" t="s">
        <v>19</v>
      </c>
      <c r="C287" s="18"/>
      <c r="D287" s="19" t="s">
        <v>162</v>
      </c>
      <c r="E287" s="20"/>
      <c r="F287" s="21">
        <v>10</v>
      </c>
      <c r="G287" s="22" t="s">
        <v>34</v>
      </c>
      <c r="H287" s="21">
        <v>12</v>
      </c>
      <c r="I287" s="22" t="s">
        <v>162</v>
      </c>
      <c r="J287" s="23">
        <v>17000</v>
      </c>
      <c r="K287" s="19" t="s">
        <v>162</v>
      </c>
      <c r="L287" s="24">
        <v>0.125</v>
      </c>
      <c r="M287" s="24">
        <v>0.05</v>
      </c>
      <c r="N287" s="18"/>
      <c r="O287" s="22" t="s">
        <v>162</v>
      </c>
      <c r="P287" s="18">
        <f t="shared" si="105"/>
        <v>0</v>
      </c>
      <c r="Q287" s="22" t="s">
        <v>162</v>
      </c>
      <c r="R287" s="23">
        <f t="shared" si="106"/>
        <v>0</v>
      </c>
      <c r="S287" s="23">
        <f t="shared" si="90"/>
        <v>0</v>
      </c>
    </row>
    <row r="288" spans="1:19" s="85" customFormat="1">
      <c r="A288" s="84" t="s">
        <v>264</v>
      </c>
      <c r="B288" s="85" t="s">
        <v>19</v>
      </c>
      <c r="C288" s="86">
        <v>48</v>
      </c>
      <c r="D288" s="87" t="s">
        <v>162</v>
      </c>
      <c r="E288" s="92"/>
      <c r="F288" s="88">
        <v>24</v>
      </c>
      <c r="G288" s="89" t="s">
        <v>34</v>
      </c>
      <c r="H288" s="88">
        <v>12</v>
      </c>
      <c r="I288" s="89" t="s">
        <v>162</v>
      </c>
      <c r="J288" s="90">
        <v>13300</v>
      </c>
      <c r="K288" s="87" t="s">
        <v>162</v>
      </c>
      <c r="L288" s="91">
        <v>0.125</v>
      </c>
      <c r="M288" s="91">
        <v>0.05</v>
      </c>
      <c r="N288" s="86">
        <v>12</v>
      </c>
      <c r="O288" s="89" t="s">
        <v>162</v>
      </c>
      <c r="P288" s="86">
        <f t="shared" si="105"/>
        <v>36</v>
      </c>
      <c r="Q288" s="89" t="s">
        <v>162</v>
      </c>
      <c r="R288" s="90">
        <f t="shared" si="106"/>
        <v>398002.5</v>
      </c>
      <c r="S288" s="32">
        <f t="shared" si="90"/>
        <v>358560.81081081077</v>
      </c>
    </row>
    <row r="289" spans="1:20" s="26" customFormat="1">
      <c r="A289" s="94" t="s">
        <v>265</v>
      </c>
      <c r="B289" s="26" t="s">
        <v>26</v>
      </c>
      <c r="C289" s="27">
        <v>72</v>
      </c>
      <c r="D289" s="28" t="s">
        <v>20</v>
      </c>
      <c r="E289" s="29"/>
      <c r="F289" s="30">
        <v>24</v>
      </c>
      <c r="G289" s="31" t="s">
        <v>43</v>
      </c>
      <c r="H289" s="30">
        <v>12</v>
      </c>
      <c r="I289" s="31" t="s">
        <v>20</v>
      </c>
      <c r="J289" s="32">
        <f>2102400/24/12</f>
        <v>7300</v>
      </c>
      <c r="K289" s="28" t="s">
        <v>20</v>
      </c>
      <c r="L289" s="33"/>
      <c r="M289" s="33">
        <v>0.17</v>
      </c>
      <c r="N289" s="27">
        <v>12</v>
      </c>
      <c r="O289" s="31" t="s">
        <v>20</v>
      </c>
      <c r="P289" s="27">
        <f t="shared" si="105"/>
        <v>60</v>
      </c>
      <c r="Q289" s="31" t="s">
        <v>20</v>
      </c>
      <c r="R289" s="32">
        <f t="shared" si="106"/>
        <v>363540</v>
      </c>
      <c r="S289" s="32">
        <f t="shared" si="90"/>
        <v>327513.51351351349</v>
      </c>
    </row>
    <row r="290" spans="1:20" s="26" customFormat="1">
      <c r="A290" s="94" t="s">
        <v>266</v>
      </c>
      <c r="B290" s="26" t="s">
        <v>26</v>
      </c>
      <c r="C290" s="27">
        <v>288</v>
      </c>
      <c r="D290" s="28" t="s">
        <v>20</v>
      </c>
      <c r="E290" s="29"/>
      <c r="F290" s="30">
        <v>24</v>
      </c>
      <c r="G290" s="31" t="s">
        <v>43</v>
      </c>
      <c r="H290" s="30">
        <v>12</v>
      </c>
      <c r="I290" s="31" t="s">
        <v>20</v>
      </c>
      <c r="J290" s="32">
        <f>2102400/24/12</f>
        <v>7300</v>
      </c>
      <c r="K290" s="28" t="s">
        <v>20</v>
      </c>
      <c r="L290" s="33"/>
      <c r="M290" s="33">
        <v>0.17</v>
      </c>
      <c r="N290" s="27">
        <f>(10*12)+(6*12)</f>
        <v>192</v>
      </c>
      <c r="O290" s="31" t="s">
        <v>20</v>
      </c>
      <c r="P290" s="27">
        <f t="shared" si="105"/>
        <v>96</v>
      </c>
      <c r="Q290" s="31" t="s">
        <v>20</v>
      </c>
      <c r="R290" s="32">
        <f t="shared" si="106"/>
        <v>581664</v>
      </c>
      <c r="S290" s="32">
        <f t="shared" si="90"/>
        <v>524021.6216216216</v>
      </c>
    </row>
    <row r="291" spans="1:20">
      <c r="S291" s="23"/>
    </row>
    <row r="292" spans="1:20" ht="15.75">
      <c r="A292" s="14" t="s">
        <v>267</v>
      </c>
      <c r="S292" s="23"/>
    </row>
    <row r="293" spans="1:20" s="17" customFormat="1">
      <c r="A293" s="16" t="s">
        <v>268</v>
      </c>
      <c r="B293" s="17" t="s">
        <v>19</v>
      </c>
      <c r="C293" s="18"/>
      <c r="D293" s="19" t="s">
        <v>34</v>
      </c>
      <c r="E293" s="20"/>
      <c r="F293" s="21">
        <v>1</v>
      </c>
      <c r="G293" s="22" t="s">
        <v>21</v>
      </c>
      <c r="H293" s="21">
        <v>20</v>
      </c>
      <c r="I293" s="22" t="s">
        <v>34</v>
      </c>
      <c r="J293" s="23">
        <f>6200*12</f>
        <v>74400</v>
      </c>
      <c r="K293" s="19" t="s">
        <v>34</v>
      </c>
      <c r="L293" s="24">
        <v>0.125</v>
      </c>
      <c r="M293" s="24">
        <v>0.05</v>
      </c>
      <c r="N293" s="18"/>
      <c r="O293" s="22" t="s">
        <v>34</v>
      </c>
      <c r="P293" s="18">
        <f>(C293+(E293*F293*H293))-N293</f>
        <v>0</v>
      </c>
      <c r="Q293" s="22" t="s">
        <v>34</v>
      </c>
      <c r="R293" s="23">
        <f>P293*(J293-(J293*L293)-((J293-(J293*L293))*M293))</f>
        <v>0</v>
      </c>
      <c r="S293" s="23">
        <f t="shared" si="90"/>
        <v>0</v>
      </c>
    </row>
    <row r="294" spans="1:20" s="17" customFormat="1">
      <c r="A294" s="16" t="s">
        <v>269</v>
      </c>
      <c r="B294" s="17" t="s">
        <v>19</v>
      </c>
      <c r="C294" s="18"/>
      <c r="D294" s="19" t="s">
        <v>34</v>
      </c>
      <c r="E294" s="20"/>
      <c r="F294" s="21">
        <v>1</v>
      </c>
      <c r="G294" s="22" t="s">
        <v>21</v>
      </c>
      <c r="H294" s="21">
        <v>20</v>
      </c>
      <c r="I294" s="22" t="s">
        <v>34</v>
      </c>
      <c r="J294" s="23">
        <f>6800*12</f>
        <v>81600</v>
      </c>
      <c r="K294" s="19" t="s">
        <v>34</v>
      </c>
      <c r="L294" s="24">
        <v>0.125</v>
      </c>
      <c r="M294" s="24">
        <v>0.05</v>
      </c>
      <c r="N294" s="18"/>
      <c r="O294" s="22" t="s">
        <v>34</v>
      </c>
      <c r="P294" s="18">
        <f>(C294+(E294*F294*H294))-N294</f>
        <v>0</v>
      </c>
      <c r="Q294" s="22" t="s">
        <v>34</v>
      </c>
      <c r="R294" s="23">
        <f>P294*(J294-(J294*L294)-((J294-(J294*L294))*M294))</f>
        <v>0</v>
      </c>
      <c r="S294" s="23">
        <f t="shared" si="90"/>
        <v>0</v>
      </c>
    </row>
    <row r="295" spans="1:20">
      <c r="S295" s="23"/>
    </row>
    <row r="296" spans="1:20" ht="15.75">
      <c r="A296" s="14" t="s">
        <v>270</v>
      </c>
      <c r="S296" s="23"/>
    </row>
    <row r="297" spans="1:20">
      <c r="A297" s="15" t="s">
        <v>271</v>
      </c>
      <c r="S297" s="23"/>
    </row>
    <row r="298" spans="1:20" s="17" customFormat="1">
      <c r="A298" s="16" t="s">
        <v>272</v>
      </c>
      <c r="B298" s="17" t="s">
        <v>26</v>
      </c>
      <c r="C298" s="18"/>
      <c r="D298" s="19" t="s">
        <v>104</v>
      </c>
      <c r="E298" s="20"/>
      <c r="F298" s="21">
        <v>1</v>
      </c>
      <c r="G298" s="22" t="s">
        <v>21</v>
      </c>
      <c r="H298" s="21">
        <v>50</v>
      </c>
      <c r="I298" s="22" t="s">
        <v>104</v>
      </c>
      <c r="J298" s="23">
        <f>740000/50</f>
        <v>14800</v>
      </c>
      <c r="K298" s="19" t="s">
        <v>104</v>
      </c>
      <c r="L298" s="24"/>
      <c r="M298" s="24">
        <v>0.17</v>
      </c>
      <c r="N298" s="18"/>
      <c r="O298" s="22" t="s">
        <v>104</v>
      </c>
      <c r="P298" s="18">
        <f>(C298+(E298*F298*H298))-N298</f>
        <v>0</v>
      </c>
      <c r="Q298" s="22" t="s">
        <v>104</v>
      </c>
      <c r="R298" s="23">
        <f>P298*(J298-(J298*L298)-((J298-(J298*L298))*M298))</f>
        <v>0</v>
      </c>
      <c r="S298" s="23">
        <f t="shared" si="90"/>
        <v>0</v>
      </c>
    </row>
    <row r="299" spans="1:20">
      <c r="A299" s="15" t="s">
        <v>273</v>
      </c>
      <c r="S299" s="23"/>
    </row>
    <row r="300" spans="1:20" s="17" customFormat="1">
      <c r="A300" s="25" t="s">
        <v>274</v>
      </c>
      <c r="B300" s="26" t="s">
        <v>275</v>
      </c>
      <c r="C300" s="27">
        <v>250</v>
      </c>
      <c r="D300" s="28" t="s">
        <v>104</v>
      </c>
      <c r="E300" s="29"/>
      <c r="F300" s="30">
        <v>1</v>
      </c>
      <c r="G300" s="31" t="s">
        <v>21</v>
      </c>
      <c r="H300" s="30">
        <v>50</v>
      </c>
      <c r="I300" s="31" t="s">
        <v>104</v>
      </c>
      <c r="J300" s="32">
        <v>32500</v>
      </c>
      <c r="K300" s="28" t="s">
        <v>104</v>
      </c>
      <c r="L300" s="33"/>
      <c r="M300" s="33"/>
      <c r="N300" s="27"/>
      <c r="O300" s="31" t="s">
        <v>104</v>
      </c>
      <c r="P300" s="27">
        <f>(C300+(E300*F300*H300))-N300</f>
        <v>250</v>
      </c>
      <c r="Q300" s="31" t="s">
        <v>104</v>
      </c>
      <c r="R300" s="32">
        <f>P300*(J300-(J300*L300)-((J300-(J300*L300))*M300))</f>
        <v>8125000</v>
      </c>
      <c r="S300" s="32">
        <f t="shared" ref="S300:S362" si="107">R300/1.11</f>
        <v>7319819.8198198192</v>
      </c>
      <c r="T300" s="26"/>
    </row>
    <row r="301" spans="1:20">
      <c r="S301" s="23"/>
    </row>
    <row r="302" spans="1:20" ht="15.75">
      <c r="A302" s="14" t="s">
        <v>276</v>
      </c>
      <c r="S302" s="23"/>
    </row>
    <row r="303" spans="1:20" s="17" customFormat="1">
      <c r="A303" s="16" t="s">
        <v>277</v>
      </c>
      <c r="B303" s="17" t="s">
        <v>19</v>
      </c>
      <c r="C303" s="18"/>
      <c r="D303" s="19" t="s">
        <v>108</v>
      </c>
      <c r="E303" s="20"/>
      <c r="F303" s="21">
        <v>8</v>
      </c>
      <c r="G303" s="22" t="s">
        <v>34</v>
      </c>
      <c r="H303" s="21">
        <v>25</v>
      </c>
      <c r="I303" s="22" t="s">
        <v>108</v>
      </c>
      <c r="J303" s="23">
        <v>4000</v>
      </c>
      <c r="K303" s="19" t="s">
        <v>108</v>
      </c>
      <c r="L303" s="24">
        <v>0.125</v>
      </c>
      <c r="M303" s="24">
        <v>0.05</v>
      </c>
      <c r="N303" s="18"/>
      <c r="O303" s="22" t="s">
        <v>108</v>
      </c>
      <c r="P303" s="18">
        <f>(C303+(E303*F303*H303))-N303</f>
        <v>0</v>
      </c>
      <c r="Q303" s="22" t="s">
        <v>108</v>
      </c>
      <c r="R303" s="23">
        <f>P303*(J303-(J303*L303)-((J303-(J303*L303))*M303))</f>
        <v>0</v>
      </c>
      <c r="S303" s="23">
        <f t="shared" si="107"/>
        <v>0</v>
      </c>
    </row>
    <row r="304" spans="1:20" s="26" customFormat="1">
      <c r="A304" s="25" t="s">
        <v>278</v>
      </c>
      <c r="B304" s="26" t="s">
        <v>19</v>
      </c>
      <c r="C304" s="27">
        <v>8</v>
      </c>
      <c r="D304" s="28" t="s">
        <v>80</v>
      </c>
      <c r="E304" s="29"/>
      <c r="F304" s="30">
        <v>1</v>
      </c>
      <c r="G304" s="31" t="s">
        <v>21</v>
      </c>
      <c r="H304" s="30">
        <v>48</v>
      </c>
      <c r="I304" s="31" t="s">
        <v>80</v>
      </c>
      <c r="J304" s="32">
        <v>30000</v>
      </c>
      <c r="K304" s="28" t="s">
        <v>80</v>
      </c>
      <c r="L304" s="33">
        <v>0.125</v>
      </c>
      <c r="M304" s="33">
        <v>0.05</v>
      </c>
      <c r="N304" s="27"/>
      <c r="O304" s="31" t="s">
        <v>80</v>
      </c>
      <c r="P304" s="27">
        <f>(C304+(E304*F304*H304))-N304</f>
        <v>8</v>
      </c>
      <c r="Q304" s="31" t="s">
        <v>80</v>
      </c>
      <c r="R304" s="32">
        <f>P304*(J304-(J304*L304)-((J304-(J304*L304))*M304))</f>
        <v>199500</v>
      </c>
      <c r="S304" s="32">
        <f t="shared" si="107"/>
        <v>179729.7297297297</v>
      </c>
    </row>
    <row r="305" spans="1:19" s="63" customFormat="1">
      <c r="A305" s="72" t="s">
        <v>279</v>
      </c>
      <c r="B305" s="63" t="s">
        <v>19</v>
      </c>
      <c r="C305" s="64"/>
      <c r="D305" s="65" t="s">
        <v>80</v>
      </c>
      <c r="E305" s="66">
        <v>1</v>
      </c>
      <c r="F305" s="67">
        <v>1</v>
      </c>
      <c r="G305" s="68" t="s">
        <v>21</v>
      </c>
      <c r="H305" s="67">
        <v>48</v>
      </c>
      <c r="I305" s="68" t="s">
        <v>80</v>
      </c>
      <c r="J305" s="69">
        <v>22300</v>
      </c>
      <c r="K305" s="65" t="s">
        <v>80</v>
      </c>
      <c r="L305" s="70">
        <v>0.125</v>
      </c>
      <c r="M305" s="70">
        <v>0.05</v>
      </c>
      <c r="N305" s="64">
        <v>48</v>
      </c>
      <c r="O305" s="68" t="s">
        <v>80</v>
      </c>
      <c r="P305" s="64">
        <f>(C305+(E305*F305*H305))-N305</f>
        <v>0</v>
      </c>
      <c r="Q305" s="68" t="s">
        <v>80</v>
      </c>
      <c r="R305" s="69">
        <f>P305*(J305-(J305*L305)-((J305-(J305*L305))*M305))</f>
        <v>0</v>
      </c>
      <c r="S305" s="23">
        <f t="shared" si="107"/>
        <v>0</v>
      </c>
    </row>
    <row r="306" spans="1:19" s="17" customFormat="1">
      <c r="A306" s="16" t="s">
        <v>280</v>
      </c>
      <c r="B306" s="17" t="s">
        <v>26</v>
      </c>
      <c r="C306" s="18">
        <v>63</v>
      </c>
      <c r="D306" s="19" t="s">
        <v>108</v>
      </c>
      <c r="E306" s="20"/>
      <c r="F306" s="21">
        <v>80</v>
      </c>
      <c r="G306" s="22" t="s">
        <v>34</v>
      </c>
      <c r="H306" s="21">
        <v>25</v>
      </c>
      <c r="I306" s="22" t="s">
        <v>108</v>
      </c>
      <c r="J306" s="23">
        <v>4500</v>
      </c>
      <c r="K306" s="19" t="s">
        <v>108</v>
      </c>
      <c r="L306" s="24"/>
      <c r="M306" s="24">
        <v>0.17</v>
      </c>
      <c r="N306" s="18">
        <v>63</v>
      </c>
      <c r="O306" s="22" t="s">
        <v>108</v>
      </c>
      <c r="P306" s="18">
        <f>(C306+(E306*F306*H306))-N306</f>
        <v>0</v>
      </c>
      <c r="Q306" s="22" t="s">
        <v>108</v>
      </c>
      <c r="R306" s="23">
        <f>P306*(J306-(J306*L306)-((J306-(J306*L306))*M306))</f>
        <v>0</v>
      </c>
      <c r="S306" s="23">
        <f t="shared" si="107"/>
        <v>0</v>
      </c>
    </row>
    <row r="307" spans="1:19" s="17" customFormat="1">
      <c r="A307" s="16" t="s">
        <v>281</v>
      </c>
      <c r="B307" s="17" t="s">
        <v>26</v>
      </c>
      <c r="C307" s="18">
        <v>5</v>
      </c>
      <c r="D307" s="19" t="s">
        <v>80</v>
      </c>
      <c r="E307" s="20"/>
      <c r="F307" s="21">
        <v>1</v>
      </c>
      <c r="G307" s="22" t="s">
        <v>21</v>
      </c>
      <c r="H307" s="21">
        <v>48</v>
      </c>
      <c r="I307" s="22" t="s">
        <v>80</v>
      </c>
      <c r="J307" s="23">
        <v>23500</v>
      </c>
      <c r="K307" s="19" t="s">
        <v>80</v>
      </c>
      <c r="L307" s="24"/>
      <c r="M307" s="24">
        <v>0.17</v>
      </c>
      <c r="N307" s="18">
        <v>5</v>
      </c>
      <c r="O307" s="22" t="s">
        <v>80</v>
      </c>
      <c r="P307" s="18">
        <f>(C307+(E307*F307*H307))-N307</f>
        <v>0</v>
      </c>
      <c r="Q307" s="22" t="s">
        <v>80</v>
      </c>
      <c r="R307" s="23">
        <f>P307*(J307-(J307*L307)-((J307-(J307*L307))*M307))</f>
        <v>0</v>
      </c>
      <c r="S307" s="23">
        <f t="shared" si="107"/>
        <v>0</v>
      </c>
    </row>
    <row r="308" spans="1:19">
      <c r="S308" s="23"/>
    </row>
    <row r="309" spans="1:19" ht="15.75">
      <c r="A309" s="14" t="s">
        <v>282</v>
      </c>
      <c r="S309" s="23"/>
    </row>
    <row r="310" spans="1:19" s="63" customFormat="1">
      <c r="A310" s="72" t="s">
        <v>283</v>
      </c>
      <c r="B310" s="63" t="s">
        <v>19</v>
      </c>
      <c r="C310" s="64"/>
      <c r="D310" s="65" t="s">
        <v>162</v>
      </c>
      <c r="E310" s="66">
        <f>1+2</f>
        <v>3</v>
      </c>
      <c r="F310" s="67">
        <v>10</v>
      </c>
      <c r="G310" s="68" t="s">
        <v>34</v>
      </c>
      <c r="H310" s="67">
        <v>24</v>
      </c>
      <c r="I310" s="68" t="s">
        <v>162</v>
      </c>
      <c r="J310" s="69">
        <v>8800</v>
      </c>
      <c r="K310" s="65" t="s">
        <v>162</v>
      </c>
      <c r="L310" s="70">
        <v>0.125</v>
      </c>
      <c r="M310" s="70">
        <v>0.05</v>
      </c>
      <c r="N310" s="64">
        <f>24+120+24+12+48+480+12</f>
        <v>720</v>
      </c>
      <c r="O310" s="68" t="s">
        <v>162</v>
      </c>
      <c r="P310" s="64">
        <f t="shared" ref="P310:P315" si="108">(C310+(E310*F310*H310))-N310</f>
        <v>0</v>
      </c>
      <c r="Q310" s="68" t="s">
        <v>162</v>
      </c>
      <c r="R310" s="69">
        <f t="shared" ref="R310:R315" si="109">P310*(J310-(J310*L310)-((J310-(J310*L310))*M310))</f>
        <v>0</v>
      </c>
      <c r="S310" s="23">
        <f t="shared" si="107"/>
        <v>0</v>
      </c>
    </row>
    <row r="311" spans="1:19" s="17" customFormat="1">
      <c r="A311" s="16" t="s">
        <v>284</v>
      </c>
      <c r="B311" s="17" t="s">
        <v>19</v>
      </c>
      <c r="C311" s="18"/>
      <c r="D311" s="19" t="s">
        <v>162</v>
      </c>
      <c r="E311" s="20"/>
      <c r="F311" s="21">
        <v>6</v>
      </c>
      <c r="G311" s="22" t="s">
        <v>34</v>
      </c>
      <c r="H311" s="21">
        <v>24</v>
      </c>
      <c r="I311" s="22" t="s">
        <v>162</v>
      </c>
      <c r="J311" s="23">
        <v>29500</v>
      </c>
      <c r="K311" s="19" t="s">
        <v>162</v>
      </c>
      <c r="L311" s="24">
        <v>0.125</v>
      </c>
      <c r="M311" s="24">
        <v>0.05</v>
      </c>
      <c r="N311" s="18"/>
      <c r="O311" s="22" t="s">
        <v>162</v>
      </c>
      <c r="P311" s="18">
        <f t="shared" si="108"/>
        <v>0</v>
      </c>
      <c r="Q311" s="22" t="s">
        <v>162</v>
      </c>
      <c r="R311" s="23">
        <f t="shared" si="109"/>
        <v>0</v>
      </c>
      <c r="S311" s="23">
        <f t="shared" si="107"/>
        <v>0</v>
      </c>
    </row>
    <row r="312" spans="1:19" s="26" customFormat="1">
      <c r="A312" s="25" t="s">
        <v>285</v>
      </c>
      <c r="B312" s="26" t="s">
        <v>19</v>
      </c>
      <c r="C312" s="27"/>
      <c r="D312" s="28" t="s">
        <v>162</v>
      </c>
      <c r="E312" s="29">
        <v>1</v>
      </c>
      <c r="F312" s="30">
        <v>12</v>
      </c>
      <c r="G312" s="31" t="s">
        <v>34</v>
      </c>
      <c r="H312" s="30">
        <v>12</v>
      </c>
      <c r="I312" s="31" t="s">
        <v>162</v>
      </c>
      <c r="J312" s="32">
        <v>19600</v>
      </c>
      <c r="K312" s="28" t="s">
        <v>162</v>
      </c>
      <c r="L312" s="33">
        <v>0.125</v>
      </c>
      <c r="M312" s="33">
        <v>0.05</v>
      </c>
      <c r="N312" s="27">
        <v>24</v>
      </c>
      <c r="O312" s="31" t="s">
        <v>162</v>
      </c>
      <c r="P312" s="27">
        <f t="shared" si="108"/>
        <v>120</v>
      </c>
      <c r="Q312" s="31" t="s">
        <v>162</v>
      </c>
      <c r="R312" s="32">
        <f t="shared" si="109"/>
        <v>1955100</v>
      </c>
      <c r="S312" s="32">
        <f t="shared" si="107"/>
        <v>1761351.3513513512</v>
      </c>
    </row>
    <row r="313" spans="1:19" s="26" customFormat="1">
      <c r="A313" s="25" t="s">
        <v>286</v>
      </c>
      <c r="B313" s="26" t="s">
        <v>19</v>
      </c>
      <c r="C313" s="27">
        <v>45</v>
      </c>
      <c r="D313" s="28" t="s">
        <v>162</v>
      </c>
      <c r="E313" s="29"/>
      <c r="F313" s="30">
        <v>12</v>
      </c>
      <c r="G313" s="31" t="s">
        <v>34</v>
      </c>
      <c r="H313" s="30">
        <v>12</v>
      </c>
      <c r="I313" s="31" t="s">
        <v>162</v>
      </c>
      <c r="J313" s="32">
        <v>18500</v>
      </c>
      <c r="K313" s="28" t="s">
        <v>162</v>
      </c>
      <c r="L313" s="33">
        <v>0.125</v>
      </c>
      <c r="M313" s="33">
        <v>0.05</v>
      </c>
      <c r="N313" s="27">
        <v>24</v>
      </c>
      <c r="O313" s="31" t="s">
        <v>162</v>
      </c>
      <c r="P313" s="27">
        <f t="shared" si="108"/>
        <v>21</v>
      </c>
      <c r="Q313" s="31" t="s">
        <v>162</v>
      </c>
      <c r="R313" s="32">
        <f t="shared" si="109"/>
        <v>322940.625</v>
      </c>
      <c r="S313" s="32">
        <f t="shared" si="107"/>
        <v>290937.5</v>
      </c>
    </row>
    <row r="314" spans="1:19" s="26" customFormat="1">
      <c r="A314" s="25" t="s">
        <v>287</v>
      </c>
      <c r="B314" s="26" t="s">
        <v>19</v>
      </c>
      <c r="C314" s="27">
        <v>24</v>
      </c>
      <c r="D314" s="28" t="s">
        <v>162</v>
      </c>
      <c r="E314" s="29">
        <v>1</v>
      </c>
      <c r="F314" s="30">
        <v>10</v>
      </c>
      <c r="G314" s="31" t="s">
        <v>34</v>
      </c>
      <c r="H314" s="30">
        <v>24</v>
      </c>
      <c r="I314" s="31" t="s">
        <v>162</v>
      </c>
      <c r="J314" s="32">
        <v>10600</v>
      </c>
      <c r="K314" s="28" t="s">
        <v>162</v>
      </c>
      <c r="L314" s="33">
        <v>0.125</v>
      </c>
      <c r="M314" s="33">
        <v>0.05</v>
      </c>
      <c r="N314" s="27">
        <f>24+60+24</f>
        <v>108</v>
      </c>
      <c r="O314" s="31" t="s">
        <v>162</v>
      </c>
      <c r="P314" s="27">
        <f t="shared" si="108"/>
        <v>156</v>
      </c>
      <c r="Q314" s="31" t="s">
        <v>162</v>
      </c>
      <c r="R314" s="32">
        <f t="shared" si="109"/>
        <v>1374555</v>
      </c>
      <c r="S314" s="32">
        <f t="shared" si="107"/>
        <v>1238337.8378378376</v>
      </c>
    </row>
    <row r="315" spans="1:19" s="26" customFormat="1">
      <c r="A315" s="25" t="s">
        <v>288</v>
      </c>
      <c r="B315" s="26" t="s">
        <v>19</v>
      </c>
      <c r="C315" s="27"/>
      <c r="D315" s="28" t="s">
        <v>162</v>
      </c>
      <c r="E315" s="29">
        <v>1</v>
      </c>
      <c r="F315" s="30">
        <v>20</v>
      </c>
      <c r="G315" s="31" t="s">
        <v>34</v>
      </c>
      <c r="H315" s="30">
        <v>12</v>
      </c>
      <c r="I315" s="31" t="s">
        <v>162</v>
      </c>
      <c r="J315" s="32">
        <v>4000</v>
      </c>
      <c r="K315" s="28" t="s">
        <v>162</v>
      </c>
      <c r="L315" s="33">
        <v>0.4</v>
      </c>
      <c r="M315" s="33">
        <v>0.05</v>
      </c>
      <c r="N315" s="27">
        <v>36</v>
      </c>
      <c r="O315" s="31" t="s">
        <v>162</v>
      </c>
      <c r="P315" s="27">
        <f t="shared" si="108"/>
        <v>204</v>
      </c>
      <c r="Q315" s="31" t="s">
        <v>162</v>
      </c>
      <c r="R315" s="32">
        <f t="shared" si="109"/>
        <v>465120</v>
      </c>
      <c r="S315" s="32">
        <f t="shared" si="107"/>
        <v>419027.02702702698</v>
      </c>
    </row>
    <row r="316" spans="1:19">
      <c r="S316" s="23"/>
    </row>
    <row r="317" spans="1:19" ht="15.75">
      <c r="A317" s="14" t="s">
        <v>289</v>
      </c>
      <c r="S317" s="23"/>
    </row>
    <row r="318" spans="1:19">
      <c r="A318" s="15" t="s">
        <v>290</v>
      </c>
      <c r="S318" s="23"/>
    </row>
    <row r="319" spans="1:19" s="45" customFormat="1">
      <c r="A319" s="44" t="s">
        <v>291</v>
      </c>
      <c r="B319" s="45" t="s">
        <v>19</v>
      </c>
      <c r="C319" s="46">
        <v>1570</v>
      </c>
      <c r="D319" s="47" t="s">
        <v>292</v>
      </c>
      <c r="E319" s="48"/>
      <c r="F319" s="49">
        <v>100</v>
      </c>
      <c r="G319" s="50" t="s">
        <v>104</v>
      </c>
      <c r="H319" s="49">
        <v>10</v>
      </c>
      <c r="I319" s="50" t="s">
        <v>292</v>
      </c>
      <c r="J319" s="51">
        <v>2050</v>
      </c>
      <c r="K319" s="47" t="s">
        <v>292</v>
      </c>
      <c r="L319" s="52">
        <v>0.125</v>
      </c>
      <c r="M319" s="52">
        <v>0.05</v>
      </c>
      <c r="N319" s="46">
        <v>1000</v>
      </c>
      <c r="O319" s="50" t="s">
        <v>292</v>
      </c>
      <c r="P319" s="46">
        <f t="shared" ref="P319:P329" si="110">(C319+(E319*F319*H319))-N319</f>
        <v>570</v>
      </c>
      <c r="Q319" s="50" t="s">
        <v>292</v>
      </c>
      <c r="R319" s="51">
        <f t="shared" ref="R319:R329" si="111">P319*(J319-(J319*L319)-((J319-(J319*L319))*M319))</f>
        <v>971315.625</v>
      </c>
      <c r="S319" s="51">
        <f t="shared" si="107"/>
        <v>875059.12162162154</v>
      </c>
    </row>
    <row r="320" spans="1:19" s="63" customFormat="1">
      <c r="A320" s="72" t="s">
        <v>293</v>
      </c>
      <c r="B320" s="63" t="s">
        <v>19</v>
      </c>
      <c r="C320" s="64">
        <v>4200</v>
      </c>
      <c r="D320" s="65" t="s">
        <v>292</v>
      </c>
      <c r="E320" s="66"/>
      <c r="F320" s="67">
        <v>100</v>
      </c>
      <c r="G320" s="68" t="s">
        <v>104</v>
      </c>
      <c r="H320" s="67">
        <v>10</v>
      </c>
      <c r="I320" s="68" t="s">
        <v>292</v>
      </c>
      <c r="J320" s="69">
        <v>2900</v>
      </c>
      <c r="K320" s="65" t="s">
        <v>292</v>
      </c>
      <c r="L320" s="70">
        <v>0.125</v>
      </c>
      <c r="M320" s="70">
        <v>0.05</v>
      </c>
      <c r="N320" s="64">
        <f>2000+(20*10)+1000+1000</f>
        <v>4200</v>
      </c>
      <c r="O320" s="68" t="s">
        <v>292</v>
      </c>
      <c r="P320" s="64">
        <f t="shared" si="110"/>
        <v>0</v>
      </c>
      <c r="Q320" s="68" t="s">
        <v>292</v>
      </c>
      <c r="R320" s="69">
        <f t="shared" si="111"/>
        <v>0</v>
      </c>
      <c r="S320" s="23">
        <f t="shared" si="107"/>
        <v>0</v>
      </c>
    </row>
    <row r="321" spans="1:19" s="45" customFormat="1">
      <c r="A321" s="44" t="s">
        <v>294</v>
      </c>
      <c r="B321" s="45" t="s">
        <v>19</v>
      </c>
      <c r="C321" s="46">
        <v>1000</v>
      </c>
      <c r="D321" s="47" t="s">
        <v>292</v>
      </c>
      <c r="E321" s="48">
        <v>1</v>
      </c>
      <c r="F321" s="49">
        <v>50</v>
      </c>
      <c r="G321" s="50" t="s">
        <v>104</v>
      </c>
      <c r="H321" s="49">
        <v>10</v>
      </c>
      <c r="I321" s="50" t="s">
        <v>292</v>
      </c>
      <c r="J321" s="51">
        <v>3050</v>
      </c>
      <c r="K321" s="47" t="s">
        <v>292</v>
      </c>
      <c r="L321" s="52">
        <v>0.125</v>
      </c>
      <c r="M321" s="52">
        <v>0.05</v>
      </c>
      <c r="N321" s="46">
        <f>500+500</f>
        <v>1000</v>
      </c>
      <c r="O321" s="50" t="s">
        <v>292</v>
      </c>
      <c r="P321" s="46">
        <f t="shared" si="110"/>
        <v>500</v>
      </c>
      <c r="Q321" s="50" t="s">
        <v>292</v>
      </c>
      <c r="R321" s="51">
        <f t="shared" si="111"/>
        <v>1267656.25</v>
      </c>
      <c r="S321" s="51">
        <f t="shared" si="107"/>
        <v>1142032.6576576575</v>
      </c>
    </row>
    <row r="322" spans="1:19" s="63" customFormat="1">
      <c r="A322" s="72" t="s">
        <v>295</v>
      </c>
      <c r="B322" s="63" t="s">
        <v>19</v>
      </c>
      <c r="C322" s="64"/>
      <c r="D322" s="65" t="s">
        <v>292</v>
      </c>
      <c r="E322" s="66"/>
      <c r="F322" s="67">
        <v>50</v>
      </c>
      <c r="G322" s="68" t="s">
        <v>104</v>
      </c>
      <c r="H322" s="67">
        <v>10</v>
      </c>
      <c r="I322" s="68" t="s">
        <v>292</v>
      </c>
      <c r="J322" s="69">
        <v>4100</v>
      </c>
      <c r="K322" s="65" t="s">
        <v>292</v>
      </c>
      <c r="L322" s="70">
        <v>0.125</v>
      </c>
      <c r="M322" s="70">
        <v>0.05</v>
      </c>
      <c r="N322" s="64"/>
      <c r="O322" s="68" t="s">
        <v>292</v>
      </c>
      <c r="P322" s="64">
        <f t="shared" si="110"/>
        <v>0</v>
      </c>
      <c r="Q322" s="68" t="s">
        <v>292</v>
      </c>
      <c r="R322" s="69">
        <f t="shared" si="111"/>
        <v>0</v>
      </c>
      <c r="S322" s="69">
        <f t="shared" si="107"/>
        <v>0</v>
      </c>
    </row>
    <row r="323" spans="1:19" s="45" customFormat="1">
      <c r="A323" s="108" t="s">
        <v>296</v>
      </c>
      <c r="B323" s="45" t="s">
        <v>19</v>
      </c>
      <c r="C323" s="46">
        <v>1500</v>
      </c>
      <c r="D323" s="47" t="s">
        <v>292</v>
      </c>
      <c r="E323" s="48"/>
      <c r="F323" s="49">
        <v>50</v>
      </c>
      <c r="G323" s="50" t="s">
        <v>104</v>
      </c>
      <c r="H323" s="49">
        <v>10</v>
      </c>
      <c r="I323" s="50" t="s">
        <v>292</v>
      </c>
      <c r="J323" s="51">
        <v>4300</v>
      </c>
      <c r="K323" s="47" t="s">
        <v>292</v>
      </c>
      <c r="L323" s="52">
        <v>0.125</v>
      </c>
      <c r="M323" s="52">
        <v>0.05</v>
      </c>
      <c r="N323" s="46"/>
      <c r="O323" s="50" t="s">
        <v>292</v>
      </c>
      <c r="P323" s="46">
        <f t="shared" si="110"/>
        <v>1500</v>
      </c>
      <c r="Q323" s="50" t="s">
        <v>292</v>
      </c>
      <c r="R323" s="51">
        <f t="shared" si="111"/>
        <v>5361562.5</v>
      </c>
      <c r="S323" s="32">
        <f t="shared" si="107"/>
        <v>4830236.4864864862</v>
      </c>
    </row>
    <row r="324" spans="1:19" s="17" customFormat="1">
      <c r="A324" s="109" t="s">
        <v>297</v>
      </c>
      <c r="B324" s="17" t="s">
        <v>19</v>
      </c>
      <c r="C324" s="18"/>
      <c r="D324" s="19" t="s">
        <v>292</v>
      </c>
      <c r="E324" s="20"/>
      <c r="F324" s="21">
        <v>100</v>
      </c>
      <c r="G324" s="22" t="s">
        <v>104</v>
      </c>
      <c r="H324" s="21">
        <v>10</v>
      </c>
      <c r="I324" s="22" t="s">
        <v>292</v>
      </c>
      <c r="J324" s="23">
        <v>3000</v>
      </c>
      <c r="K324" s="19" t="s">
        <v>292</v>
      </c>
      <c r="L324" s="24">
        <v>0.125</v>
      </c>
      <c r="M324" s="24">
        <v>0.05</v>
      </c>
      <c r="N324" s="18"/>
      <c r="O324" s="22" t="s">
        <v>292</v>
      </c>
      <c r="P324" s="18">
        <f t="shared" si="110"/>
        <v>0</v>
      </c>
      <c r="Q324" s="22" t="s">
        <v>292</v>
      </c>
      <c r="R324" s="23">
        <f t="shared" si="111"/>
        <v>0</v>
      </c>
      <c r="S324" s="23">
        <f t="shared" si="107"/>
        <v>0</v>
      </c>
    </row>
    <row r="325" spans="1:19" s="17" customFormat="1">
      <c r="A325" s="109" t="s">
        <v>298</v>
      </c>
      <c r="B325" s="17" t="s">
        <v>19</v>
      </c>
      <c r="C325" s="18"/>
      <c r="D325" s="19" t="s">
        <v>292</v>
      </c>
      <c r="E325" s="20"/>
      <c r="F325" s="21">
        <v>100</v>
      </c>
      <c r="G325" s="22" t="s">
        <v>104</v>
      </c>
      <c r="H325" s="21">
        <v>10</v>
      </c>
      <c r="I325" s="22" t="s">
        <v>292</v>
      </c>
      <c r="J325" s="23">
        <v>3000</v>
      </c>
      <c r="K325" s="19" t="s">
        <v>292</v>
      </c>
      <c r="L325" s="24">
        <v>0.125</v>
      </c>
      <c r="M325" s="24">
        <v>0.05</v>
      </c>
      <c r="N325" s="18"/>
      <c r="O325" s="22" t="s">
        <v>292</v>
      </c>
      <c r="P325" s="18">
        <f t="shared" si="110"/>
        <v>0</v>
      </c>
      <c r="Q325" s="22" t="s">
        <v>292</v>
      </c>
      <c r="R325" s="23">
        <f t="shared" si="111"/>
        <v>0</v>
      </c>
      <c r="S325" s="23">
        <f t="shared" si="107"/>
        <v>0</v>
      </c>
    </row>
    <row r="326" spans="1:19" s="17" customFormat="1">
      <c r="A326" s="109" t="s">
        <v>299</v>
      </c>
      <c r="B326" s="17" t="s">
        <v>19</v>
      </c>
      <c r="C326" s="18"/>
      <c r="D326" s="19" t="s">
        <v>292</v>
      </c>
      <c r="E326" s="20"/>
      <c r="F326" s="21">
        <v>50</v>
      </c>
      <c r="G326" s="22" t="s">
        <v>104</v>
      </c>
      <c r="H326" s="21">
        <v>10</v>
      </c>
      <c r="I326" s="22" t="s">
        <v>292</v>
      </c>
      <c r="J326" s="23">
        <v>4300</v>
      </c>
      <c r="K326" s="19" t="s">
        <v>292</v>
      </c>
      <c r="L326" s="24">
        <v>0.125</v>
      </c>
      <c r="M326" s="24">
        <v>0.05</v>
      </c>
      <c r="N326" s="18"/>
      <c r="O326" s="22" t="s">
        <v>292</v>
      </c>
      <c r="P326" s="18">
        <f t="shared" si="110"/>
        <v>0</v>
      </c>
      <c r="Q326" s="22" t="s">
        <v>292</v>
      </c>
      <c r="R326" s="23">
        <f t="shared" si="111"/>
        <v>0</v>
      </c>
      <c r="S326" s="23">
        <f t="shared" si="107"/>
        <v>0</v>
      </c>
    </row>
    <row r="327" spans="1:19" s="17" customFormat="1">
      <c r="A327" s="109" t="s">
        <v>300</v>
      </c>
      <c r="B327" s="17" t="s">
        <v>19</v>
      </c>
      <c r="C327" s="18"/>
      <c r="D327" s="19" t="s">
        <v>104</v>
      </c>
      <c r="E327" s="20"/>
      <c r="F327" s="21">
        <v>1</v>
      </c>
      <c r="G327" s="22" t="s">
        <v>21</v>
      </c>
      <c r="H327" s="21">
        <v>50</v>
      </c>
      <c r="I327" s="22" t="s">
        <v>104</v>
      </c>
      <c r="J327" s="23">
        <v>15500</v>
      </c>
      <c r="K327" s="19" t="s">
        <v>104</v>
      </c>
      <c r="L327" s="24">
        <v>0.125</v>
      </c>
      <c r="M327" s="24">
        <v>0.05</v>
      </c>
      <c r="N327" s="18"/>
      <c r="O327" s="22" t="s">
        <v>104</v>
      </c>
      <c r="P327" s="18">
        <f t="shared" si="110"/>
        <v>0</v>
      </c>
      <c r="Q327" s="22" t="s">
        <v>104</v>
      </c>
      <c r="R327" s="23">
        <f t="shared" si="111"/>
        <v>0</v>
      </c>
      <c r="S327" s="23">
        <f t="shared" si="107"/>
        <v>0</v>
      </c>
    </row>
    <row r="328" spans="1:19" s="45" customFormat="1">
      <c r="A328" s="44" t="s">
        <v>301</v>
      </c>
      <c r="B328" s="45" t="s">
        <v>26</v>
      </c>
      <c r="C328" s="46">
        <v>200</v>
      </c>
      <c r="D328" s="47" t="s">
        <v>302</v>
      </c>
      <c r="E328" s="48"/>
      <c r="F328" s="49">
        <v>1</v>
      </c>
      <c r="G328" s="50" t="s">
        <v>21</v>
      </c>
      <c r="H328" s="49">
        <v>50</v>
      </c>
      <c r="I328" s="50" t="s">
        <v>302</v>
      </c>
      <c r="J328" s="51">
        <f>975000/50</f>
        <v>19500</v>
      </c>
      <c r="K328" s="47" t="s">
        <v>302</v>
      </c>
      <c r="L328" s="52"/>
      <c r="M328" s="52">
        <v>0.17</v>
      </c>
      <c r="N328" s="46"/>
      <c r="O328" s="50" t="s">
        <v>302</v>
      </c>
      <c r="P328" s="46">
        <f t="shared" si="110"/>
        <v>200</v>
      </c>
      <c r="Q328" s="50" t="s">
        <v>302</v>
      </c>
      <c r="R328" s="51">
        <f t="shared" si="111"/>
        <v>3237000</v>
      </c>
      <c r="S328" s="51">
        <f t="shared" si="107"/>
        <v>2916216.2162162159</v>
      </c>
    </row>
    <row r="329" spans="1:19">
      <c r="A329" s="34" t="s">
        <v>303</v>
      </c>
      <c r="B329" s="2" t="s">
        <v>26</v>
      </c>
      <c r="C329" s="3">
        <v>40</v>
      </c>
      <c r="D329" s="4" t="s">
        <v>302</v>
      </c>
      <c r="F329" s="6">
        <v>1</v>
      </c>
      <c r="G329" s="7" t="s">
        <v>21</v>
      </c>
      <c r="H329" s="6">
        <v>50</v>
      </c>
      <c r="I329" s="7" t="s">
        <v>302</v>
      </c>
      <c r="J329" s="8">
        <f>1275000/50</f>
        <v>25500</v>
      </c>
      <c r="K329" s="4" t="s">
        <v>302</v>
      </c>
      <c r="M329" s="9">
        <v>0.17</v>
      </c>
      <c r="O329" s="7" t="s">
        <v>302</v>
      </c>
      <c r="P329" s="3">
        <f t="shared" si="110"/>
        <v>40</v>
      </c>
      <c r="Q329" s="7" t="s">
        <v>302</v>
      </c>
      <c r="R329" s="8">
        <f t="shared" si="111"/>
        <v>846600</v>
      </c>
      <c r="S329" s="32">
        <f t="shared" si="107"/>
        <v>762702.70270270261</v>
      </c>
    </row>
    <row r="330" spans="1:19">
      <c r="A330" s="15" t="s">
        <v>304</v>
      </c>
      <c r="S330" s="23"/>
    </row>
    <row r="331" spans="1:19" s="63" customFormat="1">
      <c r="A331" s="72" t="s">
        <v>305</v>
      </c>
      <c r="B331" s="63" t="s">
        <v>19</v>
      </c>
      <c r="C331" s="64">
        <v>2</v>
      </c>
      <c r="D331" s="65" t="s">
        <v>20</v>
      </c>
      <c r="E331" s="66">
        <v>1</v>
      </c>
      <c r="F331" s="67">
        <v>1</v>
      </c>
      <c r="G331" s="68" t="s">
        <v>21</v>
      </c>
      <c r="H331" s="67">
        <v>20</v>
      </c>
      <c r="I331" s="68" t="s">
        <v>20</v>
      </c>
      <c r="J331" s="69">
        <v>40500</v>
      </c>
      <c r="K331" s="65" t="s">
        <v>20</v>
      </c>
      <c r="L331" s="70">
        <v>0.125</v>
      </c>
      <c r="M331" s="70">
        <v>0.05</v>
      </c>
      <c r="N331" s="64">
        <f>20+2</f>
        <v>22</v>
      </c>
      <c r="O331" s="68" t="s">
        <v>20</v>
      </c>
      <c r="P331" s="64">
        <f t="shared" ref="P331:P334" si="112">(C331+(E331*F331*H331))-N331</f>
        <v>0</v>
      </c>
      <c r="Q331" s="68" t="s">
        <v>20</v>
      </c>
      <c r="R331" s="69">
        <f t="shared" ref="R331:R334" si="113">P331*(J331-(J331*L331)-((J331-(J331*L331))*M331))</f>
        <v>0</v>
      </c>
      <c r="S331" s="69">
        <f t="shared" si="107"/>
        <v>0</v>
      </c>
    </row>
    <row r="332" spans="1:19" s="45" customFormat="1">
      <c r="A332" s="44" t="s">
        <v>306</v>
      </c>
      <c r="B332" s="45" t="s">
        <v>26</v>
      </c>
      <c r="C332" s="46">
        <v>4</v>
      </c>
      <c r="D332" s="47" t="s">
        <v>20</v>
      </c>
      <c r="E332" s="48"/>
      <c r="F332" s="49">
        <v>1</v>
      </c>
      <c r="G332" s="50" t="s">
        <v>21</v>
      </c>
      <c r="H332" s="49">
        <v>50</v>
      </c>
      <c r="I332" s="50" t="s">
        <v>20</v>
      </c>
      <c r="J332" s="51">
        <f>2250000/50</f>
        <v>45000</v>
      </c>
      <c r="K332" s="47" t="s">
        <v>20</v>
      </c>
      <c r="L332" s="52"/>
      <c r="M332" s="52">
        <v>0.17</v>
      </c>
      <c r="N332" s="46"/>
      <c r="O332" s="50" t="s">
        <v>20</v>
      </c>
      <c r="P332" s="46">
        <f t="shared" si="112"/>
        <v>4</v>
      </c>
      <c r="Q332" s="50" t="s">
        <v>20</v>
      </c>
      <c r="R332" s="51">
        <f t="shared" si="113"/>
        <v>149400</v>
      </c>
      <c r="S332" s="51">
        <f t="shared" si="107"/>
        <v>134594.59459459459</v>
      </c>
    </row>
    <row r="333" spans="1:19" s="85" customFormat="1">
      <c r="A333" s="84" t="s">
        <v>307</v>
      </c>
      <c r="B333" s="85" t="s">
        <v>26</v>
      </c>
      <c r="C333" s="86">
        <v>33</v>
      </c>
      <c r="D333" s="87" t="s">
        <v>20</v>
      </c>
      <c r="E333" s="92"/>
      <c r="F333" s="88">
        <v>1</v>
      </c>
      <c r="G333" s="89" t="s">
        <v>21</v>
      </c>
      <c r="H333" s="88">
        <v>50</v>
      </c>
      <c r="I333" s="89" t="s">
        <v>20</v>
      </c>
      <c r="J333" s="90">
        <f>2750000/50</f>
        <v>55000</v>
      </c>
      <c r="K333" s="87" t="s">
        <v>20</v>
      </c>
      <c r="L333" s="91"/>
      <c r="M333" s="91">
        <v>0.17</v>
      </c>
      <c r="N333" s="86">
        <v>12</v>
      </c>
      <c r="O333" s="89" t="s">
        <v>20</v>
      </c>
      <c r="P333" s="86">
        <f t="shared" si="112"/>
        <v>21</v>
      </c>
      <c r="Q333" s="89" t="s">
        <v>20</v>
      </c>
      <c r="R333" s="90">
        <f t="shared" si="113"/>
        <v>958650</v>
      </c>
      <c r="S333" s="32">
        <f t="shared" si="107"/>
        <v>863648.64864864852</v>
      </c>
    </row>
    <row r="334" spans="1:19" s="26" customFormat="1">
      <c r="A334" s="94" t="s">
        <v>308</v>
      </c>
      <c r="B334" s="26" t="s">
        <v>26</v>
      </c>
      <c r="C334" s="27"/>
      <c r="D334" s="28" t="s">
        <v>20</v>
      </c>
      <c r="E334" s="29">
        <f>1+1</f>
        <v>2</v>
      </c>
      <c r="F334" s="30">
        <v>1</v>
      </c>
      <c r="G334" s="31" t="s">
        <v>21</v>
      </c>
      <c r="H334" s="30">
        <v>50</v>
      </c>
      <c r="I334" s="31" t="s">
        <v>20</v>
      </c>
      <c r="J334" s="32">
        <f>4750000/50</f>
        <v>95000</v>
      </c>
      <c r="K334" s="28" t="s">
        <v>20</v>
      </c>
      <c r="L334" s="33"/>
      <c r="M334" s="33">
        <v>0.17</v>
      </c>
      <c r="N334" s="27">
        <f>6+25</f>
        <v>31</v>
      </c>
      <c r="O334" s="31" t="s">
        <v>20</v>
      </c>
      <c r="P334" s="27">
        <f t="shared" si="112"/>
        <v>69</v>
      </c>
      <c r="Q334" s="31" t="s">
        <v>20</v>
      </c>
      <c r="R334" s="32">
        <f t="shared" si="113"/>
        <v>5440650</v>
      </c>
      <c r="S334" s="32">
        <f t="shared" si="107"/>
        <v>4901486.4864864862</v>
      </c>
    </row>
    <row r="335" spans="1:19">
      <c r="S335" s="23"/>
    </row>
    <row r="336" spans="1:19" ht="15.75">
      <c r="A336" s="14" t="s">
        <v>309</v>
      </c>
      <c r="S336" s="23"/>
    </row>
    <row r="337" spans="1:19" s="17" customFormat="1">
      <c r="A337" s="16" t="s">
        <v>310</v>
      </c>
      <c r="B337" s="17" t="s">
        <v>19</v>
      </c>
      <c r="C337" s="18"/>
      <c r="D337" s="19" t="s">
        <v>104</v>
      </c>
      <c r="E337" s="20"/>
      <c r="F337" s="21">
        <v>1</v>
      </c>
      <c r="G337" s="22" t="s">
        <v>21</v>
      </c>
      <c r="H337" s="21">
        <v>10</v>
      </c>
      <c r="I337" s="22" t="s">
        <v>104</v>
      </c>
      <c r="J337" s="23">
        <v>102000</v>
      </c>
      <c r="K337" s="19" t="s">
        <v>104</v>
      </c>
      <c r="L337" s="24">
        <v>0.125</v>
      </c>
      <c r="M337" s="24">
        <v>0.05</v>
      </c>
      <c r="N337" s="18"/>
      <c r="O337" s="22" t="s">
        <v>104</v>
      </c>
      <c r="P337" s="18">
        <f>(C337+(E337*F337*H337))-N337</f>
        <v>0</v>
      </c>
      <c r="Q337" s="22" t="s">
        <v>104</v>
      </c>
      <c r="R337" s="23">
        <f>P337*(J337-(J337*L337)-((J337-(J337*L337))*M337))</f>
        <v>0</v>
      </c>
      <c r="S337" s="23">
        <f t="shared" si="107"/>
        <v>0</v>
      </c>
    </row>
    <row r="338" spans="1:19" s="26" customFormat="1">
      <c r="A338" s="25" t="s">
        <v>311</v>
      </c>
      <c r="B338" s="26" t="s">
        <v>26</v>
      </c>
      <c r="C338" s="27"/>
      <c r="D338" s="28" t="s">
        <v>104</v>
      </c>
      <c r="E338" s="29">
        <v>10</v>
      </c>
      <c r="F338" s="30">
        <v>1</v>
      </c>
      <c r="G338" s="31" t="s">
        <v>21</v>
      </c>
      <c r="H338" s="30">
        <v>10</v>
      </c>
      <c r="I338" s="31" t="s">
        <v>104</v>
      </c>
      <c r="J338" s="32">
        <f>1150000/10</f>
        <v>115000</v>
      </c>
      <c r="K338" s="28" t="s">
        <v>104</v>
      </c>
      <c r="L338" s="33"/>
      <c r="M338" s="33">
        <v>0.17</v>
      </c>
      <c r="N338" s="27"/>
      <c r="O338" s="31" t="s">
        <v>104</v>
      </c>
      <c r="P338" s="27">
        <f>(C338+(E338*F338*H338))-N338</f>
        <v>100</v>
      </c>
      <c r="Q338" s="31" t="s">
        <v>104</v>
      </c>
      <c r="R338" s="32">
        <f>P338*(J338-(J338*L338)-((J338-(J338*L338))*M338))</f>
        <v>9545000</v>
      </c>
      <c r="S338" s="32">
        <f t="shared" si="107"/>
        <v>8599099.0990990978</v>
      </c>
    </row>
    <row r="339" spans="1:19">
      <c r="S339" s="23"/>
    </row>
    <row r="340" spans="1:19" ht="15.75">
      <c r="A340" s="14" t="s">
        <v>312</v>
      </c>
      <c r="S340" s="23"/>
    </row>
    <row r="341" spans="1:19">
      <c r="A341" s="15" t="s">
        <v>313</v>
      </c>
      <c r="S341" s="23"/>
    </row>
    <row r="342" spans="1:19" s="17" customFormat="1">
      <c r="A342" s="16" t="s">
        <v>314</v>
      </c>
      <c r="B342" s="17" t="s">
        <v>19</v>
      </c>
      <c r="C342" s="18"/>
      <c r="D342" s="19" t="s">
        <v>43</v>
      </c>
      <c r="E342" s="20"/>
      <c r="F342" s="21">
        <v>48</v>
      </c>
      <c r="G342" s="22" t="s">
        <v>34</v>
      </c>
      <c r="H342" s="21">
        <v>1</v>
      </c>
      <c r="I342" s="22" t="s">
        <v>43</v>
      </c>
      <c r="J342" s="23">
        <f>1625*12</f>
        <v>19500</v>
      </c>
      <c r="K342" s="19" t="s">
        <v>43</v>
      </c>
      <c r="L342" s="24">
        <v>0.125</v>
      </c>
      <c r="M342" s="24">
        <v>0.05</v>
      </c>
      <c r="N342" s="18"/>
      <c r="O342" s="22" t="s">
        <v>43</v>
      </c>
      <c r="P342" s="18">
        <f t="shared" ref="P342:P348" si="114">(C342+(E342*F342*H342))-N342</f>
        <v>0</v>
      </c>
      <c r="Q342" s="22" t="s">
        <v>43</v>
      </c>
      <c r="R342" s="23">
        <f t="shared" ref="R342:R348" si="115">P342*(J342-(J342*L342)-((J342-(J342*L342))*M342))</f>
        <v>0</v>
      </c>
      <c r="S342" s="23">
        <f t="shared" si="107"/>
        <v>0</v>
      </c>
    </row>
    <row r="343" spans="1:19" s="17" customFormat="1">
      <c r="A343" s="71" t="s">
        <v>315</v>
      </c>
      <c r="B343" s="17" t="s">
        <v>19</v>
      </c>
      <c r="C343" s="18"/>
      <c r="D343" s="19" t="s">
        <v>43</v>
      </c>
      <c r="E343" s="20"/>
      <c r="F343" s="21">
        <v>48</v>
      </c>
      <c r="G343" s="22" t="s">
        <v>34</v>
      </c>
      <c r="H343" s="21">
        <v>1</v>
      </c>
      <c r="I343" s="22" t="s">
        <v>43</v>
      </c>
      <c r="J343" s="23">
        <f>1550*12</f>
        <v>18600</v>
      </c>
      <c r="K343" s="19" t="s">
        <v>43</v>
      </c>
      <c r="L343" s="24">
        <v>0.125</v>
      </c>
      <c r="M343" s="24">
        <v>0.05</v>
      </c>
      <c r="N343" s="18"/>
      <c r="O343" s="22" t="s">
        <v>43</v>
      </c>
      <c r="P343" s="18">
        <f t="shared" si="114"/>
        <v>0</v>
      </c>
      <c r="Q343" s="22" t="s">
        <v>43</v>
      </c>
      <c r="R343" s="23">
        <f t="shared" si="115"/>
        <v>0</v>
      </c>
      <c r="S343" s="23">
        <f t="shared" si="107"/>
        <v>0</v>
      </c>
    </row>
    <row r="344" spans="1:19" s="17" customFormat="1">
      <c r="A344" s="71" t="s">
        <v>316</v>
      </c>
      <c r="B344" s="17" t="s">
        <v>19</v>
      </c>
      <c r="C344" s="18">
        <v>16</v>
      </c>
      <c r="D344" s="19" t="s">
        <v>43</v>
      </c>
      <c r="E344" s="20"/>
      <c r="F344" s="21">
        <v>24</v>
      </c>
      <c r="G344" s="22" t="s">
        <v>34</v>
      </c>
      <c r="H344" s="21">
        <v>1</v>
      </c>
      <c r="I344" s="22" t="s">
        <v>43</v>
      </c>
      <c r="J344" s="23">
        <f>2150*12</f>
        <v>25800</v>
      </c>
      <c r="K344" s="19" t="s">
        <v>43</v>
      </c>
      <c r="L344" s="24">
        <v>0.125</v>
      </c>
      <c r="M344" s="24">
        <v>0.05</v>
      </c>
      <c r="N344" s="18">
        <v>16</v>
      </c>
      <c r="O344" s="22" t="s">
        <v>43</v>
      </c>
      <c r="P344" s="18">
        <f t="shared" si="114"/>
        <v>0</v>
      </c>
      <c r="Q344" s="22" t="s">
        <v>43</v>
      </c>
      <c r="R344" s="23">
        <f t="shared" si="115"/>
        <v>0</v>
      </c>
      <c r="S344" s="23">
        <f t="shared" si="107"/>
        <v>0</v>
      </c>
    </row>
    <row r="345" spans="1:19" s="17" customFormat="1">
      <c r="A345" s="16" t="s">
        <v>317</v>
      </c>
      <c r="B345" s="17" t="s">
        <v>19</v>
      </c>
      <c r="C345" s="18"/>
      <c r="D345" s="19" t="s">
        <v>43</v>
      </c>
      <c r="E345" s="20"/>
      <c r="F345" s="21">
        <v>24</v>
      </c>
      <c r="G345" s="22" t="s">
        <v>34</v>
      </c>
      <c r="H345" s="21">
        <v>1</v>
      </c>
      <c r="I345" s="22" t="s">
        <v>43</v>
      </c>
      <c r="J345" s="23">
        <f>3000*12</f>
        <v>36000</v>
      </c>
      <c r="K345" s="19" t="s">
        <v>43</v>
      </c>
      <c r="L345" s="24">
        <v>0.125</v>
      </c>
      <c r="M345" s="24">
        <v>0.05</v>
      </c>
      <c r="N345" s="18"/>
      <c r="O345" s="22" t="s">
        <v>43</v>
      </c>
      <c r="P345" s="18">
        <f t="shared" si="114"/>
        <v>0</v>
      </c>
      <c r="Q345" s="22" t="s">
        <v>43</v>
      </c>
      <c r="R345" s="23">
        <f t="shared" si="115"/>
        <v>0</v>
      </c>
      <c r="S345" s="23">
        <f t="shared" si="107"/>
        <v>0</v>
      </c>
    </row>
    <row r="346" spans="1:19" s="63" customFormat="1">
      <c r="A346" s="72" t="s">
        <v>318</v>
      </c>
      <c r="B346" s="63" t="s">
        <v>26</v>
      </c>
      <c r="C346" s="64"/>
      <c r="D346" s="65" t="s">
        <v>43</v>
      </c>
      <c r="E346" s="66">
        <v>4</v>
      </c>
      <c r="F346" s="67">
        <v>1</v>
      </c>
      <c r="G346" s="68" t="s">
        <v>21</v>
      </c>
      <c r="H346" s="67">
        <v>20</v>
      </c>
      <c r="I346" s="68" t="s">
        <v>43</v>
      </c>
      <c r="J346" s="69">
        <f>396000/20</f>
        <v>19800</v>
      </c>
      <c r="K346" s="65" t="s">
        <v>43</v>
      </c>
      <c r="L346" s="70"/>
      <c r="M346" s="70">
        <v>0.17</v>
      </c>
      <c r="N346" s="64">
        <f>20+6+10+4+40</f>
        <v>80</v>
      </c>
      <c r="O346" s="68" t="s">
        <v>43</v>
      </c>
      <c r="P346" s="64">
        <f t="shared" si="114"/>
        <v>0</v>
      </c>
      <c r="Q346" s="68" t="s">
        <v>43</v>
      </c>
      <c r="R346" s="69">
        <f t="shared" si="115"/>
        <v>0</v>
      </c>
      <c r="S346" s="23">
        <f t="shared" si="107"/>
        <v>0</v>
      </c>
    </row>
    <row r="347" spans="1:19" s="45" customFormat="1">
      <c r="A347" s="44" t="s">
        <v>319</v>
      </c>
      <c r="B347" s="45" t="s">
        <v>26</v>
      </c>
      <c r="C347" s="46">
        <v>35</v>
      </c>
      <c r="D347" s="47" t="s">
        <v>43</v>
      </c>
      <c r="E347" s="48">
        <f>5+2+5</f>
        <v>12</v>
      </c>
      <c r="F347" s="49">
        <v>1</v>
      </c>
      <c r="G347" s="50" t="s">
        <v>21</v>
      </c>
      <c r="H347" s="49">
        <v>20</v>
      </c>
      <c r="I347" s="50" t="s">
        <v>43</v>
      </c>
      <c r="J347" s="51">
        <f>504000/20</f>
        <v>25200</v>
      </c>
      <c r="K347" s="47" t="s">
        <v>43</v>
      </c>
      <c r="L347" s="52"/>
      <c r="M347" s="52">
        <v>0.17</v>
      </c>
      <c r="N347" s="46">
        <f>10+40+6+10+20+20+100+4+40</f>
        <v>250</v>
      </c>
      <c r="O347" s="50" t="s">
        <v>43</v>
      </c>
      <c r="P347" s="46">
        <f t="shared" si="114"/>
        <v>25</v>
      </c>
      <c r="Q347" s="50" t="s">
        <v>43</v>
      </c>
      <c r="R347" s="51">
        <f t="shared" si="115"/>
        <v>522900</v>
      </c>
      <c r="S347" s="32">
        <f t="shared" si="107"/>
        <v>471081.08108108107</v>
      </c>
    </row>
    <row r="348" spans="1:19" s="63" customFormat="1">
      <c r="A348" s="72" t="s">
        <v>320</v>
      </c>
      <c r="B348" s="63" t="s">
        <v>26</v>
      </c>
      <c r="C348" s="64"/>
      <c r="D348" s="65" t="s">
        <v>43</v>
      </c>
      <c r="E348" s="66"/>
      <c r="F348" s="67">
        <v>1</v>
      </c>
      <c r="G348" s="68" t="s">
        <v>21</v>
      </c>
      <c r="H348" s="67">
        <v>20</v>
      </c>
      <c r="I348" s="68" t="s">
        <v>43</v>
      </c>
      <c r="J348" s="69">
        <f>480000/20</f>
        <v>24000</v>
      </c>
      <c r="K348" s="65" t="s">
        <v>43</v>
      </c>
      <c r="L348" s="70"/>
      <c r="M348" s="70">
        <v>0.17</v>
      </c>
      <c r="N348" s="64"/>
      <c r="O348" s="68" t="s">
        <v>43</v>
      </c>
      <c r="P348" s="64">
        <f t="shared" si="114"/>
        <v>0</v>
      </c>
      <c r="Q348" s="68" t="s">
        <v>43</v>
      </c>
      <c r="R348" s="69">
        <f t="shared" si="115"/>
        <v>0</v>
      </c>
      <c r="S348" s="23">
        <f t="shared" si="107"/>
        <v>0</v>
      </c>
    </row>
    <row r="349" spans="1:19">
      <c r="A349" s="15" t="s">
        <v>321</v>
      </c>
      <c r="S349" s="23">
        <f t="shared" si="107"/>
        <v>0</v>
      </c>
    </row>
    <row r="350" spans="1:19" s="17" customFormat="1">
      <c r="A350" s="16" t="s">
        <v>322</v>
      </c>
      <c r="B350" s="17" t="s">
        <v>19</v>
      </c>
      <c r="C350" s="18"/>
      <c r="D350" s="19" t="s">
        <v>34</v>
      </c>
      <c r="E350" s="20">
        <v>1</v>
      </c>
      <c r="F350" s="21">
        <v>1</v>
      </c>
      <c r="G350" s="22" t="s">
        <v>21</v>
      </c>
      <c r="H350" s="21">
        <v>64</v>
      </c>
      <c r="I350" s="22" t="s">
        <v>34</v>
      </c>
      <c r="J350" s="23">
        <f>2200*12</f>
        <v>26400</v>
      </c>
      <c r="K350" s="19" t="s">
        <v>34</v>
      </c>
      <c r="L350" s="24">
        <v>0.125</v>
      </c>
      <c r="M350" s="24">
        <v>0.05</v>
      </c>
      <c r="N350" s="18">
        <v>64</v>
      </c>
      <c r="O350" s="22" t="s">
        <v>34</v>
      </c>
      <c r="P350" s="18">
        <f t="shared" ref="P350:P358" si="116">(C350+(E350*F350*H350))-N350</f>
        <v>0</v>
      </c>
      <c r="Q350" s="22" t="s">
        <v>34</v>
      </c>
      <c r="R350" s="23">
        <f t="shared" ref="R350:R358" si="117">P350*(J350-(J350*L350)-((J350-(J350*L350))*M350))</f>
        <v>0</v>
      </c>
      <c r="S350" s="23">
        <f t="shared" si="107"/>
        <v>0</v>
      </c>
    </row>
    <row r="351" spans="1:19" s="26" customFormat="1">
      <c r="A351" s="25" t="s">
        <v>323</v>
      </c>
      <c r="B351" s="26" t="s">
        <v>19</v>
      </c>
      <c r="C351" s="27">
        <v>44</v>
      </c>
      <c r="D351" s="28" t="s">
        <v>34</v>
      </c>
      <c r="E351" s="29"/>
      <c r="F351" s="30">
        <v>1</v>
      </c>
      <c r="G351" s="31" t="s">
        <v>21</v>
      </c>
      <c r="H351" s="30">
        <v>54</v>
      </c>
      <c r="I351" s="31" t="s">
        <v>34</v>
      </c>
      <c r="J351" s="32">
        <f>3400*12</f>
        <v>40800</v>
      </c>
      <c r="K351" s="28" t="s">
        <v>34</v>
      </c>
      <c r="L351" s="33">
        <v>0.125</v>
      </c>
      <c r="M351" s="33">
        <v>0.05</v>
      </c>
      <c r="N351" s="27"/>
      <c r="O351" s="31" t="s">
        <v>34</v>
      </c>
      <c r="P351" s="27">
        <f t="shared" si="116"/>
        <v>44</v>
      </c>
      <c r="Q351" s="31" t="s">
        <v>34</v>
      </c>
      <c r="R351" s="32">
        <f t="shared" si="117"/>
        <v>1492260</v>
      </c>
      <c r="S351" s="32">
        <f t="shared" si="107"/>
        <v>1344378.3783783782</v>
      </c>
    </row>
    <row r="352" spans="1:19" s="45" customFormat="1">
      <c r="A352" s="44" t="s">
        <v>324</v>
      </c>
      <c r="B352" s="45" t="s">
        <v>19</v>
      </c>
      <c r="C352" s="46">
        <v>72</v>
      </c>
      <c r="D352" s="47" t="s">
        <v>34</v>
      </c>
      <c r="E352" s="48"/>
      <c r="F352" s="49">
        <v>1</v>
      </c>
      <c r="G352" s="50" t="s">
        <v>21</v>
      </c>
      <c r="H352" s="49">
        <v>36</v>
      </c>
      <c r="I352" s="50" t="s">
        <v>34</v>
      </c>
      <c r="J352" s="51">
        <f>2200*24</f>
        <v>52800</v>
      </c>
      <c r="K352" s="47" t="s">
        <v>34</v>
      </c>
      <c r="L352" s="52">
        <v>0.125</v>
      </c>
      <c r="M352" s="52">
        <v>0.05</v>
      </c>
      <c r="N352" s="46"/>
      <c r="O352" s="50" t="s">
        <v>34</v>
      </c>
      <c r="P352" s="46">
        <f t="shared" si="116"/>
        <v>72</v>
      </c>
      <c r="Q352" s="50" t="s">
        <v>34</v>
      </c>
      <c r="R352" s="51">
        <f t="shared" si="117"/>
        <v>3160080</v>
      </c>
      <c r="S352" s="32">
        <f t="shared" si="107"/>
        <v>2846918.9189189188</v>
      </c>
    </row>
    <row r="353" spans="1:19" s="17" customFormat="1">
      <c r="A353" s="16" t="s">
        <v>325</v>
      </c>
      <c r="B353" s="17" t="s">
        <v>19</v>
      </c>
      <c r="C353" s="18"/>
      <c r="D353" s="19" t="s">
        <v>34</v>
      </c>
      <c r="E353" s="20"/>
      <c r="F353" s="21">
        <v>1</v>
      </c>
      <c r="G353" s="22" t="s">
        <v>21</v>
      </c>
      <c r="H353" s="21">
        <v>32</v>
      </c>
      <c r="I353" s="22" t="s">
        <v>34</v>
      </c>
      <c r="J353" s="23">
        <f>1300*12</f>
        <v>15600</v>
      </c>
      <c r="K353" s="19" t="s">
        <v>34</v>
      </c>
      <c r="L353" s="24">
        <v>0.125</v>
      </c>
      <c r="M353" s="24">
        <v>0.05</v>
      </c>
      <c r="N353" s="18"/>
      <c r="O353" s="22" t="s">
        <v>34</v>
      </c>
      <c r="P353" s="18">
        <f t="shared" si="116"/>
        <v>0</v>
      </c>
      <c r="Q353" s="22" t="s">
        <v>34</v>
      </c>
      <c r="R353" s="23">
        <f t="shared" si="117"/>
        <v>0</v>
      </c>
      <c r="S353" s="23">
        <f t="shared" si="107"/>
        <v>0</v>
      </c>
    </row>
    <row r="354" spans="1:19" s="63" customFormat="1">
      <c r="A354" s="111" t="s">
        <v>326</v>
      </c>
      <c r="B354" s="63" t="s">
        <v>19</v>
      </c>
      <c r="C354" s="64"/>
      <c r="D354" s="65" t="s">
        <v>34</v>
      </c>
      <c r="E354" s="66"/>
      <c r="F354" s="67">
        <v>1</v>
      </c>
      <c r="G354" s="68" t="s">
        <v>21</v>
      </c>
      <c r="H354" s="67">
        <v>36</v>
      </c>
      <c r="I354" s="68" t="s">
        <v>34</v>
      </c>
      <c r="J354" s="69">
        <f>2300*24</f>
        <v>55200</v>
      </c>
      <c r="K354" s="65" t="s">
        <v>34</v>
      </c>
      <c r="L354" s="70">
        <v>0.125</v>
      </c>
      <c r="M354" s="70">
        <v>0.05</v>
      </c>
      <c r="N354" s="64"/>
      <c r="O354" s="68" t="s">
        <v>34</v>
      </c>
      <c r="P354" s="64">
        <f>(C354+(E354*F354*H354))-N354</f>
        <v>0</v>
      </c>
      <c r="Q354" s="68" t="s">
        <v>34</v>
      </c>
      <c r="R354" s="69">
        <f t="shared" si="117"/>
        <v>0</v>
      </c>
      <c r="S354" s="23">
        <f t="shared" si="107"/>
        <v>0</v>
      </c>
    </row>
    <row r="355" spans="1:19" s="63" customFormat="1">
      <c r="A355" s="111" t="s">
        <v>327</v>
      </c>
      <c r="B355" s="63" t="s">
        <v>19</v>
      </c>
      <c r="C355" s="64"/>
      <c r="D355" s="65" t="s">
        <v>34</v>
      </c>
      <c r="E355" s="66">
        <v>5</v>
      </c>
      <c r="F355" s="67">
        <v>1</v>
      </c>
      <c r="G355" s="68" t="s">
        <v>21</v>
      </c>
      <c r="H355" s="67">
        <v>36</v>
      </c>
      <c r="I355" s="68" t="s">
        <v>34</v>
      </c>
      <c r="J355" s="69">
        <f>2450*24</f>
        <v>58800</v>
      </c>
      <c r="K355" s="65" t="s">
        <v>34</v>
      </c>
      <c r="L355" s="70">
        <v>0.125</v>
      </c>
      <c r="M355" s="70">
        <v>0.05</v>
      </c>
      <c r="N355" s="64">
        <f>(360*12/24)</f>
        <v>180</v>
      </c>
      <c r="O355" s="68" t="s">
        <v>34</v>
      </c>
      <c r="P355" s="64">
        <f>(C355+(E355*F355*H355))-N355</f>
        <v>0</v>
      </c>
      <c r="Q355" s="68" t="s">
        <v>34</v>
      </c>
      <c r="R355" s="69">
        <f t="shared" si="117"/>
        <v>0</v>
      </c>
      <c r="S355" s="23">
        <f t="shared" si="107"/>
        <v>0</v>
      </c>
    </row>
    <row r="356" spans="1:19" s="63" customFormat="1">
      <c r="A356" s="72" t="s">
        <v>328</v>
      </c>
      <c r="B356" s="63" t="s">
        <v>26</v>
      </c>
      <c r="C356" s="64">
        <v>2</v>
      </c>
      <c r="D356" s="65" t="s">
        <v>34</v>
      </c>
      <c r="E356" s="66">
        <f>1+2</f>
        <v>3</v>
      </c>
      <c r="F356" s="67">
        <v>1</v>
      </c>
      <c r="G356" s="68" t="s">
        <v>21</v>
      </c>
      <c r="H356" s="67">
        <v>36</v>
      </c>
      <c r="I356" s="68" t="s">
        <v>34</v>
      </c>
      <c r="J356" s="69">
        <f>2376000/36</f>
        <v>66000</v>
      </c>
      <c r="K356" s="65" t="s">
        <v>34</v>
      </c>
      <c r="L356" s="70"/>
      <c r="M356" s="70">
        <v>0.17</v>
      </c>
      <c r="N356" s="64">
        <f>36+36+2+36</f>
        <v>110</v>
      </c>
      <c r="O356" s="68" t="s">
        <v>34</v>
      </c>
      <c r="P356" s="64">
        <f t="shared" si="116"/>
        <v>0</v>
      </c>
      <c r="Q356" s="68" t="s">
        <v>34</v>
      </c>
      <c r="R356" s="69">
        <f t="shared" si="117"/>
        <v>0</v>
      </c>
      <c r="S356" s="69">
        <f t="shared" si="107"/>
        <v>0</v>
      </c>
    </row>
    <row r="357" spans="1:19">
      <c r="A357" s="34" t="s">
        <v>329</v>
      </c>
      <c r="B357" s="2" t="s">
        <v>26</v>
      </c>
      <c r="C357" s="3">
        <v>118</v>
      </c>
      <c r="D357" s="4" t="s">
        <v>34</v>
      </c>
      <c r="E357" s="5">
        <f>2+2+2</f>
        <v>6</v>
      </c>
      <c r="F357" s="6">
        <v>1</v>
      </c>
      <c r="G357" s="7" t="s">
        <v>21</v>
      </c>
      <c r="H357" s="6">
        <v>36</v>
      </c>
      <c r="I357" s="7" t="s">
        <v>34</v>
      </c>
      <c r="J357" s="8">
        <f>2592000/36</f>
        <v>72000</v>
      </c>
      <c r="K357" s="4" t="s">
        <v>34</v>
      </c>
      <c r="M357" s="9">
        <v>0.17</v>
      </c>
      <c r="N357" s="3">
        <f>36+36+1+10+15+36+36+36</f>
        <v>206</v>
      </c>
      <c r="O357" s="7" t="s">
        <v>34</v>
      </c>
      <c r="P357" s="3">
        <f t="shared" si="116"/>
        <v>128</v>
      </c>
      <c r="Q357" s="7" t="s">
        <v>34</v>
      </c>
      <c r="R357" s="8">
        <f t="shared" si="117"/>
        <v>7649280</v>
      </c>
      <c r="S357" s="32">
        <f t="shared" si="107"/>
        <v>6891243.2432432426</v>
      </c>
    </row>
    <row r="358" spans="1:19" s="63" customFormat="1">
      <c r="A358" s="72" t="s">
        <v>330</v>
      </c>
      <c r="B358" s="63" t="s">
        <v>26</v>
      </c>
      <c r="C358" s="64"/>
      <c r="D358" s="65" t="s">
        <v>34</v>
      </c>
      <c r="E358" s="66">
        <v>2</v>
      </c>
      <c r="F358" s="67">
        <v>1</v>
      </c>
      <c r="G358" s="68" t="s">
        <v>21</v>
      </c>
      <c r="H358" s="67">
        <v>36</v>
      </c>
      <c r="I358" s="68" t="s">
        <v>34</v>
      </c>
      <c r="J358" s="69">
        <f>2160000/36</f>
        <v>60000</v>
      </c>
      <c r="K358" s="65" t="s">
        <v>34</v>
      </c>
      <c r="L358" s="70"/>
      <c r="M358" s="70">
        <v>0.17</v>
      </c>
      <c r="N358" s="64">
        <f>5+36+3+5+3+20</f>
        <v>72</v>
      </c>
      <c r="O358" s="68" t="s">
        <v>34</v>
      </c>
      <c r="P358" s="64">
        <f t="shared" si="116"/>
        <v>0</v>
      </c>
      <c r="Q358" s="68" t="s">
        <v>34</v>
      </c>
      <c r="R358" s="69">
        <f t="shared" si="117"/>
        <v>0</v>
      </c>
      <c r="S358" s="23">
        <f t="shared" si="107"/>
        <v>0</v>
      </c>
    </row>
    <row r="359" spans="1:19">
      <c r="A359" s="15" t="s">
        <v>331</v>
      </c>
      <c r="S359" s="23"/>
    </row>
    <row r="360" spans="1:19" s="63" customFormat="1">
      <c r="A360" s="72" t="s">
        <v>332</v>
      </c>
      <c r="B360" s="63" t="s">
        <v>26</v>
      </c>
      <c r="C360" s="64">
        <v>1</v>
      </c>
      <c r="D360" s="65" t="s">
        <v>108</v>
      </c>
      <c r="E360" s="66"/>
      <c r="F360" s="67">
        <v>1</v>
      </c>
      <c r="G360" s="68" t="s">
        <v>21</v>
      </c>
      <c r="H360" s="67">
        <v>60</v>
      </c>
      <c r="I360" s="68" t="s">
        <v>108</v>
      </c>
      <c r="J360" s="69">
        <v>18600</v>
      </c>
      <c r="K360" s="65" t="s">
        <v>108</v>
      </c>
      <c r="L360" s="70"/>
      <c r="M360" s="70">
        <v>0.17</v>
      </c>
      <c r="N360" s="64">
        <v>1</v>
      </c>
      <c r="O360" s="68" t="s">
        <v>108</v>
      </c>
      <c r="P360" s="64">
        <f>(C360+(E360*F360*H360))-N360</f>
        <v>0</v>
      </c>
      <c r="Q360" s="68" t="s">
        <v>108</v>
      </c>
      <c r="R360" s="69">
        <f>P360*(J360-(J360*L360)-((J360-(J360*L360))*M360))</f>
        <v>0</v>
      </c>
      <c r="S360" s="23">
        <f t="shared" si="107"/>
        <v>0</v>
      </c>
    </row>
    <row r="361" spans="1:19">
      <c r="A361" s="15" t="s">
        <v>333</v>
      </c>
      <c r="S361" s="23"/>
    </row>
    <row r="362" spans="1:19" s="45" customFormat="1">
      <c r="A362" s="44" t="s">
        <v>334</v>
      </c>
      <c r="B362" s="45" t="s">
        <v>335</v>
      </c>
      <c r="C362" s="46">
        <v>684</v>
      </c>
      <c r="D362" s="47" t="s">
        <v>336</v>
      </c>
      <c r="E362" s="48"/>
      <c r="F362" s="49">
        <v>1</v>
      </c>
      <c r="G362" s="50" t="s">
        <v>21</v>
      </c>
      <c r="H362" s="49">
        <v>25</v>
      </c>
      <c r="I362" s="50" t="s">
        <v>336</v>
      </c>
      <c r="J362" s="51">
        <v>55000</v>
      </c>
      <c r="K362" s="47" t="s">
        <v>336</v>
      </c>
      <c r="L362" s="52"/>
      <c r="M362" s="52"/>
      <c r="N362" s="46">
        <f>2+5+1+3</f>
        <v>11</v>
      </c>
      <c r="O362" s="50" t="s">
        <v>336</v>
      </c>
      <c r="P362" s="46">
        <f>(C362+(E362*F362*H362))-N362</f>
        <v>673</v>
      </c>
      <c r="Q362" s="50" t="s">
        <v>336</v>
      </c>
      <c r="R362" s="51">
        <f>P362*(J362-(J362*L362)-((J362-(J362*L362))*M362))</f>
        <v>37015000</v>
      </c>
      <c r="S362" s="32">
        <f t="shared" si="107"/>
        <v>33346846.846846845</v>
      </c>
    </row>
    <row r="363" spans="1:19">
      <c r="S363" s="23"/>
    </row>
    <row r="364" spans="1:19" ht="15.75">
      <c r="A364" s="14" t="s">
        <v>337</v>
      </c>
      <c r="S364" s="23"/>
    </row>
    <row r="365" spans="1:19" s="17" customFormat="1">
      <c r="A365" s="16" t="s">
        <v>338</v>
      </c>
      <c r="B365" s="17" t="s">
        <v>19</v>
      </c>
      <c r="C365" s="18">
        <v>667</v>
      </c>
      <c r="D365" s="19" t="s">
        <v>104</v>
      </c>
      <c r="E365" s="20"/>
      <c r="F365" s="21">
        <v>1</v>
      </c>
      <c r="G365" s="22" t="s">
        <v>21</v>
      </c>
      <c r="H365" s="21">
        <v>192</v>
      </c>
      <c r="I365" s="22" t="s">
        <v>104</v>
      </c>
      <c r="J365" s="23">
        <v>3450</v>
      </c>
      <c r="K365" s="19" t="s">
        <v>104</v>
      </c>
      <c r="L365" s="24">
        <v>0.125</v>
      </c>
      <c r="M365" s="24">
        <v>0.05</v>
      </c>
      <c r="N365" s="18">
        <f>50+192+192+192+41</f>
        <v>667</v>
      </c>
      <c r="O365" s="22" t="s">
        <v>104</v>
      </c>
      <c r="P365" s="18">
        <f t="shared" ref="P365:P374" si="118">(C365+(E365*F365*H365))-N365</f>
        <v>0</v>
      </c>
      <c r="Q365" s="22" t="s">
        <v>104</v>
      </c>
      <c r="R365" s="23">
        <f t="shared" ref="R365:R374" si="119">P365*(J365-(J365*L365)-((J365-(J365*L365))*M365))</f>
        <v>0</v>
      </c>
      <c r="S365" s="23">
        <f t="shared" ref="S365:S435" si="120">R365/1.11</f>
        <v>0</v>
      </c>
    </row>
    <row r="366" spans="1:19" s="17" customFormat="1">
      <c r="A366" s="16" t="s">
        <v>339</v>
      </c>
      <c r="B366" s="17" t="s">
        <v>19</v>
      </c>
      <c r="C366" s="18">
        <v>260</v>
      </c>
      <c r="D366" s="19" t="s">
        <v>104</v>
      </c>
      <c r="E366" s="20"/>
      <c r="F366" s="21">
        <v>1</v>
      </c>
      <c r="G366" s="22" t="s">
        <v>21</v>
      </c>
      <c r="H366" s="21">
        <v>160</v>
      </c>
      <c r="I366" s="22" t="s">
        <v>104</v>
      </c>
      <c r="J366" s="23">
        <v>5400</v>
      </c>
      <c r="K366" s="19" t="s">
        <v>104</v>
      </c>
      <c r="L366" s="24">
        <v>0.125</v>
      </c>
      <c r="M366" s="24">
        <v>0.05</v>
      </c>
      <c r="N366" s="18">
        <f>100+160</f>
        <v>260</v>
      </c>
      <c r="O366" s="22" t="s">
        <v>104</v>
      </c>
      <c r="P366" s="18">
        <f t="shared" si="118"/>
        <v>0</v>
      </c>
      <c r="Q366" s="22" t="s">
        <v>104</v>
      </c>
      <c r="R366" s="23">
        <f t="shared" si="119"/>
        <v>0</v>
      </c>
      <c r="S366" s="23">
        <f t="shared" si="120"/>
        <v>0</v>
      </c>
    </row>
    <row r="367" spans="1:19" s="17" customFormat="1">
      <c r="A367" s="95" t="s">
        <v>341</v>
      </c>
      <c r="B367" s="96" t="s">
        <v>19</v>
      </c>
      <c r="C367" s="97">
        <v>43</v>
      </c>
      <c r="D367" s="98" t="s">
        <v>104</v>
      </c>
      <c r="E367" s="105"/>
      <c r="F367" s="100">
        <v>1</v>
      </c>
      <c r="G367" s="101" t="s">
        <v>21</v>
      </c>
      <c r="H367" s="100">
        <v>96</v>
      </c>
      <c r="I367" s="101" t="s">
        <v>104</v>
      </c>
      <c r="J367" s="102">
        <v>6600</v>
      </c>
      <c r="K367" s="98" t="s">
        <v>104</v>
      </c>
      <c r="L367" s="103">
        <v>0.125</v>
      </c>
      <c r="M367" s="103">
        <v>0.05</v>
      </c>
      <c r="N367" s="97">
        <f>480-437</f>
        <v>43</v>
      </c>
      <c r="O367" s="101" t="s">
        <v>104</v>
      </c>
      <c r="P367" s="97">
        <f t="shared" si="118"/>
        <v>0</v>
      </c>
      <c r="Q367" s="101" t="s">
        <v>104</v>
      </c>
      <c r="R367" s="102">
        <f t="shared" si="119"/>
        <v>0</v>
      </c>
      <c r="S367" s="102">
        <f t="shared" si="120"/>
        <v>0</v>
      </c>
    </row>
    <row r="368" spans="1:19" s="26" customFormat="1">
      <c r="A368" s="35" t="s">
        <v>341</v>
      </c>
      <c r="B368" s="36" t="s">
        <v>19</v>
      </c>
      <c r="C368" s="37"/>
      <c r="D368" s="38" t="s">
        <v>104</v>
      </c>
      <c r="E368" s="39">
        <v>5</v>
      </c>
      <c r="F368" s="40">
        <v>1</v>
      </c>
      <c r="G368" s="41" t="s">
        <v>21</v>
      </c>
      <c r="H368" s="40">
        <v>96</v>
      </c>
      <c r="I368" s="41" t="s">
        <v>104</v>
      </c>
      <c r="J368" s="42">
        <v>7000</v>
      </c>
      <c r="K368" s="38" t="s">
        <v>104</v>
      </c>
      <c r="L368" s="43">
        <v>0.125</v>
      </c>
      <c r="M368" s="43">
        <v>0.05</v>
      </c>
      <c r="N368" s="37">
        <f>(480-43)</f>
        <v>437</v>
      </c>
      <c r="O368" s="41" t="s">
        <v>104</v>
      </c>
      <c r="P368" s="37">
        <f t="shared" ref="P368" si="121">(C368+(E368*F368*H368))-N368</f>
        <v>43</v>
      </c>
      <c r="Q368" s="41" t="s">
        <v>104</v>
      </c>
      <c r="R368" s="42">
        <f t="shared" ref="R368" si="122">P368*(J368-(J368*L368)-((J368-(J368*L368))*M368))</f>
        <v>250206.25</v>
      </c>
      <c r="S368" s="42">
        <f t="shared" ref="S368" si="123">R368/1.11</f>
        <v>225411.03603603601</v>
      </c>
    </row>
    <row r="369" spans="1:20" s="17" customFormat="1">
      <c r="A369" s="16" t="s">
        <v>342</v>
      </c>
      <c r="B369" s="17" t="s">
        <v>19</v>
      </c>
      <c r="C369" s="18">
        <f>393+46</f>
        <v>439</v>
      </c>
      <c r="D369" s="19" t="s">
        <v>104</v>
      </c>
      <c r="E369" s="20"/>
      <c r="F369" s="21">
        <v>1</v>
      </c>
      <c r="G369" s="22" t="s">
        <v>21</v>
      </c>
      <c r="H369" s="21">
        <v>80</v>
      </c>
      <c r="I369" s="22" t="s">
        <v>104</v>
      </c>
      <c r="J369" s="23">
        <v>10200</v>
      </c>
      <c r="K369" s="19" t="s">
        <v>104</v>
      </c>
      <c r="L369" s="24">
        <v>0.125</v>
      </c>
      <c r="M369" s="24">
        <v>0.05</v>
      </c>
      <c r="N369" s="18">
        <f>80+39+320</f>
        <v>439</v>
      </c>
      <c r="O369" s="22" t="s">
        <v>104</v>
      </c>
      <c r="P369" s="18">
        <f t="shared" si="118"/>
        <v>0</v>
      </c>
      <c r="Q369" s="22" t="s">
        <v>104</v>
      </c>
      <c r="R369" s="23">
        <f t="shared" si="119"/>
        <v>0</v>
      </c>
      <c r="S369" s="23">
        <f t="shared" si="120"/>
        <v>0</v>
      </c>
    </row>
    <row r="370" spans="1:20" s="26" customFormat="1">
      <c r="A370" s="25" t="s">
        <v>343</v>
      </c>
      <c r="B370" s="26" t="s">
        <v>26</v>
      </c>
      <c r="C370" s="27"/>
      <c r="D370" s="28" t="s">
        <v>104</v>
      </c>
      <c r="E370" s="29">
        <v>7</v>
      </c>
      <c r="F370" s="30">
        <v>1</v>
      </c>
      <c r="G370" s="31" t="s">
        <v>21</v>
      </c>
      <c r="H370" s="30">
        <v>192</v>
      </c>
      <c r="I370" s="31" t="s">
        <v>104</v>
      </c>
      <c r="J370" s="32">
        <f>729600/192</f>
        <v>3800</v>
      </c>
      <c r="K370" s="28" t="s">
        <v>104</v>
      </c>
      <c r="L370" s="33"/>
      <c r="M370" s="33">
        <v>0.17</v>
      </c>
      <c r="N370" s="27">
        <v>192</v>
      </c>
      <c r="O370" s="31" t="s">
        <v>104</v>
      </c>
      <c r="P370" s="27">
        <f t="shared" si="118"/>
        <v>1152</v>
      </c>
      <c r="Q370" s="31" t="s">
        <v>104</v>
      </c>
      <c r="R370" s="32">
        <f t="shared" si="119"/>
        <v>3633408</v>
      </c>
      <c r="S370" s="32">
        <f t="shared" si="120"/>
        <v>3273340.5405405401</v>
      </c>
    </row>
    <row r="371" spans="1:20" s="45" customFormat="1">
      <c r="A371" s="44" t="s">
        <v>344</v>
      </c>
      <c r="B371" s="45" t="s">
        <v>26</v>
      </c>
      <c r="C371" s="46">
        <v>126</v>
      </c>
      <c r="D371" s="47" t="s">
        <v>104</v>
      </c>
      <c r="E371" s="48"/>
      <c r="F371" s="49">
        <v>1</v>
      </c>
      <c r="G371" s="50" t="s">
        <v>21</v>
      </c>
      <c r="H371" s="49">
        <v>96</v>
      </c>
      <c r="I371" s="50" t="s">
        <v>104</v>
      </c>
      <c r="J371" s="51">
        <f>700800/96</f>
        <v>7300</v>
      </c>
      <c r="K371" s="47" t="s">
        <v>104</v>
      </c>
      <c r="L371" s="52"/>
      <c r="M371" s="52">
        <v>0.17</v>
      </c>
      <c r="N371" s="46">
        <v>1</v>
      </c>
      <c r="O371" s="50" t="s">
        <v>104</v>
      </c>
      <c r="P371" s="46">
        <f t="shared" si="118"/>
        <v>125</v>
      </c>
      <c r="Q371" s="50" t="s">
        <v>104</v>
      </c>
      <c r="R371" s="51">
        <f t="shared" si="119"/>
        <v>757375</v>
      </c>
      <c r="S371" s="51">
        <f t="shared" si="120"/>
        <v>682319.81981981976</v>
      </c>
    </row>
    <row r="372" spans="1:20" s="17" customFormat="1">
      <c r="A372" s="16" t="s">
        <v>345</v>
      </c>
      <c r="B372" s="17" t="s">
        <v>26</v>
      </c>
      <c r="C372" s="18"/>
      <c r="D372" s="19" t="s">
        <v>104</v>
      </c>
      <c r="E372" s="20">
        <v>1</v>
      </c>
      <c r="F372" s="21">
        <v>1</v>
      </c>
      <c r="G372" s="22" t="s">
        <v>21</v>
      </c>
      <c r="H372" s="21">
        <v>160</v>
      </c>
      <c r="I372" s="22" t="s">
        <v>104</v>
      </c>
      <c r="J372" s="23">
        <f>960000/160</f>
        <v>6000</v>
      </c>
      <c r="K372" s="19" t="s">
        <v>104</v>
      </c>
      <c r="L372" s="24"/>
      <c r="M372" s="24">
        <v>0.17</v>
      </c>
      <c r="N372" s="18">
        <v>160</v>
      </c>
      <c r="O372" s="22" t="s">
        <v>104</v>
      </c>
      <c r="P372" s="18">
        <f t="shared" si="118"/>
        <v>0</v>
      </c>
      <c r="Q372" s="22" t="s">
        <v>104</v>
      </c>
      <c r="R372" s="23">
        <f t="shared" si="119"/>
        <v>0</v>
      </c>
      <c r="S372" s="23">
        <f t="shared" si="120"/>
        <v>0</v>
      </c>
    </row>
    <row r="373" spans="1:20">
      <c r="A373" s="159" t="s">
        <v>346</v>
      </c>
      <c r="B373" s="160" t="s">
        <v>26</v>
      </c>
      <c r="C373" s="161">
        <v>4</v>
      </c>
      <c r="D373" s="162" t="s">
        <v>104</v>
      </c>
      <c r="E373" s="163"/>
      <c r="F373" s="164">
        <v>1</v>
      </c>
      <c r="G373" s="165" t="s">
        <v>21</v>
      </c>
      <c r="H373" s="164">
        <v>80</v>
      </c>
      <c r="I373" s="165" t="s">
        <v>104</v>
      </c>
      <c r="J373" s="166">
        <f>852000/80</f>
        <v>10650</v>
      </c>
      <c r="K373" s="162" t="s">
        <v>104</v>
      </c>
      <c r="L373" s="167"/>
      <c r="M373" s="167">
        <v>0.17</v>
      </c>
      <c r="N373" s="161"/>
      <c r="O373" s="165" t="s">
        <v>104</v>
      </c>
      <c r="P373" s="161">
        <f t="shared" si="118"/>
        <v>4</v>
      </c>
      <c r="Q373" s="165" t="s">
        <v>104</v>
      </c>
      <c r="R373" s="166">
        <f t="shared" si="119"/>
        <v>35358</v>
      </c>
      <c r="S373" s="42">
        <f t="shared" si="120"/>
        <v>31854.05405405405</v>
      </c>
    </row>
    <row r="374" spans="1:20">
      <c r="A374" s="159" t="s">
        <v>346</v>
      </c>
      <c r="B374" s="160" t="s">
        <v>26</v>
      </c>
      <c r="C374" s="161">
        <v>160</v>
      </c>
      <c r="D374" s="162" t="s">
        <v>104</v>
      </c>
      <c r="E374" s="163"/>
      <c r="F374" s="164">
        <v>1</v>
      </c>
      <c r="G374" s="165" t="s">
        <v>21</v>
      </c>
      <c r="H374" s="164">
        <v>80</v>
      </c>
      <c r="I374" s="165" t="s">
        <v>104</v>
      </c>
      <c r="J374" s="166">
        <f>912000/80</f>
        <v>11400</v>
      </c>
      <c r="K374" s="162" t="s">
        <v>104</v>
      </c>
      <c r="L374" s="167"/>
      <c r="M374" s="167">
        <v>0.17</v>
      </c>
      <c r="N374" s="161"/>
      <c r="O374" s="165" t="s">
        <v>104</v>
      </c>
      <c r="P374" s="161">
        <f t="shared" si="118"/>
        <v>160</v>
      </c>
      <c r="Q374" s="165" t="s">
        <v>104</v>
      </c>
      <c r="R374" s="166">
        <f t="shared" si="119"/>
        <v>1513920</v>
      </c>
      <c r="S374" s="42">
        <f t="shared" si="120"/>
        <v>1363891.8918918918</v>
      </c>
    </row>
    <row r="375" spans="1:20">
      <c r="S375" s="23"/>
    </row>
    <row r="376" spans="1:20" ht="15.75">
      <c r="A376" s="14" t="s">
        <v>225</v>
      </c>
      <c r="L376" s="112"/>
      <c r="M376" s="112"/>
      <c r="S376" s="23"/>
    </row>
    <row r="377" spans="1:20">
      <c r="A377" s="15" t="s">
        <v>225</v>
      </c>
      <c r="L377" s="112"/>
      <c r="M377" s="112"/>
      <c r="S377" s="23"/>
    </row>
    <row r="378" spans="1:20" s="26" customFormat="1">
      <c r="A378" s="25" t="s">
        <v>347</v>
      </c>
      <c r="B378" s="26" t="s">
        <v>19</v>
      </c>
      <c r="C378" s="27">
        <v>1</v>
      </c>
      <c r="D378" s="28" t="s">
        <v>20</v>
      </c>
      <c r="E378" s="29"/>
      <c r="F378" s="30">
        <v>1</v>
      </c>
      <c r="G378" s="31" t="s">
        <v>21</v>
      </c>
      <c r="H378" s="30">
        <v>48</v>
      </c>
      <c r="I378" s="31" t="s">
        <v>20</v>
      </c>
      <c r="J378" s="32">
        <v>17000</v>
      </c>
      <c r="K378" s="28" t="s">
        <v>20</v>
      </c>
      <c r="L378" s="33">
        <v>0.125</v>
      </c>
      <c r="M378" s="33">
        <v>0.05</v>
      </c>
      <c r="N378" s="27"/>
      <c r="O378" s="31" t="s">
        <v>20</v>
      </c>
      <c r="P378" s="27">
        <f>(C378+(E378*F378*H378))-N378</f>
        <v>1</v>
      </c>
      <c r="Q378" s="31" t="s">
        <v>20</v>
      </c>
      <c r="R378" s="32">
        <f>P378*(J378-(J378*L378)-((J378-(J378*L378))*M378))</f>
        <v>14131.25</v>
      </c>
      <c r="S378" s="32">
        <f t="shared" si="120"/>
        <v>12730.855855855854</v>
      </c>
      <c r="T378" s="32"/>
    </row>
    <row r="379" spans="1:20">
      <c r="S379" s="32"/>
    </row>
    <row r="380" spans="1:20" ht="15.75">
      <c r="A380" s="14" t="s">
        <v>348</v>
      </c>
      <c r="L380" s="112"/>
      <c r="M380" s="112"/>
      <c r="S380" s="32"/>
    </row>
    <row r="381" spans="1:20">
      <c r="A381" s="15" t="s">
        <v>349</v>
      </c>
      <c r="L381" s="112"/>
      <c r="M381" s="112"/>
      <c r="S381" s="32"/>
    </row>
    <row r="382" spans="1:20" s="17" customFormat="1">
      <c r="A382" s="16" t="s">
        <v>350</v>
      </c>
      <c r="B382" s="17" t="s">
        <v>19</v>
      </c>
      <c r="C382" s="18"/>
      <c r="D382" s="19" t="s">
        <v>20</v>
      </c>
      <c r="E382" s="20"/>
      <c r="F382" s="21">
        <v>1</v>
      </c>
      <c r="G382" s="22" t="s">
        <v>21</v>
      </c>
      <c r="H382" s="21">
        <v>24</v>
      </c>
      <c r="I382" s="22" t="s">
        <v>20</v>
      </c>
      <c r="J382" s="23">
        <v>35000</v>
      </c>
      <c r="K382" s="19" t="s">
        <v>20</v>
      </c>
      <c r="L382" s="24">
        <v>0.125</v>
      </c>
      <c r="M382" s="24">
        <v>0.05</v>
      </c>
      <c r="N382" s="18"/>
      <c r="O382" s="22" t="s">
        <v>20</v>
      </c>
      <c r="P382" s="18">
        <f t="shared" ref="P382:P390" si="124">(C382+(E382*F382*H382))-N382</f>
        <v>0</v>
      </c>
      <c r="Q382" s="22" t="s">
        <v>20</v>
      </c>
      <c r="R382" s="23">
        <f t="shared" ref="R382:R389" si="125">P382*(J382-(J382*L382)-((J382-(J382*L382))*M382))</f>
        <v>0</v>
      </c>
      <c r="S382" s="23">
        <f t="shared" si="120"/>
        <v>0</v>
      </c>
    </row>
    <row r="383" spans="1:20" s="63" customFormat="1">
      <c r="A383" s="72" t="s">
        <v>351</v>
      </c>
      <c r="B383" s="63" t="s">
        <v>19</v>
      </c>
      <c r="C383" s="231">
        <v>288</v>
      </c>
      <c r="D383" s="65" t="s">
        <v>20</v>
      </c>
      <c r="E383" s="66"/>
      <c r="F383" s="67">
        <v>1</v>
      </c>
      <c r="G383" s="68" t="s">
        <v>21</v>
      </c>
      <c r="H383" s="67">
        <v>72</v>
      </c>
      <c r="I383" s="68" t="s">
        <v>20</v>
      </c>
      <c r="J383" s="69">
        <v>15800</v>
      </c>
      <c r="K383" s="65" t="s">
        <v>20</v>
      </c>
      <c r="L383" s="70">
        <v>0.125</v>
      </c>
      <c r="M383" s="70">
        <v>0.05</v>
      </c>
      <c r="N383" s="64">
        <f>360-72</f>
        <v>288</v>
      </c>
      <c r="O383" s="68" t="s">
        <v>20</v>
      </c>
      <c r="P383" s="64">
        <f t="shared" si="124"/>
        <v>0</v>
      </c>
      <c r="Q383" s="68" t="s">
        <v>20</v>
      </c>
      <c r="R383" s="69">
        <f t="shared" si="125"/>
        <v>0</v>
      </c>
      <c r="S383" s="69">
        <f t="shared" si="120"/>
        <v>0</v>
      </c>
      <c r="T383" s="69"/>
    </row>
    <row r="384" spans="1:20" s="26" customFormat="1">
      <c r="A384" s="25" t="s">
        <v>352</v>
      </c>
      <c r="B384" s="26" t="s">
        <v>19</v>
      </c>
      <c r="C384" s="27">
        <v>516</v>
      </c>
      <c r="D384" s="28" t="s">
        <v>20</v>
      </c>
      <c r="E384" s="29"/>
      <c r="F384" s="30">
        <v>1</v>
      </c>
      <c r="G384" s="31" t="s">
        <v>21</v>
      </c>
      <c r="H384" s="30">
        <v>72</v>
      </c>
      <c r="I384" s="31" t="s">
        <v>20</v>
      </c>
      <c r="J384" s="32">
        <v>15500</v>
      </c>
      <c r="K384" s="28" t="s">
        <v>20</v>
      </c>
      <c r="L384" s="33">
        <v>0.125</v>
      </c>
      <c r="M384" s="33">
        <v>0.05</v>
      </c>
      <c r="N384" s="27">
        <f>(360-288)+12</f>
        <v>84</v>
      </c>
      <c r="O384" s="31" t="s">
        <v>20</v>
      </c>
      <c r="P384" s="27">
        <f t="shared" si="124"/>
        <v>432</v>
      </c>
      <c r="Q384" s="31" t="s">
        <v>20</v>
      </c>
      <c r="R384" s="32">
        <f t="shared" si="125"/>
        <v>5566050</v>
      </c>
      <c r="S384" s="32">
        <f t="shared" si="120"/>
        <v>5014459.4594594594</v>
      </c>
      <c r="T384" s="32"/>
    </row>
    <row r="385" spans="1:20" s="26" customFormat="1">
      <c r="A385" s="35" t="s">
        <v>353</v>
      </c>
      <c r="B385" s="36" t="s">
        <v>19</v>
      </c>
      <c r="C385" s="37">
        <v>324</v>
      </c>
      <c r="D385" s="38" t="s">
        <v>20</v>
      </c>
      <c r="E385" s="39"/>
      <c r="F385" s="40">
        <v>1</v>
      </c>
      <c r="G385" s="41" t="s">
        <v>21</v>
      </c>
      <c r="H385" s="40">
        <v>72</v>
      </c>
      <c r="I385" s="41" t="s">
        <v>20</v>
      </c>
      <c r="J385" s="42">
        <v>20000</v>
      </c>
      <c r="K385" s="38" t="s">
        <v>20</v>
      </c>
      <c r="L385" s="43">
        <v>0.125</v>
      </c>
      <c r="M385" s="43">
        <v>0.05</v>
      </c>
      <c r="N385" s="37">
        <f>36+36+12</f>
        <v>84</v>
      </c>
      <c r="O385" s="41" t="s">
        <v>20</v>
      </c>
      <c r="P385" s="37">
        <f t="shared" si="124"/>
        <v>240</v>
      </c>
      <c r="Q385" s="41" t="s">
        <v>20</v>
      </c>
      <c r="R385" s="42">
        <f t="shared" si="125"/>
        <v>3990000</v>
      </c>
      <c r="S385" s="42">
        <f t="shared" si="120"/>
        <v>3594594.5945945941</v>
      </c>
    </row>
    <row r="386" spans="1:20" s="26" customFormat="1">
      <c r="A386" s="35" t="s">
        <v>353</v>
      </c>
      <c r="B386" s="36" t="s">
        <v>19</v>
      </c>
      <c r="C386" s="37">
        <v>144</v>
      </c>
      <c r="D386" s="38" t="s">
        <v>20</v>
      </c>
      <c r="E386" s="39">
        <f>(1+1+1)</f>
        <v>3</v>
      </c>
      <c r="F386" s="40">
        <v>1</v>
      </c>
      <c r="G386" s="41" t="s">
        <v>21</v>
      </c>
      <c r="H386" s="40">
        <v>72</v>
      </c>
      <c r="I386" s="41" t="s">
        <v>20</v>
      </c>
      <c r="J386" s="42">
        <v>20700</v>
      </c>
      <c r="K386" s="38" t="s">
        <v>20</v>
      </c>
      <c r="L386" s="43">
        <v>0.125</v>
      </c>
      <c r="M386" s="43">
        <v>0.05</v>
      </c>
      <c r="N386" s="37"/>
      <c r="O386" s="41" t="s">
        <v>20</v>
      </c>
      <c r="P386" s="37">
        <f t="shared" si="124"/>
        <v>360</v>
      </c>
      <c r="Q386" s="41" t="s">
        <v>20</v>
      </c>
      <c r="R386" s="42">
        <f t="shared" si="125"/>
        <v>6194475</v>
      </c>
      <c r="S386" s="42">
        <f t="shared" si="120"/>
        <v>5580608.1081081079</v>
      </c>
    </row>
    <row r="387" spans="1:20" s="26" customFormat="1">
      <c r="A387" s="25" t="s">
        <v>354</v>
      </c>
      <c r="B387" s="26" t="s">
        <v>19</v>
      </c>
      <c r="C387" s="27">
        <v>120</v>
      </c>
      <c r="D387" s="28" t="s">
        <v>20</v>
      </c>
      <c r="E387" s="29"/>
      <c r="F387" s="30">
        <v>1</v>
      </c>
      <c r="G387" s="31" t="s">
        <v>21</v>
      </c>
      <c r="H387" s="30">
        <v>72</v>
      </c>
      <c r="I387" s="31" t="s">
        <v>20</v>
      </c>
      <c r="J387" s="32">
        <v>20000</v>
      </c>
      <c r="K387" s="28" t="s">
        <v>20</v>
      </c>
      <c r="L387" s="33">
        <v>0.125</v>
      </c>
      <c r="M387" s="33">
        <v>0.05</v>
      </c>
      <c r="N387" s="27"/>
      <c r="O387" s="31" t="s">
        <v>20</v>
      </c>
      <c r="P387" s="27">
        <f t="shared" si="124"/>
        <v>120</v>
      </c>
      <c r="Q387" s="31" t="s">
        <v>20</v>
      </c>
      <c r="R387" s="32">
        <f t="shared" si="125"/>
        <v>1995000</v>
      </c>
      <c r="S387" s="32">
        <f t="shared" si="120"/>
        <v>1797297.297297297</v>
      </c>
    </row>
    <row r="388" spans="1:20" s="17" customFormat="1">
      <c r="A388" s="16" t="s">
        <v>355</v>
      </c>
      <c r="B388" s="17" t="s">
        <v>26</v>
      </c>
      <c r="C388" s="18"/>
      <c r="D388" s="19" t="s">
        <v>20</v>
      </c>
      <c r="E388" s="20"/>
      <c r="F388" s="21">
        <v>1</v>
      </c>
      <c r="G388" s="22" t="s">
        <v>21</v>
      </c>
      <c r="H388" s="21">
        <v>72</v>
      </c>
      <c r="I388" s="22" t="s">
        <v>20</v>
      </c>
      <c r="J388" s="23">
        <f>1224000/72</f>
        <v>17000</v>
      </c>
      <c r="K388" s="19" t="s">
        <v>20</v>
      </c>
      <c r="L388" s="24"/>
      <c r="M388" s="24">
        <v>0.17</v>
      </c>
      <c r="N388" s="18"/>
      <c r="O388" s="22" t="s">
        <v>20</v>
      </c>
      <c r="P388" s="18">
        <f t="shared" si="124"/>
        <v>0</v>
      </c>
      <c r="Q388" s="22" t="s">
        <v>20</v>
      </c>
      <c r="R388" s="23">
        <f t="shared" si="125"/>
        <v>0</v>
      </c>
      <c r="S388" s="23">
        <f t="shared" si="120"/>
        <v>0</v>
      </c>
    </row>
    <row r="389" spans="1:20" s="26" customFormat="1">
      <c r="A389" s="25" t="s">
        <v>356</v>
      </c>
      <c r="B389" s="2" t="s">
        <v>26</v>
      </c>
      <c r="C389" s="27">
        <v>12</v>
      </c>
      <c r="D389" s="28" t="s">
        <v>20</v>
      </c>
      <c r="E389" s="29"/>
      <c r="F389" s="30">
        <v>1</v>
      </c>
      <c r="G389" s="31" t="s">
        <v>21</v>
      </c>
      <c r="H389" s="30">
        <v>72</v>
      </c>
      <c r="I389" s="31" t="s">
        <v>20</v>
      </c>
      <c r="J389" s="32">
        <f>1512000/72</f>
        <v>21000</v>
      </c>
      <c r="K389" s="28" t="s">
        <v>20</v>
      </c>
      <c r="L389" s="33">
        <v>0.125</v>
      </c>
      <c r="M389" s="33">
        <v>0.05</v>
      </c>
      <c r="N389" s="27"/>
      <c r="O389" s="31" t="s">
        <v>20</v>
      </c>
      <c r="P389" s="27">
        <f t="shared" si="124"/>
        <v>12</v>
      </c>
      <c r="Q389" s="31" t="s">
        <v>20</v>
      </c>
      <c r="R389" s="32">
        <f t="shared" si="125"/>
        <v>209475</v>
      </c>
      <c r="S389" s="32">
        <f t="shared" si="120"/>
        <v>188716.21621621621</v>
      </c>
    </row>
    <row r="390" spans="1:20" s="63" customFormat="1">
      <c r="A390" s="72" t="s">
        <v>357</v>
      </c>
      <c r="B390" s="63" t="s">
        <v>26</v>
      </c>
      <c r="C390" s="64"/>
      <c r="D390" s="65" t="s">
        <v>20</v>
      </c>
      <c r="E390" s="66"/>
      <c r="F390" s="67">
        <v>1</v>
      </c>
      <c r="G390" s="68" t="s">
        <v>21</v>
      </c>
      <c r="H390" s="67">
        <v>120</v>
      </c>
      <c r="I390" s="68" t="s">
        <v>20</v>
      </c>
      <c r="J390" s="69">
        <v>9000</v>
      </c>
      <c r="K390" s="65" t="s">
        <v>20</v>
      </c>
      <c r="L390" s="70"/>
      <c r="M390" s="70">
        <v>0.17</v>
      </c>
      <c r="N390" s="64"/>
      <c r="O390" s="68" t="s">
        <v>20</v>
      </c>
      <c r="P390" s="64">
        <f t="shared" si="124"/>
        <v>0</v>
      </c>
      <c r="Q390" s="68" t="s">
        <v>20</v>
      </c>
      <c r="R390" s="69">
        <f>P390*(J390-(J390*L390)-((J390-(J390*L390))*M390))</f>
        <v>0</v>
      </c>
      <c r="S390" s="23">
        <f t="shared" si="120"/>
        <v>0</v>
      </c>
    </row>
    <row r="391" spans="1:20">
      <c r="A391" s="15" t="s">
        <v>358</v>
      </c>
      <c r="S391" s="23"/>
    </row>
    <row r="392" spans="1:20" s="17" customFormat="1">
      <c r="A392" s="16" t="s">
        <v>359</v>
      </c>
      <c r="B392" s="17" t="s">
        <v>19</v>
      </c>
      <c r="C392" s="18"/>
      <c r="D392" s="19" t="s">
        <v>20</v>
      </c>
      <c r="E392" s="20"/>
      <c r="F392" s="21">
        <v>2</v>
      </c>
      <c r="G392" s="22" t="s">
        <v>34</v>
      </c>
      <c r="H392" s="21">
        <v>24</v>
      </c>
      <c r="I392" s="22" t="s">
        <v>20</v>
      </c>
      <c r="J392" s="23">
        <v>8000</v>
      </c>
      <c r="K392" s="19" t="s">
        <v>20</v>
      </c>
      <c r="L392" s="24">
        <v>0.125</v>
      </c>
      <c r="M392" s="24">
        <v>0.05</v>
      </c>
      <c r="N392" s="18"/>
      <c r="O392" s="22" t="s">
        <v>20</v>
      </c>
      <c r="P392" s="18">
        <f t="shared" ref="P392" si="126">(C392+(E392*F392*H392))-N392</f>
        <v>0</v>
      </c>
      <c r="Q392" s="22" t="s">
        <v>20</v>
      </c>
      <c r="R392" s="23">
        <f t="shared" ref="R392" si="127">P392*(J392-(J392*L392)-((J392-(J392*L392))*M392))</f>
        <v>0</v>
      </c>
      <c r="S392" s="23">
        <f t="shared" si="120"/>
        <v>0</v>
      </c>
    </row>
    <row r="393" spans="1:20" s="63" customFormat="1">
      <c r="A393" s="72" t="s">
        <v>360</v>
      </c>
      <c r="B393" s="63" t="s">
        <v>26</v>
      </c>
      <c r="C393" s="64"/>
      <c r="D393" s="65" t="s">
        <v>43</v>
      </c>
      <c r="E393" s="66">
        <v>1</v>
      </c>
      <c r="F393" s="67">
        <v>1</v>
      </c>
      <c r="G393" s="68" t="s">
        <v>21</v>
      </c>
      <c r="H393" s="67">
        <v>12</v>
      </c>
      <c r="I393" s="68" t="s">
        <v>43</v>
      </c>
      <c r="J393" s="69">
        <f>669600/12</f>
        <v>55800</v>
      </c>
      <c r="K393" s="65" t="s">
        <v>43</v>
      </c>
      <c r="L393" s="70"/>
      <c r="M393" s="70">
        <v>0.17</v>
      </c>
      <c r="N393" s="64">
        <v>12</v>
      </c>
      <c r="O393" s="68" t="s">
        <v>43</v>
      </c>
      <c r="P393" s="64">
        <f>(C393+(E393*F393*H393))-N393</f>
        <v>0</v>
      </c>
      <c r="Q393" s="68" t="s">
        <v>43</v>
      </c>
      <c r="R393" s="69">
        <f>P393*(J393-(J393*L393)-((J393-(J393*L393))*M393))</f>
        <v>0</v>
      </c>
      <c r="S393" s="69">
        <f t="shared" si="120"/>
        <v>0</v>
      </c>
    </row>
    <row r="394" spans="1:20" s="45" customFormat="1">
      <c r="A394" s="44" t="s">
        <v>361</v>
      </c>
      <c r="B394" s="45" t="s">
        <v>26</v>
      </c>
      <c r="C394" s="46">
        <v>89</v>
      </c>
      <c r="D394" s="47" t="s">
        <v>43</v>
      </c>
      <c r="E394" s="48"/>
      <c r="F394" s="49">
        <v>1</v>
      </c>
      <c r="G394" s="50" t="s">
        <v>21</v>
      </c>
      <c r="H394" s="49">
        <v>20</v>
      </c>
      <c r="I394" s="50" t="s">
        <v>43</v>
      </c>
      <c r="J394" s="51">
        <f>684000/20</f>
        <v>34200</v>
      </c>
      <c r="K394" s="47" t="s">
        <v>43</v>
      </c>
      <c r="L394" s="52"/>
      <c r="M394" s="52">
        <v>0.17</v>
      </c>
      <c r="N394" s="46">
        <f>20+1+5</f>
        <v>26</v>
      </c>
      <c r="O394" s="50" t="s">
        <v>43</v>
      </c>
      <c r="P394" s="46">
        <f>(C394+(E394*F394*H394))-N394</f>
        <v>63</v>
      </c>
      <c r="Q394" s="50" t="s">
        <v>43</v>
      </c>
      <c r="R394" s="51">
        <f>P394*(J394-(J394*L394)-((J394-(J394*L394))*M394))</f>
        <v>1788318</v>
      </c>
      <c r="S394" s="32">
        <f t="shared" si="120"/>
        <v>1611097.297297297</v>
      </c>
    </row>
    <row r="395" spans="1:20" s="63" customFormat="1">
      <c r="A395" s="72" t="s">
        <v>362</v>
      </c>
      <c r="B395" s="63" t="s">
        <v>26</v>
      </c>
      <c r="C395" s="64"/>
      <c r="D395" s="65" t="s">
        <v>43</v>
      </c>
      <c r="E395" s="66">
        <v>1</v>
      </c>
      <c r="F395" s="67">
        <v>1</v>
      </c>
      <c r="G395" s="68" t="s">
        <v>21</v>
      </c>
      <c r="H395" s="67">
        <v>6</v>
      </c>
      <c r="I395" s="68" t="s">
        <v>43</v>
      </c>
      <c r="J395" s="69">
        <f>720000/6</f>
        <v>120000</v>
      </c>
      <c r="K395" s="65" t="s">
        <v>43</v>
      </c>
      <c r="L395" s="70"/>
      <c r="M395" s="70">
        <v>0.17</v>
      </c>
      <c r="N395" s="64">
        <v>6</v>
      </c>
      <c r="O395" s="68" t="s">
        <v>43</v>
      </c>
      <c r="P395" s="64">
        <f>(C395+(E395*F395*H395))-N395</f>
        <v>0</v>
      </c>
      <c r="Q395" s="68" t="s">
        <v>43</v>
      </c>
      <c r="R395" s="69">
        <f>P395*(J395-(J395*L395)-((J395-(J395*L395))*M395))</f>
        <v>0</v>
      </c>
      <c r="S395" s="69">
        <f t="shared" si="120"/>
        <v>0</v>
      </c>
    </row>
    <row r="396" spans="1:20">
      <c r="A396" s="15" t="s">
        <v>363</v>
      </c>
      <c r="L396" s="112"/>
      <c r="M396" s="112"/>
      <c r="S396" s="23"/>
    </row>
    <row r="397" spans="1:20" s="17" customFormat="1">
      <c r="A397" s="16" t="s">
        <v>364</v>
      </c>
      <c r="B397" s="17" t="s">
        <v>19</v>
      </c>
      <c r="C397" s="18"/>
      <c r="D397" s="19" t="s">
        <v>162</v>
      </c>
      <c r="E397" s="20"/>
      <c r="F397" s="21">
        <v>36</v>
      </c>
      <c r="G397" s="22" t="s">
        <v>34</v>
      </c>
      <c r="H397" s="21">
        <v>30</v>
      </c>
      <c r="I397" s="22" t="s">
        <v>162</v>
      </c>
      <c r="J397" s="23">
        <v>3200</v>
      </c>
      <c r="K397" s="19" t="s">
        <v>162</v>
      </c>
      <c r="L397" s="24">
        <v>0.125</v>
      </c>
      <c r="M397" s="24">
        <v>0.05</v>
      </c>
      <c r="N397" s="18"/>
      <c r="O397" s="22" t="s">
        <v>162</v>
      </c>
      <c r="P397" s="18">
        <f>(C397+(E397*F397*H397))-N397</f>
        <v>0</v>
      </c>
      <c r="Q397" s="22" t="s">
        <v>162</v>
      </c>
      <c r="R397" s="23">
        <f>P397*(J397-(J397*L397)-((J397-(J397*L397))*M397))</f>
        <v>0</v>
      </c>
      <c r="S397" s="23">
        <f t="shared" si="120"/>
        <v>0</v>
      </c>
      <c r="T397" s="23"/>
    </row>
    <row r="398" spans="1:20" s="17" customFormat="1">
      <c r="A398" s="16" t="s">
        <v>365</v>
      </c>
      <c r="B398" s="17" t="s">
        <v>19</v>
      </c>
      <c r="C398" s="18"/>
      <c r="D398" s="19" t="s">
        <v>162</v>
      </c>
      <c r="E398" s="20"/>
      <c r="F398" s="21">
        <v>36</v>
      </c>
      <c r="G398" s="22" t="s">
        <v>34</v>
      </c>
      <c r="H398" s="21">
        <v>30</v>
      </c>
      <c r="I398" s="22" t="s">
        <v>162</v>
      </c>
      <c r="J398" s="23">
        <v>2900</v>
      </c>
      <c r="K398" s="19" t="s">
        <v>162</v>
      </c>
      <c r="L398" s="24">
        <v>0.125</v>
      </c>
      <c r="M398" s="24">
        <v>0.05</v>
      </c>
      <c r="N398" s="18"/>
      <c r="O398" s="22" t="s">
        <v>162</v>
      </c>
      <c r="P398" s="18">
        <f>(C398+(E398*F398*H398))-N398</f>
        <v>0</v>
      </c>
      <c r="Q398" s="22" t="s">
        <v>162</v>
      </c>
      <c r="R398" s="23">
        <f>P398*(J398-(J398*L398)-((J398-(J398*L398))*M398))</f>
        <v>0</v>
      </c>
      <c r="S398" s="23">
        <f t="shared" si="120"/>
        <v>0</v>
      </c>
      <c r="T398" s="23"/>
    </row>
    <row r="399" spans="1:20">
      <c r="S399" s="23"/>
    </row>
    <row r="400" spans="1:20" ht="15.75">
      <c r="A400" s="14" t="s">
        <v>366</v>
      </c>
      <c r="S400" s="23"/>
    </row>
    <row r="401" spans="1:20" s="26" customFormat="1">
      <c r="A401" s="94" t="s">
        <v>367</v>
      </c>
      <c r="B401" s="26" t="s">
        <v>26</v>
      </c>
      <c r="C401" s="27"/>
      <c r="D401" s="28" t="s">
        <v>34</v>
      </c>
      <c r="E401" s="29">
        <v>2</v>
      </c>
      <c r="F401" s="30">
        <v>10</v>
      </c>
      <c r="G401" s="31" t="s">
        <v>104</v>
      </c>
      <c r="H401" s="30">
        <v>10</v>
      </c>
      <c r="I401" s="31" t="s">
        <v>34</v>
      </c>
      <c r="J401" s="32">
        <f>980000/100</f>
        <v>9800</v>
      </c>
      <c r="K401" s="28" t="s">
        <v>34</v>
      </c>
      <c r="L401" s="33"/>
      <c r="M401" s="33">
        <v>0.17</v>
      </c>
      <c r="N401" s="27">
        <f>20+100</f>
        <v>120</v>
      </c>
      <c r="O401" s="31" t="s">
        <v>34</v>
      </c>
      <c r="P401" s="27">
        <f>(C401+(E401*F401*H401))-N401</f>
        <v>80</v>
      </c>
      <c r="Q401" s="31" t="s">
        <v>34</v>
      </c>
      <c r="R401" s="32">
        <f>P401*(J401-(J401*L401)-((J401-(J401*L401))*M401))</f>
        <v>650720</v>
      </c>
      <c r="S401" s="32">
        <f t="shared" si="120"/>
        <v>586234.2342342342</v>
      </c>
    </row>
    <row r="402" spans="1:20" s="26" customFormat="1">
      <c r="A402" s="94" t="s">
        <v>368</v>
      </c>
      <c r="B402" s="26" t="s">
        <v>26</v>
      </c>
      <c r="C402" s="27"/>
      <c r="D402" s="28" t="s">
        <v>34</v>
      </c>
      <c r="E402" s="29">
        <f>1+1</f>
        <v>2</v>
      </c>
      <c r="F402" s="30">
        <v>10</v>
      </c>
      <c r="G402" s="31" t="s">
        <v>104</v>
      </c>
      <c r="H402" s="30">
        <v>10</v>
      </c>
      <c r="I402" s="31" t="s">
        <v>34</v>
      </c>
      <c r="J402" s="32">
        <f>980000/100</f>
        <v>9800</v>
      </c>
      <c r="K402" s="28" t="s">
        <v>34</v>
      </c>
      <c r="L402" s="33"/>
      <c r="M402" s="33">
        <v>0.17</v>
      </c>
      <c r="N402" s="27">
        <f>50+20+100</f>
        <v>170</v>
      </c>
      <c r="O402" s="31" t="s">
        <v>34</v>
      </c>
      <c r="P402" s="27">
        <f>(C402+(E402*F402*H402))-N402</f>
        <v>30</v>
      </c>
      <c r="Q402" s="31" t="s">
        <v>34</v>
      </c>
      <c r="R402" s="32">
        <f>P402*(J402-(J402*L402)-((J402-(J402*L402))*M402))</f>
        <v>244020</v>
      </c>
      <c r="S402" s="32">
        <f t="shared" si="120"/>
        <v>219837.83783783781</v>
      </c>
    </row>
    <row r="403" spans="1:20" s="17" customFormat="1">
      <c r="A403" s="93" t="s">
        <v>369</v>
      </c>
      <c r="B403" s="17" t="s">
        <v>19</v>
      </c>
      <c r="C403" s="18"/>
      <c r="D403" s="19" t="s">
        <v>104</v>
      </c>
      <c r="E403" s="20"/>
      <c r="F403" s="21">
        <v>1</v>
      </c>
      <c r="G403" s="22" t="s">
        <v>21</v>
      </c>
      <c r="H403" s="21">
        <v>100</v>
      </c>
      <c r="I403" s="22" t="s">
        <v>104</v>
      </c>
      <c r="J403" s="23">
        <v>7800</v>
      </c>
      <c r="K403" s="19" t="s">
        <v>104</v>
      </c>
      <c r="L403" s="24">
        <v>0.125</v>
      </c>
      <c r="M403" s="24">
        <v>0.05</v>
      </c>
      <c r="N403" s="18"/>
      <c r="O403" s="22" t="s">
        <v>104</v>
      </c>
      <c r="P403" s="18">
        <f>(C403+(E403*F403*H403))-N403</f>
        <v>0</v>
      </c>
      <c r="Q403" s="22" t="s">
        <v>104</v>
      </c>
      <c r="R403" s="23">
        <f>P403*(J403-(J403*L403)-((J403-(J403*L403))*M403))</f>
        <v>0</v>
      </c>
      <c r="S403" s="23">
        <f t="shared" si="120"/>
        <v>0</v>
      </c>
      <c r="T403" s="23"/>
    </row>
    <row r="404" spans="1:20" s="17" customFormat="1">
      <c r="A404" s="93" t="s">
        <v>370</v>
      </c>
      <c r="B404" s="17" t="s">
        <v>19</v>
      </c>
      <c r="C404" s="18"/>
      <c r="D404" s="19" t="s">
        <v>104</v>
      </c>
      <c r="E404" s="20">
        <v>1</v>
      </c>
      <c r="F404" s="21">
        <v>1</v>
      </c>
      <c r="G404" s="22" t="s">
        <v>21</v>
      </c>
      <c r="H404" s="21">
        <v>100</v>
      </c>
      <c r="I404" s="22" t="s">
        <v>104</v>
      </c>
      <c r="J404" s="23">
        <v>7800</v>
      </c>
      <c r="K404" s="19" t="s">
        <v>104</v>
      </c>
      <c r="L404" s="24">
        <v>0.125</v>
      </c>
      <c r="M404" s="24">
        <v>0.05</v>
      </c>
      <c r="N404" s="18">
        <v>100</v>
      </c>
      <c r="O404" s="22" t="s">
        <v>104</v>
      </c>
      <c r="P404" s="18">
        <f>(C404+(E404*F404*H404))-N404</f>
        <v>0</v>
      </c>
      <c r="Q404" s="22" t="s">
        <v>104</v>
      </c>
      <c r="R404" s="23">
        <f>P404*(J404-(J404*L404)-((J404-(J404*L404))*M404))</f>
        <v>0</v>
      </c>
      <c r="S404" s="23">
        <f t="shared" si="120"/>
        <v>0</v>
      </c>
      <c r="T404" s="23"/>
    </row>
    <row r="405" spans="1:20">
      <c r="S405" s="23"/>
    </row>
    <row r="406" spans="1:20" ht="15.75">
      <c r="A406" s="14" t="s">
        <v>371</v>
      </c>
      <c r="S406" s="23"/>
    </row>
    <row r="407" spans="1:20">
      <c r="A407" s="15" t="s">
        <v>372</v>
      </c>
      <c r="S407" s="23"/>
    </row>
    <row r="408" spans="1:20" s="17" customFormat="1">
      <c r="A408" s="16" t="s">
        <v>373</v>
      </c>
      <c r="B408" s="17" t="s">
        <v>19</v>
      </c>
      <c r="C408" s="18"/>
      <c r="D408" s="19" t="s">
        <v>43</v>
      </c>
      <c r="E408" s="20"/>
      <c r="F408" s="21">
        <v>1</v>
      </c>
      <c r="G408" s="22" t="s">
        <v>21</v>
      </c>
      <c r="H408" s="21">
        <v>144</v>
      </c>
      <c r="I408" s="22" t="s">
        <v>43</v>
      </c>
      <c r="J408" s="23">
        <v>28200</v>
      </c>
      <c r="K408" s="19" t="s">
        <v>43</v>
      </c>
      <c r="L408" s="24">
        <v>0.125</v>
      </c>
      <c r="M408" s="24">
        <v>0.05</v>
      </c>
      <c r="N408" s="18"/>
      <c r="O408" s="22" t="s">
        <v>43</v>
      </c>
      <c r="P408" s="18">
        <f t="shared" ref="P408:P426" si="128">(C408+(E408*F408*H408))-N408</f>
        <v>0</v>
      </c>
      <c r="Q408" s="22" t="s">
        <v>43</v>
      </c>
      <c r="R408" s="23">
        <f t="shared" ref="R408:R426" si="129">P408*(J408-(J408*L408)-((J408-(J408*L408))*M408))</f>
        <v>0</v>
      </c>
      <c r="S408" s="69">
        <f t="shared" si="120"/>
        <v>0</v>
      </c>
    </row>
    <row r="409" spans="1:20" s="63" customFormat="1">
      <c r="A409" s="72" t="s">
        <v>374</v>
      </c>
      <c r="B409" s="63" t="s">
        <v>19</v>
      </c>
      <c r="C409" s="64"/>
      <c r="D409" s="65" t="s">
        <v>43</v>
      </c>
      <c r="E409" s="66"/>
      <c r="F409" s="67">
        <v>1</v>
      </c>
      <c r="G409" s="68" t="s">
        <v>21</v>
      </c>
      <c r="H409" s="67">
        <v>144</v>
      </c>
      <c r="I409" s="68" t="s">
        <v>43</v>
      </c>
      <c r="J409" s="69">
        <v>7800</v>
      </c>
      <c r="K409" s="65" t="s">
        <v>43</v>
      </c>
      <c r="L409" s="70">
        <v>0.1</v>
      </c>
      <c r="M409" s="70">
        <v>0.05</v>
      </c>
      <c r="N409" s="64"/>
      <c r="O409" s="68" t="s">
        <v>43</v>
      </c>
      <c r="P409" s="64">
        <f t="shared" si="128"/>
        <v>0</v>
      </c>
      <c r="Q409" s="68" t="s">
        <v>43</v>
      </c>
      <c r="R409" s="69">
        <f t="shared" si="129"/>
        <v>0</v>
      </c>
      <c r="S409" s="69">
        <f t="shared" si="120"/>
        <v>0</v>
      </c>
    </row>
    <row r="410" spans="1:20" s="63" customFormat="1">
      <c r="A410" s="95" t="s">
        <v>733</v>
      </c>
      <c r="B410" s="96" t="s">
        <v>19</v>
      </c>
      <c r="C410" s="97"/>
      <c r="D410" s="98" t="s">
        <v>43</v>
      </c>
      <c r="E410" s="105"/>
      <c r="F410" s="100">
        <v>1</v>
      </c>
      <c r="G410" s="101" t="s">
        <v>21</v>
      </c>
      <c r="H410" s="100">
        <v>144</v>
      </c>
      <c r="I410" s="101" t="s">
        <v>43</v>
      </c>
      <c r="J410" s="102"/>
      <c r="K410" s="98" t="s">
        <v>43</v>
      </c>
      <c r="L410" s="103">
        <v>0.1</v>
      </c>
      <c r="M410" s="103">
        <v>0.05</v>
      </c>
      <c r="N410" s="97"/>
      <c r="O410" s="101" t="s">
        <v>43</v>
      </c>
      <c r="P410" s="97">
        <f t="shared" si="128"/>
        <v>0</v>
      </c>
      <c r="Q410" s="101" t="s">
        <v>43</v>
      </c>
      <c r="R410" s="102">
        <f t="shared" si="129"/>
        <v>0</v>
      </c>
      <c r="S410" s="102">
        <f t="shared" si="120"/>
        <v>0</v>
      </c>
    </row>
    <row r="411" spans="1:20" s="45" customFormat="1">
      <c r="A411" s="35" t="s">
        <v>376</v>
      </c>
      <c r="B411" s="36" t="s">
        <v>19</v>
      </c>
      <c r="C411" s="37">
        <v>153</v>
      </c>
      <c r="D411" s="38" t="s">
        <v>43</v>
      </c>
      <c r="E411" s="39"/>
      <c r="F411" s="40">
        <v>1</v>
      </c>
      <c r="G411" s="41" t="s">
        <v>21</v>
      </c>
      <c r="H411" s="40">
        <v>144</v>
      </c>
      <c r="I411" s="41" t="s">
        <v>43</v>
      </c>
      <c r="J411" s="42">
        <v>6900</v>
      </c>
      <c r="K411" s="38" t="s">
        <v>43</v>
      </c>
      <c r="L411" s="43">
        <v>0.125</v>
      </c>
      <c r="M411" s="43">
        <v>0.05</v>
      </c>
      <c r="N411" s="37">
        <f>12+12+3+12</f>
        <v>39</v>
      </c>
      <c r="O411" s="41" t="s">
        <v>43</v>
      </c>
      <c r="P411" s="37">
        <f t="shared" si="128"/>
        <v>114</v>
      </c>
      <c r="Q411" s="41" t="s">
        <v>43</v>
      </c>
      <c r="R411" s="42">
        <f t="shared" si="129"/>
        <v>653861.25</v>
      </c>
      <c r="S411" s="42">
        <f t="shared" si="120"/>
        <v>589064.18918918911</v>
      </c>
    </row>
    <row r="412" spans="1:20" s="17" customFormat="1">
      <c r="A412" s="16" t="s">
        <v>377</v>
      </c>
      <c r="B412" s="17" t="s">
        <v>19</v>
      </c>
      <c r="C412" s="18"/>
      <c r="D412" s="19" t="s">
        <v>43</v>
      </c>
      <c r="E412" s="20"/>
      <c r="F412" s="21">
        <v>1</v>
      </c>
      <c r="G412" s="22" t="s">
        <v>21</v>
      </c>
      <c r="H412" s="21">
        <v>144</v>
      </c>
      <c r="I412" s="22" t="s">
        <v>43</v>
      </c>
      <c r="J412" s="23">
        <v>7020</v>
      </c>
      <c r="K412" s="19" t="s">
        <v>43</v>
      </c>
      <c r="L412" s="24">
        <v>0.125</v>
      </c>
      <c r="M412" s="24">
        <v>0.05</v>
      </c>
      <c r="N412" s="18"/>
      <c r="O412" s="22" t="s">
        <v>43</v>
      </c>
      <c r="P412" s="18">
        <f t="shared" si="128"/>
        <v>0</v>
      </c>
      <c r="Q412" s="22" t="s">
        <v>43</v>
      </c>
      <c r="R412" s="23">
        <f t="shared" si="129"/>
        <v>0</v>
      </c>
      <c r="S412" s="23">
        <f t="shared" si="120"/>
        <v>0</v>
      </c>
    </row>
    <row r="413" spans="1:20" s="17" customFormat="1">
      <c r="A413" s="16" t="s">
        <v>721</v>
      </c>
      <c r="B413" s="17" t="s">
        <v>19</v>
      </c>
      <c r="C413" s="18"/>
      <c r="D413" s="19" t="s">
        <v>43</v>
      </c>
      <c r="E413" s="20"/>
      <c r="F413" s="21">
        <v>1</v>
      </c>
      <c r="G413" s="22" t="s">
        <v>21</v>
      </c>
      <c r="H413" s="21">
        <v>144</v>
      </c>
      <c r="I413" s="22" t="s">
        <v>43</v>
      </c>
      <c r="J413" s="23">
        <v>6000</v>
      </c>
      <c r="K413" s="19" t="s">
        <v>43</v>
      </c>
      <c r="L413" s="24">
        <v>0.125</v>
      </c>
      <c r="M413" s="24">
        <v>0.05</v>
      </c>
      <c r="N413" s="18"/>
      <c r="O413" s="22" t="s">
        <v>43</v>
      </c>
      <c r="P413" s="18">
        <f t="shared" si="128"/>
        <v>0</v>
      </c>
      <c r="Q413" s="22" t="s">
        <v>43</v>
      </c>
      <c r="R413" s="23">
        <f t="shared" si="129"/>
        <v>0</v>
      </c>
      <c r="S413" s="23">
        <f t="shared" si="120"/>
        <v>0</v>
      </c>
    </row>
    <row r="414" spans="1:20" s="17" customFormat="1">
      <c r="A414" s="16" t="s">
        <v>774</v>
      </c>
      <c r="B414" s="17" t="s">
        <v>19</v>
      </c>
      <c r="C414" s="18"/>
      <c r="D414" s="19" t="s">
        <v>43</v>
      </c>
      <c r="E414" s="20">
        <v>1</v>
      </c>
      <c r="F414" s="21">
        <v>1</v>
      </c>
      <c r="G414" s="22" t="s">
        <v>21</v>
      </c>
      <c r="H414" s="21">
        <v>144</v>
      </c>
      <c r="I414" s="22" t="s">
        <v>43</v>
      </c>
      <c r="J414" s="23">
        <v>6000</v>
      </c>
      <c r="K414" s="19" t="s">
        <v>43</v>
      </c>
      <c r="L414" s="24">
        <v>0.125</v>
      </c>
      <c r="M414" s="24">
        <v>0.05</v>
      </c>
      <c r="N414" s="18">
        <v>144</v>
      </c>
      <c r="O414" s="22" t="s">
        <v>43</v>
      </c>
      <c r="P414" s="18">
        <f t="shared" ref="P414" si="130">(C414+(E414*F414*H414))-N414</f>
        <v>0</v>
      </c>
      <c r="Q414" s="22" t="s">
        <v>43</v>
      </c>
      <c r="R414" s="23">
        <f t="shared" ref="R414" si="131">P414*(J414-(J414*L414)-((J414-(J414*L414))*M414))</f>
        <v>0</v>
      </c>
      <c r="S414" s="23">
        <f t="shared" ref="S414" si="132">R414/1.11</f>
        <v>0</v>
      </c>
    </row>
    <row r="415" spans="1:20" s="26" customFormat="1">
      <c r="A415" s="25" t="s">
        <v>378</v>
      </c>
      <c r="B415" s="26" t="s">
        <v>19</v>
      </c>
      <c r="C415" s="27">
        <v>864</v>
      </c>
      <c r="D415" s="28" t="s">
        <v>43</v>
      </c>
      <c r="E415" s="29"/>
      <c r="F415" s="30">
        <v>1</v>
      </c>
      <c r="G415" s="31" t="s">
        <v>21</v>
      </c>
      <c r="H415" s="30">
        <v>144</v>
      </c>
      <c r="I415" s="31" t="s">
        <v>43</v>
      </c>
      <c r="J415" s="32">
        <v>5100</v>
      </c>
      <c r="K415" s="28" t="s">
        <v>43</v>
      </c>
      <c r="L415" s="33">
        <v>0.125</v>
      </c>
      <c r="M415" s="33">
        <v>0.05</v>
      </c>
      <c r="N415" s="27"/>
      <c r="O415" s="31" t="s">
        <v>43</v>
      </c>
      <c r="P415" s="27">
        <f t="shared" si="128"/>
        <v>864</v>
      </c>
      <c r="Q415" s="31" t="s">
        <v>43</v>
      </c>
      <c r="R415" s="32">
        <f t="shared" si="129"/>
        <v>3662820</v>
      </c>
      <c r="S415" s="32">
        <f t="shared" si="120"/>
        <v>3299837.8378378376</v>
      </c>
    </row>
    <row r="416" spans="1:20" s="26" customFormat="1">
      <c r="A416" s="35" t="s">
        <v>379</v>
      </c>
      <c r="B416" s="36" t="s">
        <v>19</v>
      </c>
      <c r="C416" s="198">
        <f>327+12+12</f>
        <v>351</v>
      </c>
      <c r="D416" s="38" t="s">
        <v>43</v>
      </c>
      <c r="E416" s="39"/>
      <c r="F416" s="40">
        <v>1</v>
      </c>
      <c r="G416" s="41" t="s">
        <v>21</v>
      </c>
      <c r="H416" s="40">
        <v>144</v>
      </c>
      <c r="I416" s="41" t="s">
        <v>43</v>
      </c>
      <c r="J416" s="42">
        <v>12000</v>
      </c>
      <c r="K416" s="38" t="s">
        <v>43</v>
      </c>
      <c r="L416" s="43">
        <v>0.1</v>
      </c>
      <c r="M416" s="43">
        <v>0.05</v>
      </c>
      <c r="N416" s="37">
        <f>24+36+24</f>
        <v>84</v>
      </c>
      <c r="O416" s="41" t="s">
        <v>43</v>
      </c>
      <c r="P416" s="37">
        <f t="shared" si="128"/>
        <v>267</v>
      </c>
      <c r="Q416" s="41" t="s">
        <v>43</v>
      </c>
      <c r="R416" s="42">
        <f t="shared" si="129"/>
        <v>2739420</v>
      </c>
      <c r="S416" s="42">
        <f t="shared" si="120"/>
        <v>2467945.9459459456</v>
      </c>
    </row>
    <row r="417" spans="1:19" s="26" customFormat="1">
      <c r="A417" s="35" t="s">
        <v>379</v>
      </c>
      <c r="B417" s="36" t="s">
        <v>19</v>
      </c>
      <c r="C417" s="198">
        <f>12+36+36+12+336</f>
        <v>432</v>
      </c>
      <c r="D417" s="38" t="s">
        <v>43</v>
      </c>
      <c r="E417" s="39"/>
      <c r="F417" s="40">
        <v>1</v>
      </c>
      <c r="G417" s="41" t="s">
        <v>21</v>
      </c>
      <c r="H417" s="40">
        <v>144</v>
      </c>
      <c r="I417" s="41" t="s">
        <v>43</v>
      </c>
      <c r="J417" s="42">
        <v>12000</v>
      </c>
      <c r="K417" s="38" t="s">
        <v>43</v>
      </c>
      <c r="L417" s="43">
        <v>0.125</v>
      </c>
      <c r="M417" s="43">
        <v>0.05</v>
      </c>
      <c r="N417" s="37"/>
      <c r="O417" s="41" t="s">
        <v>43</v>
      </c>
      <c r="P417" s="37">
        <f t="shared" si="128"/>
        <v>432</v>
      </c>
      <c r="Q417" s="41" t="s">
        <v>43</v>
      </c>
      <c r="R417" s="42">
        <f t="shared" si="129"/>
        <v>4309200</v>
      </c>
      <c r="S417" s="42">
        <f t="shared" si="120"/>
        <v>3882162.1621621619</v>
      </c>
    </row>
    <row r="418" spans="1:19" s="26" customFormat="1">
      <c r="A418" s="35" t="s">
        <v>379</v>
      </c>
      <c r="B418" s="36" t="s">
        <v>19</v>
      </c>
      <c r="C418" s="198">
        <f>36+12+24+12+(24+12+12)+24</f>
        <v>156</v>
      </c>
      <c r="D418" s="38" t="s">
        <v>43</v>
      </c>
      <c r="E418" s="39"/>
      <c r="F418" s="40">
        <v>1</v>
      </c>
      <c r="G418" s="41" t="s">
        <v>21</v>
      </c>
      <c r="H418" s="40">
        <v>144</v>
      </c>
      <c r="I418" s="41" t="s">
        <v>43</v>
      </c>
      <c r="J418" s="42">
        <v>12600</v>
      </c>
      <c r="K418" s="38" t="s">
        <v>43</v>
      </c>
      <c r="L418" s="43">
        <v>0.1</v>
      </c>
      <c r="M418" s="43">
        <v>0.05</v>
      </c>
      <c r="N418" s="37"/>
      <c r="O418" s="41" t="s">
        <v>43</v>
      </c>
      <c r="P418" s="37">
        <f t="shared" ref="P418" si="133">(C418+(E418*F418*H418))-N418</f>
        <v>156</v>
      </c>
      <c r="Q418" s="41" t="s">
        <v>43</v>
      </c>
      <c r="R418" s="42">
        <f t="shared" ref="R418" si="134">P418*(J418-(J418*L418)-((J418-(J418*L418))*M418))</f>
        <v>1680588</v>
      </c>
      <c r="S418" s="42">
        <f t="shared" ref="S418" si="135">R418/1.11</f>
        <v>1514043.2432432431</v>
      </c>
    </row>
    <row r="419" spans="1:19" s="26" customFormat="1">
      <c r="A419" s="35" t="s">
        <v>379</v>
      </c>
      <c r="B419" s="36" t="s">
        <v>19</v>
      </c>
      <c r="C419" s="198">
        <v>72</v>
      </c>
      <c r="D419" s="38" t="s">
        <v>43</v>
      </c>
      <c r="E419" s="39"/>
      <c r="F419" s="40">
        <v>1</v>
      </c>
      <c r="G419" s="41" t="s">
        <v>21</v>
      </c>
      <c r="H419" s="40">
        <v>144</v>
      </c>
      <c r="I419" s="41" t="s">
        <v>43</v>
      </c>
      <c r="J419" s="42">
        <v>12600</v>
      </c>
      <c r="K419" s="38" t="s">
        <v>43</v>
      </c>
      <c r="L419" s="43">
        <v>0.125</v>
      </c>
      <c r="M419" s="43">
        <v>0.05</v>
      </c>
      <c r="N419" s="37"/>
      <c r="O419" s="41" t="s">
        <v>43</v>
      </c>
      <c r="P419" s="37">
        <f t="shared" ref="P419" si="136">(C419+(E419*F419*H419))-N419</f>
        <v>72</v>
      </c>
      <c r="Q419" s="41" t="s">
        <v>43</v>
      </c>
      <c r="R419" s="42">
        <f t="shared" ref="R419" si="137">P419*(J419-(J419*L419)-((J419-(J419*L419))*M419))</f>
        <v>754110</v>
      </c>
      <c r="S419" s="42">
        <f t="shared" ref="S419" si="138">R419/1.11</f>
        <v>679378.37837837834</v>
      </c>
    </row>
    <row r="420" spans="1:19" s="17" customFormat="1">
      <c r="A420" s="93" t="s">
        <v>380</v>
      </c>
      <c r="B420" s="17" t="s">
        <v>26</v>
      </c>
      <c r="C420" s="18"/>
      <c r="D420" s="19" t="s">
        <v>43</v>
      </c>
      <c r="E420" s="20"/>
      <c r="F420" s="21">
        <v>1</v>
      </c>
      <c r="G420" s="22" t="s">
        <v>21</v>
      </c>
      <c r="H420" s="21">
        <v>144</v>
      </c>
      <c r="I420" s="22" t="s">
        <v>43</v>
      </c>
      <c r="J420" s="23">
        <v>22200</v>
      </c>
      <c r="K420" s="19" t="s">
        <v>43</v>
      </c>
      <c r="L420" s="24"/>
      <c r="M420" s="24">
        <v>0.17</v>
      </c>
      <c r="N420" s="18"/>
      <c r="O420" s="22" t="s">
        <v>43</v>
      </c>
      <c r="P420" s="18">
        <f t="shared" si="128"/>
        <v>0</v>
      </c>
      <c r="Q420" s="22" t="s">
        <v>43</v>
      </c>
      <c r="R420" s="23">
        <f t="shared" si="129"/>
        <v>0</v>
      </c>
      <c r="S420" s="23">
        <f t="shared" si="120"/>
        <v>0</v>
      </c>
    </row>
    <row r="421" spans="1:19" s="17" customFormat="1">
      <c r="A421" s="93" t="s">
        <v>381</v>
      </c>
      <c r="B421" s="17" t="s">
        <v>26</v>
      </c>
      <c r="C421" s="18">
        <v>4</v>
      </c>
      <c r="D421" s="19" t="s">
        <v>43</v>
      </c>
      <c r="E421" s="20"/>
      <c r="F421" s="21">
        <v>1</v>
      </c>
      <c r="G421" s="22" t="s">
        <v>21</v>
      </c>
      <c r="H421" s="21">
        <v>144</v>
      </c>
      <c r="I421" s="22" t="s">
        <v>43</v>
      </c>
      <c r="J421" s="23">
        <v>13800</v>
      </c>
      <c r="K421" s="19" t="s">
        <v>43</v>
      </c>
      <c r="L421" s="24"/>
      <c r="M421" s="24">
        <v>0.17</v>
      </c>
      <c r="N421" s="18">
        <f>1+1+1+1</f>
        <v>4</v>
      </c>
      <c r="O421" s="22" t="s">
        <v>43</v>
      </c>
      <c r="P421" s="18">
        <f t="shared" si="128"/>
        <v>0</v>
      </c>
      <c r="Q421" s="22" t="s">
        <v>43</v>
      </c>
      <c r="R421" s="23">
        <f t="shared" si="129"/>
        <v>0</v>
      </c>
      <c r="S421" s="23">
        <f t="shared" si="120"/>
        <v>0</v>
      </c>
    </row>
    <row r="422" spans="1:19" s="17" customFormat="1">
      <c r="A422" s="93" t="s">
        <v>382</v>
      </c>
      <c r="B422" s="17" t="s">
        <v>26</v>
      </c>
      <c r="C422" s="18"/>
      <c r="D422" s="19" t="s">
        <v>43</v>
      </c>
      <c r="E422" s="20"/>
      <c r="F422" s="21">
        <v>1</v>
      </c>
      <c r="G422" s="22" t="s">
        <v>21</v>
      </c>
      <c r="H422" s="21">
        <v>144</v>
      </c>
      <c r="I422" s="22" t="s">
        <v>43</v>
      </c>
      <c r="J422" s="23">
        <v>13800</v>
      </c>
      <c r="K422" s="19" t="s">
        <v>43</v>
      </c>
      <c r="L422" s="24"/>
      <c r="M422" s="24">
        <v>0.17</v>
      </c>
      <c r="N422" s="18"/>
      <c r="O422" s="22" t="s">
        <v>43</v>
      </c>
      <c r="P422" s="18">
        <f t="shared" si="128"/>
        <v>0</v>
      </c>
      <c r="Q422" s="22" t="s">
        <v>43</v>
      </c>
      <c r="R422" s="23">
        <f t="shared" si="129"/>
        <v>0</v>
      </c>
      <c r="S422" s="23">
        <f t="shared" si="120"/>
        <v>0</v>
      </c>
    </row>
    <row r="423" spans="1:19" s="17" customFormat="1">
      <c r="A423" s="93" t="s">
        <v>383</v>
      </c>
      <c r="B423" s="17" t="s">
        <v>26</v>
      </c>
      <c r="C423" s="18">
        <v>12</v>
      </c>
      <c r="D423" s="19" t="s">
        <v>43</v>
      </c>
      <c r="E423" s="20"/>
      <c r="F423" s="21">
        <v>1</v>
      </c>
      <c r="G423" s="22" t="s">
        <v>21</v>
      </c>
      <c r="H423" s="21">
        <v>144</v>
      </c>
      <c r="I423" s="22" t="s">
        <v>43</v>
      </c>
      <c r="J423" s="23">
        <v>13800</v>
      </c>
      <c r="K423" s="19" t="s">
        <v>43</v>
      </c>
      <c r="L423" s="24"/>
      <c r="M423" s="24">
        <v>0.17</v>
      </c>
      <c r="N423" s="18">
        <v>12</v>
      </c>
      <c r="O423" s="22" t="s">
        <v>43</v>
      </c>
      <c r="P423" s="18">
        <f t="shared" si="128"/>
        <v>0</v>
      </c>
      <c r="Q423" s="22" t="s">
        <v>43</v>
      </c>
      <c r="R423" s="23">
        <f t="shared" si="129"/>
        <v>0</v>
      </c>
      <c r="S423" s="23">
        <f t="shared" si="120"/>
        <v>0</v>
      </c>
    </row>
    <row r="424" spans="1:19" s="17" customFormat="1">
      <c r="A424" s="93" t="s">
        <v>384</v>
      </c>
      <c r="B424" s="17" t="s">
        <v>26</v>
      </c>
      <c r="C424" s="18"/>
      <c r="D424" s="19" t="s">
        <v>43</v>
      </c>
      <c r="E424" s="20"/>
      <c r="F424" s="21">
        <v>1</v>
      </c>
      <c r="G424" s="22" t="s">
        <v>21</v>
      </c>
      <c r="H424" s="21">
        <v>144</v>
      </c>
      <c r="I424" s="22" t="s">
        <v>43</v>
      </c>
      <c r="J424" s="23">
        <v>13800</v>
      </c>
      <c r="K424" s="19" t="s">
        <v>43</v>
      </c>
      <c r="L424" s="24"/>
      <c r="M424" s="24">
        <v>0.17</v>
      </c>
      <c r="N424" s="18"/>
      <c r="O424" s="22" t="s">
        <v>43</v>
      </c>
      <c r="P424" s="18">
        <f t="shared" si="128"/>
        <v>0</v>
      </c>
      <c r="Q424" s="22" t="s">
        <v>43</v>
      </c>
      <c r="R424" s="23">
        <f t="shared" si="129"/>
        <v>0</v>
      </c>
      <c r="S424" s="23">
        <f t="shared" si="120"/>
        <v>0</v>
      </c>
    </row>
    <row r="425" spans="1:19" s="17" customFormat="1">
      <c r="A425" s="93" t="s">
        <v>385</v>
      </c>
      <c r="B425" s="17" t="s">
        <v>26</v>
      </c>
      <c r="C425" s="18"/>
      <c r="D425" s="19" t="s">
        <v>43</v>
      </c>
      <c r="E425" s="20"/>
      <c r="F425" s="21">
        <v>1</v>
      </c>
      <c r="G425" s="22" t="s">
        <v>21</v>
      </c>
      <c r="H425" s="21">
        <v>144</v>
      </c>
      <c r="I425" s="22" t="s">
        <v>43</v>
      </c>
      <c r="J425" s="23">
        <f>1987200/144</f>
        <v>13800</v>
      </c>
      <c r="K425" s="19" t="s">
        <v>43</v>
      </c>
      <c r="L425" s="24"/>
      <c r="M425" s="24">
        <v>0.17</v>
      </c>
      <c r="N425" s="18"/>
      <c r="O425" s="22" t="s">
        <v>43</v>
      </c>
      <c r="P425" s="18">
        <f t="shared" si="128"/>
        <v>0</v>
      </c>
      <c r="Q425" s="22" t="s">
        <v>43</v>
      </c>
      <c r="R425" s="23">
        <f t="shared" si="129"/>
        <v>0</v>
      </c>
      <c r="S425" s="23">
        <f t="shared" si="120"/>
        <v>0</v>
      </c>
    </row>
    <row r="426" spans="1:19" s="17" customFormat="1">
      <c r="A426" s="93" t="s">
        <v>386</v>
      </c>
      <c r="B426" s="17" t="s">
        <v>26</v>
      </c>
      <c r="C426" s="18"/>
      <c r="D426" s="19" t="s">
        <v>43</v>
      </c>
      <c r="E426" s="20"/>
      <c r="F426" s="21">
        <v>1</v>
      </c>
      <c r="G426" s="22" t="s">
        <v>21</v>
      </c>
      <c r="H426" s="21">
        <v>144</v>
      </c>
      <c r="I426" s="22" t="s">
        <v>43</v>
      </c>
      <c r="J426" s="23">
        <f>2073600/12/12</f>
        <v>14400</v>
      </c>
      <c r="K426" s="19" t="s">
        <v>43</v>
      </c>
      <c r="L426" s="24"/>
      <c r="M426" s="24">
        <v>0.17</v>
      </c>
      <c r="N426" s="18"/>
      <c r="O426" s="22" t="s">
        <v>43</v>
      </c>
      <c r="P426" s="18">
        <f t="shared" si="128"/>
        <v>0</v>
      </c>
      <c r="Q426" s="22" t="s">
        <v>43</v>
      </c>
      <c r="R426" s="23">
        <f t="shared" si="129"/>
        <v>0</v>
      </c>
      <c r="S426" s="23">
        <f t="shared" si="120"/>
        <v>0</v>
      </c>
    </row>
    <row r="427" spans="1:19">
      <c r="A427" s="15" t="s">
        <v>387</v>
      </c>
      <c r="S427" s="23"/>
    </row>
    <row r="428" spans="1:19">
      <c r="A428" s="34" t="s">
        <v>388</v>
      </c>
      <c r="B428" s="2" t="s">
        <v>192</v>
      </c>
      <c r="C428" s="3">
        <v>2219</v>
      </c>
      <c r="D428" s="4" t="s">
        <v>43</v>
      </c>
      <c r="F428" s="6">
        <v>1</v>
      </c>
      <c r="G428" s="7" t="s">
        <v>21</v>
      </c>
      <c r="H428" s="6">
        <v>240</v>
      </c>
      <c r="I428" s="7" t="s">
        <v>43</v>
      </c>
      <c r="J428" s="8">
        <v>10000</v>
      </c>
      <c r="K428" s="4" t="s">
        <v>43</v>
      </c>
      <c r="N428" s="3">
        <f>12+24+36</f>
        <v>72</v>
      </c>
      <c r="O428" s="7" t="s">
        <v>43</v>
      </c>
      <c r="P428" s="3">
        <f t="shared" ref="P428:P465" si="139">(C428+(E428*F428*H428))-N428</f>
        <v>2147</v>
      </c>
      <c r="Q428" s="7" t="s">
        <v>43</v>
      </c>
      <c r="R428" s="8">
        <f t="shared" ref="R428:R465" si="140">P428*(J428-(J428*L428)-((J428-(J428*L428))*M428))</f>
        <v>21470000</v>
      </c>
      <c r="S428" s="32">
        <f t="shared" si="120"/>
        <v>19342342.342342339</v>
      </c>
    </row>
    <row r="429" spans="1:19" s="26" customFormat="1">
      <c r="A429" s="25" t="s">
        <v>389</v>
      </c>
      <c r="B429" s="26" t="s">
        <v>192</v>
      </c>
      <c r="C429" s="27">
        <v>1593</v>
      </c>
      <c r="D429" s="28" t="s">
        <v>43</v>
      </c>
      <c r="E429" s="29"/>
      <c r="F429" s="30">
        <v>1</v>
      </c>
      <c r="G429" s="31" t="s">
        <v>21</v>
      </c>
      <c r="H429" s="30">
        <v>240</v>
      </c>
      <c r="I429" s="31" t="s">
        <v>43</v>
      </c>
      <c r="J429" s="32">
        <v>10000</v>
      </c>
      <c r="K429" s="28" t="s">
        <v>43</v>
      </c>
      <c r="L429" s="33"/>
      <c r="M429" s="33"/>
      <c r="N429" s="27">
        <f>12+24+12</f>
        <v>48</v>
      </c>
      <c r="O429" s="31" t="s">
        <v>43</v>
      </c>
      <c r="P429" s="27">
        <f t="shared" si="139"/>
        <v>1545</v>
      </c>
      <c r="Q429" s="31" t="s">
        <v>43</v>
      </c>
      <c r="R429" s="32">
        <f t="shared" si="140"/>
        <v>15450000</v>
      </c>
      <c r="S429" s="32">
        <f t="shared" si="120"/>
        <v>13918918.918918917</v>
      </c>
    </row>
    <row r="430" spans="1:19" s="26" customFormat="1">
      <c r="A430" s="25" t="s">
        <v>390</v>
      </c>
      <c r="B430" s="26" t="s">
        <v>192</v>
      </c>
      <c r="C430" s="27">
        <v>1315</v>
      </c>
      <c r="D430" s="28" t="s">
        <v>43</v>
      </c>
      <c r="E430" s="29"/>
      <c r="F430" s="30">
        <v>1</v>
      </c>
      <c r="G430" s="31" t="s">
        <v>21</v>
      </c>
      <c r="H430" s="30">
        <v>240</v>
      </c>
      <c r="I430" s="31" t="s">
        <v>43</v>
      </c>
      <c r="J430" s="32">
        <v>10000</v>
      </c>
      <c r="K430" s="28" t="s">
        <v>43</v>
      </c>
      <c r="L430" s="33"/>
      <c r="M430" s="33"/>
      <c r="N430" s="27">
        <f>36+12+3+3+60</f>
        <v>114</v>
      </c>
      <c r="O430" s="31" t="s">
        <v>43</v>
      </c>
      <c r="P430" s="27">
        <f t="shared" si="139"/>
        <v>1201</v>
      </c>
      <c r="Q430" s="31" t="s">
        <v>43</v>
      </c>
      <c r="R430" s="32">
        <f t="shared" si="140"/>
        <v>12010000</v>
      </c>
      <c r="S430" s="32">
        <f t="shared" si="120"/>
        <v>10819819.819819819</v>
      </c>
    </row>
    <row r="431" spans="1:19" s="26" customFormat="1">
      <c r="A431" s="25" t="s">
        <v>391</v>
      </c>
      <c r="B431" s="26" t="s">
        <v>192</v>
      </c>
      <c r="C431" s="27">
        <v>19</v>
      </c>
      <c r="D431" s="28" t="s">
        <v>43</v>
      </c>
      <c r="E431" s="29"/>
      <c r="F431" s="30">
        <v>1</v>
      </c>
      <c r="G431" s="31" t="s">
        <v>21</v>
      </c>
      <c r="H431" s="30">
        <v>240</v>
      </c>
      <c r="I431" s="31" t="s">
        <v>43</v>
      </c>
      <c r="J431" s="32">
        <v>10000</v>
      </c>
      <c r="K431" s="28" t="s">
        <v>43</v>
      </c>
      <c r="L431" s="33"/>
      <c r="M431" s="33"/>
      <c r="N431" s="27"/>
      <c r="O431" s="31" t="s">
        <v>43</v>
      </c>
      <c r="P431" s="27">
        <f t="shared" si="139"/>
        <v>19</v>
      </c>
      <c r="Q431" s="31" t="s">
        <v>43</v>
      </c>
      <c r="R431" s="32">
        <f t="shared" si="140"/>
        <v>190000</v>
      </c>
      <c r="S431" s="32">
        <f t="shared" si="120"/>
        <v>171171.17117117115</v>
      </c>
    </row>
    <row r="432" spans="1:19" s="17" customFormat="1">
      <c r="A432" s="16" t="s">
        <v>392</v>
      </c>
      <c r="B432" s="17" t="s">
        <v>19</v>
      </c>
      <c r="C432" s="18"/>
      <c r="D432" s="19" t="s">
        <v>43</v>
      </c>
      <c r="E432" s="20"/>
      <c r="F432" s="21">
        <v>1</v>
      </c>
      <c r="G432" s="22" t="s">
        <v>21</v>
      </c>
      <c r="H432" s="21">
        <v>144</v>
      </c>
      <c r="I432" s="22" t="s">
        <v>43</v>
      </c>
      <c r="J432" s="23">
        <v>19800</v>
      </c>
      <c r="K432" s="19" t="s">
        <v>43</v>
      </c>
      <c r="L432" s="24">
        <v>0.125</v>
      </c>
      <c r="M432" s="24">
        <v>0.05</v>
      </c>
      <c r="N432" s="18"/>
      <c r="O432" s="22" t="s">
        <v>43</v>
      </c>
      <c r="P432" s="18">
        <f t="shared" si="139"/>
        <v>0</v>
      </c>
      <c r="Q432" s="22" t="s">
        <v>43</v>
      </c>
      <c r="R432" s="23">
        <f t="shared" si="140"/>
        <v>0</v>
      </c>
      <c r="S432" s="23">
        <f t="shared" si="120"/>
        <v>0</v>
      </c>
    </row>
    <row r="433" spans="1:19" s="17" customFormat="1">
      <c r="A433" s="16" t="s">
        <v>393</v>
      </c>
      <c r="B433" s="17" t="s">
        <v>19</v>
      </c>
      <c r="C433" s="18">
        <v>2</v>
      </c>
      <c r="D433" s="19" t="s">
        <v>43</v>
      </c>
      <c r="E433" s="20"/>
      <c r="F433" s="21">
        <v>1</v>
      </c>
      <c r="G433" s="22" t="s">
        <v>21</v>
      </c>
      <c r="H433" s="21">
        <v>144</v>
      </c>
      <c r="I433" s="22" t="s">
        <v>43</v>
      </c>
      <c r="J433" s="23">
        <v>20400</v>
      </c>
      <c r="K433" s="19" t="s">
        <v>43</v>
      </c>
      <c r="L433" s="24">
        <v>0.125</v>
      </c>
      <c r="M433" s="24">
        <v>0.05</v>
      </c>
      <c r="N433" s="18">
        <v>2</v>
      </c>
      <c r="O433" s="22" t="s">
        <v>43</v>
      </c>
      <c r="P433" s="18">
        <f t="shared" si="139"/>
        <v>0</v>
      </c>
      <c r="Q433" s="22" t="s">
        <v>43</v>
      </c>
      <c r="R433" s="23">
        <f t="shared" si="140"/>
        <v>0</v>
      </c>
      <c r="S433" s="23">
        <f t="shared" si="120"/>
        <v>0</v>
      </c>
    </row>
    <row r="434" spans="1:19" s="17" customFormat="1">
      <c r="A434" s="93" t="s">
        <v>732</v>
      </c>
      <c r="B434" s="17" t="s">
        <v>19</v>
      </c>
      <c r="C434" s="18"/>
      <c r="D434" s="19" t="s">
        <v>43</v>
      </c>
      <c r="E434" s="20"/>
      <c r="F434" s="21">
        <v>1</v>
      </c>
      <c r="G434" s="22" t="s">
        <v>21</v>
      </c>
      <c r="H434" s="21">
        <v>144</v>
      </c>
      <c r="I434" s="22" t="s">
        <v>43</v>
      </c>
      <c r="J434" s="23">
        <v>69600</v>
      </c>
      <c r="K434" s="19" t="s">
        <v>43</v>
      </c>
      <c r="L434" s="24">
        <v>0.125</v>
      </c>
      <c r="M434" s="24">
        <v>0.05</v>
      </c>
      <c r="N434" s="18"/>
      <c r="O434" s="22" t="s">
        <v>43</v>
      </c>
      <c r="P434" s="18">
        <f t="shared" si="139"/>
        <v>0</v>
      </c>
      <c r="Q434" s="22" t="s">
        <v>43</v>
      </c>
      <c r="R434" s="23">
        <f t="shared" si="140"/>
        <v>0</v>
      </c>
      <c r="S434" s="23">
        <f t="shared" si="120"/>
        <v>0</v>
      </c>
    </row>
    <row r="435" spans="1:19" s="17" customFormat="1">
      <c r="A435" s="93" t="s">
        <v>394</v>
      </c>
      <c r="B435" s="17" t="s">
        <v>19</v>
      </c>
      <c r="C435" s="18"/>
      <c r="D435" s="19" t="s">
        <v>43</v>
      </c>
      <c r="E435" s="20"/>
      <c r="F435" s="21">
        <v>1</v>
      </c>
      <c r="G435" s="22" t="s">
        <v>21</v>
      </c>
      <c r="H435" s="21">
        <v>144</v>
      </c>
      <c r="I435" s="22" t="s">
        <v>43</v>
      </c>
      <c r="J435" s="23">
        <v>27000</v>
      </c>
      <c r="K435" s="19" t="s">
        <v>43</v>
      </c>
      <c r="L435" s="24">
        <v>0.125</v>
      </c>
      <c r="M435" s="24">
        <v>0.05</v>
      </c>
      <c r="N435" s="18"/>
      <c r="O435" s="22" t="s">
        <v>43</v>
      </c>
      <c r="P435" s="18">
        <f t="shared" si="139"/>
        <v>0</v>
      </c>
      <c r="Q435" s="22" t="s">
        <v>43</v>
      </c>
      <c r="R435" s="23">
        <f t="shared" si="140"/>
        <v>0</v>
      </c>
      <c r="S435" s="23">
        <f t="shared" si="120"/>
        <v>0</v>
      </c>
    </row>
    <row r="436" spans="1:19" s="17" customFormat="1">
      <c r="A436" s="93" t="s">
        <v>395</v>
      </c>
      <c r="B436" s="17" t="s">
        <v>19</v>
      </c>
      <c r="C436" s="18"/>
      <c r="D436" s="19" t="s">
        <v>43</v>
      </c>
      <c r="E436" s="20">
        <v>5</v>
      </c>
      <c r="F436" s="21">
        <v>1</v>
      </c>
      <c r="G436" s="22" t="s">
        <v>21</v>
      </c>
      <c r="H436" s="21">
        <v>144</v>
      </c>
      <c r="I436" s="22" t="s">
        <v>43</v>
      </c>
      <c r="J436" s="23">
        <v>43200</v>
      </c>
      <c r="K436" s="19" t="s">
        <v>43</v>
      </c>
      <c r="L436" s="24">
        <v>0.125</v>
      </c>
      <c r="M436" s="24">
        <v>0.05</v>
      </c>
      <c r="N436" s="18">
        <v>720</v>
      </c>
      <c r="O436" s="22" t="s">
        <v>43</v>
      </c>
      <c r="P436" s="18">
        <f t="shared" si="139"/>
        <v>0</v>
      </c>
      <c r="Q436" s="22" t="s">
        <v>43</v>
      </c>
      <c r="R436" s="23">
        <f t="shared" si="140"/>
        <v>0</v>
      </c>
      <c r="S436" s="23">
        <f t="shared" ref="S436:S508" si="141">R436/1.11</f>
        <v>0</v>
      </c>
    </row>
    <row r="437" spans="1:19" s="17" customFormat="1">
      <c r="A437" s="93" t="s">
        <v>396</v>
      </c>
      <c r="B437" s="17" t="s">
        <v>19</v>
      </c>
      <c r="C437" s="18"/>
      <c r="D437" s="19" t="s">
        <v>43</v>
      </c>
      <c r="E437" s="20"/>
      <c r="F437" s="21">
        <v>1</v>
      </c>
      <c r="G437" s="22" t="s">
        <v>21</v>
      </c>
      <c r="H437" s="21">
        <v>144</v>
      </c>
      <c r="I437" s="22" t="s">
        <v>43</v>
      </c>
      <c r="J437" s="23">
        <v>22800</v>
      </c>
      <c r="K437" s="19" t="s">
        <v>43</v>
      </c>
      <c r="L437" s="24">
        <v>0.125</v>
      </c>
      <c r="M437" s="24">
        <v>0.05</v>
      </c>
      <c r="N437" s="18"/>
      <c r="O437" s="22" t="s">
        <v>43</v>
      </c>
      <c r="P437" s="18">
        <f t="shared" si="139"/>
        <v>0</v>
      </c>
      <c r="Q437" s="22" t="s">
        <v>43</v>
      </c>
      <c r="R437" s="23">
        <f t="shared" si="140"/>
        <v>0</v>
      </c>
      <c r="S437" s="23">
        <f t="shared" si="141"/>
        <v>0</v>
      </c>
    </row>
    <row r="438" spans="1:19" s="45" customFormat="1">
      <c r="A438" s="94" t="s">
        <v>397</v>
      </c>
      <c r="B438" s="45" t="s">
        <v>19</v>
      </c>
      <c r="C438" s="46">
        <v>1564</v>
      </c>
      <c r="D438" s="47" t="s">
        <v>43</v>
      </c>
      <c r="E438" s="48"/>
      <c r="F438" s="49">
        <v>1</v>
      </c>
      <c r="G438" s="50" t="s">
        <v>21</v>
      </c>
      <c r="H438" s="49">
        <v>144</v>
      </c>
      <c r="I438" s="50" t="s">
        <v>43</v>
      </c>
      <c r="J438" s="51">
        <v>26400</v>
      </c>
      <c r="K438" s="47" t="s">
        <v>43</v>
      </c>
      <c r="L438" s="52">
        <v>0.125</v>
      </c>
      <c r="M438" s="52">
        <v>0.05</v>
      </c>
      <c r="N438" s="46">
        <f>6+144+36+1+36</f>
        <v>223</v>
      </c>
      <c r="O438" s="116" t="s">
        <v>43</v>
      </c>
      <c r="P438" s="46">
        <f t="shared" si="139"/>
        <v>1341</v>
      </c>
      <c r="Q438" s="50" t="s">
        <v>43</v>
      </c>
      <c r="R438" s="51">
        <f t="shared" si="140"/>
        <v>29428245</v>
      </c>
      <c r="S438" s="51">
        <f t="shared" si="141"/>
        <v>26511932.432432432</v>
      </c>
    </row>
    <row r="439" spans="1:19" s="26" customFormat="1">
      <c r="A439" s="94" t="s">
        <v>398</v>
      </c>
      <c r="B439" s="26" t="s">
        <v>19</v>
      </c>
      <c r="C439" s="27">
        <v>1440</v>
      </c>
      <c r="D439" s="28" t="s">
        <v>43</v>
      </c>
      <c r="E439" s="29"/>
      <c r="F439" s="30">
        <v>1</v>
      </c>
      <c r="G439" s="31" t="s">
        <v>21</v>
      </c>
      <c r="H439" s="30">
        <v>144</v>
      </c>
      <c r="I439" s="31" t="s">
        <v>43</v>
      </c>
      <c r="J439" s="32">
        <v>27000</v>
      </c>
      <c r="K439" s="28" t="s">
        <v>43</v>
      </c>
      <c r="L439" s="33">
        <v>0.125</v>
      </c>
      <c r="M439" s="33">
        <v>0.05</v>
      </c>
      <c r="N439" s="27">
        <f>6+36+12+6+3+6+36+24+144+12+144</f>
        <v>429</v>
      </c>
      <c r="O439" s="31" t="s">
        <v>43</v>
      </c>
      <c r="P439" s="27">
        <f t="shared" si="139"/>
        <v>1011</v>
      </c>
      <c r="Q439" s="31" t="s">
        <v>43</v>
      </c>
      <c r="R439" s="32">
        <f t="shared" si="140"/>
        <v>22690631.25</v>
      </c>
      <c r="S439" s="32">
        <f t="shared" si="141"/>
        <v>20442010.135135133</v>
      </c>
    </row>
    <row r="440" spans="1:19" s="17" customFormat="1">
      <c r="A440" s="93" t="s">
        <v>399</v>
      </c>
      <c r="B440" s="17" t="s">
        <v>19</v>
      </c>
      <c r="C440" s="18"/>
      <c r="D440" s="19" t="s">
        <v>43</v>
      </c>
      <c r="E440" s="20"/>
      <c r="F440" s="21">
        <v>1</v>
      </c>
      <c r="G440" s="22" t="s">
        <v>21</v>
      </c>
      <c r="H440" s="21">
        <v>144</v>
      </c>
      <c r="I440" s="22" t="s">
        <v>43</v>
      </c>
      <c r="J440" s="23">
        <v>25800</v>
      </c>
      <c r="K440" s="19" t="s">
        <v>43</v>
      </c>
      <c r="L440" s="24">
        <v>0.125</v>
      </c>
      <c r="M440" s="24">
        <v>0.05</v>
      </c>
      <c r="N440" s="18"/>
      <c r="O440" s="22" t="s">
        <v>43</v>
      </c>
      <c r="P440" s="18">
        <f t="shared" si="139"/>
        <v>0</v>
      </c>
      <c r="Q440" s="22" t="s">
        <v>43</v>
      </c>
      <c r="R440" s="23">
        <f t="shared" si="140"/>
        <v>0</v>
      </c>
      <c r="S440" s="23">
        <f t="shared" si="141"/>
        <v>0</v>
      </c>
    </row>
    <row r="441" spans="1:19" s="17" customFormat="1">
      <c r="A441" s="16" t="s">
        <v>400</v>
      </c>
      <c r="B441" s="17" t="s">
        <v>19</v>
      </c>
      <c r="C441" s="18"/>
      <c r="D441" s="19" t="s">
        <v>43</v>
      </c>
      <c r="E441" s="20"/>
      <c r="F441" s="21">
        <v>1</v>
      </c>
      <c r="G441" s="22" t="s">
        <v>21</v>
      </c>
      <c r="H441" s="21">
        <v>144</v>
      </c>
      <c r="I441" s="22" t="s">
        <v>43</v>
      </c>
      <c r="J441" s="23">
        <v>14100</v>
      </c>
      <c r="K441" s="19" t="s">
        <v>43</v>
      </c>
      <c r="L441" s="24">
        <v>0.125</v>
      </c>
      <c r="M441" s="24">
        <v>0.05</v>
      </c>
      <c r="N441" s="18"/>
      <c r="O441" s="22" t="s">
        <v>43</v>
      </c>
      <c r="P441" s="18">
        <f t="shared" si="139"/>
        <v>0</v>
      </c>
      <c r="Q441" s="22" t="s">
        <v>43</v>
      </c>
      <c r="R441" s="23">
        <f t="shared" si="140"/>
        <v>0</v>
      </c>
      <c r="S441" s="23">
        <f t="shared" si="141"/>
        <v>0</v>
      </c>
    </row>
    <row r="442" spans="1:19" s="17" customFormat="1">
      <c r="A442" s="16" t="s">
        <v>780</v>
      </c>
      <c r="B442" s="17" t="s">
        <v>19</v>
      </c>
      <c r="C442" s="18"/>
      <c r="D442" s="19" t="s">
        <v>43</v>
      </c>
      <c r="E442" s="20">
        <v>1</v>
      </c>
      <c r="F442" s="21">
        <v>1</v>
      </c>
      <c r="G442" s="22" t="s">
        <v>21</v>
      </c>
      <c r="H442" s="21">
        <v>144</v>
      </c>
      <c r="I442" s="22" t="s">
        <v>43</v>
      </c>
      <c r="J442" s="23">
        <v>25800</v>
      </c>
      <c r="K442" s="19" t="s">
        <v>43</v>
      </c>
      <c r="L442" s="24">
        <v>0.125</v>
      </c>
      <c r="M442" s="24">
        <v>0.05</v>
      </c>
      <c r="N442" s="18">
        <v>144</v>
      </c>
      <c r="O442" s="22" t="s">
        <v>43</v>
      </c>
      <c r="P442" s="18">
        <f t="shared" ref="P442" si="142">(C442+(E442*F442*H442))-N442</f>
        <v>0</v>
      </c>
      <c r="Q442" s="22" t="s">
        <v>43</v>
      </c>
      <c r="R442" s="23">
        <f t="shared" ref="R442" si="143">P442*(J442-(J442*L442)-((J442-(J442*L442))*M442))</f>
        <v>0</v>
      </c>
      <c r="S442" s="23">
        <f t="shared" ref="S442" si="144">R442/1.11</f>
        <v>0</v>
      </c>
    </row>
    <row r="443" spans="1:19" s="26" customFormat="1">
      <c r="A443" s="25" t="s">
        <v>401</v>
      </c>
      <c r="B443" s="26" t="s">
        <v>19</v>
      </c>
      <c r="C443" s="27">
        <v>288</v>
      </c>
      <c r="D443" s="28" t="s">
        <v>43</v>
      </c>
      <c r="E443" s="29"/>
      <c r="F443" s="30">
        <v>1</v>
      </c>
      <c r="G443" s="31" t="s">
        <v>21</v>
      </c>
      <c r="H443" s="30">
        <v>144</v>
      </c>
      <c r="I443" s="31" t="s">
        <v>43</v>
      </c>
      <c r="J443" s="32">
        <v>20400</v>
      </c>
      <c r="K443" s="28" t="s">
        <v>43</v>
      </c>
      <c r="L443" s="33">
        <v>0.125</v>
      </c>
      <c r="M443" s="33">
        <v>0.05</v>
      </c>
      <c r="N443" s="27"/>
      <c r="O443" s="31" t="s">
        <v>43</v>
      </c>
      <c r="P443" s="27">
        <f t="shared" si="139"/>
        <v>288</v>
      </c>
      <c r="Q443" s="31" t="s">
        <v>43</v>
      </c>
      <c r="R443" s="32">
        <f t="shared" si="140"/>
        <v>4883760</v>
      </c>
      <c r="S443" s="32">
        <f t="shared" si="141"/>
        <v>4399783.7837837832</v>
      </c>
    </row>
    <row r="444" spans="1:19" s="17" customFormat="1">
      <c r="A444" s="16" t="s">
        <v>402</v>
      </c>
      <c r="B444" s="17" t="s">
        <v>26</v>
      </c>
      <c r="C444" s="18"/>
      <c r="D444" s="19" t="s">
        <v>43</v>
      </c>
      <c r="E444" s="20"/>
      <c r="F444" s="21">
        <v>1</v>
      </c>
      <c r="G444" s="22" t="s">
        <v>21</v>
      </c>
      <c r="H444" s="21">
        <v>144</v>
      </c>
      <c r="I444" s="22" t="s">
        <v>43</v>
      </c>
      <c r="J444" s="23">
        <v>25200</v>
      </c>
      <c r="K444" s="19" t="s">
        <v>43</v>
      </c>
      <c r="L444" s="24"/>
      <c r="M444" s="24">
        <v>0.17</v>
      </c>
      <c r="N444" s="18"/>
      <c r="O444" s="22" t="s">
        <v>43</v>
      </c>
      <c r="P444" s="18">
        <f t="shared" ref="P444" si="145">(C444+(E444*F444*H444))-N444</f>
        <v>0</v>
      </c>
      <c r="Q444" s="22" t="s">
        <v>43</v>
      </c>
      <c r="R444" s="23">
        <f t="shared" ref="R444" si="146">P444*(J444-(J444*L444)-((J444-(J444*L444))*M444))</f>
        <v>0</v>
      </c>
      <c r="S444" s="23">
        <f t="shared" ref="S444" si="147">R444/1.11</f>
        <v>0</v>
      </c>
    </row>
    <row r="445" spans="1:19" s="26" customFormat="1">
      <c r="A445" s="25" t="s">
        <v>751</v>
      </c>
      <c r="B445" s="26" t="s">
        <v>26</v>
      </c>
      <c r="C445" s="27"/>
      <c r="D445" s="28" t="s">
        <v>43</v>
      </c>
      <c r="E445" s="29">
        <f>1+1</f>
        <v>2</v>
      </c>
      <c r="F445" s="30">
        <v>1</v>
      </c>
      <c r="G445" s="31" t="s">
        <v>21</v>
      </c>
      <c r="H445" s="30">
        <v>144</v>
      </c>
      <c r="I445" s="31" t="s">
        <v>43</v>
      </c>
      <c r="J445" s="32">
        <f>3758400/144</f>
        <v>26100</v>
      </c>
      <c r="K445" s="28" t="s">
        <v>43</v>
      </c>
      <c r="L445" s="33"/>
      <c r="M445" s="33">
        <v>0.17</v>
      </c>
      <c r="N445" s="27">
        <v>144</v>
      </c>
      <c r="O445" s="31" t="s">
        <v>43</v>
      </c>
      <c r="P445" s="27">
        <f t="shared" si="139"/>
        <v>144</v>
      </c>
      <c r="Q445" s="31" t="s">
        <v>43</v>
      </c>
      <c r="R445" s="32">
        <f t="shared" si="140"/>
        <v>3119472</v>
      </c>
      <c r="S445" s="32">
        <f t="shared" si="141"/>
        <v>2810335.1351351347</v>
      </c>
    </row>
    <row r="446" spans="1:19" s="26" customFormat="1">
      <c r="A446" s="25" t="s">
        <v>403</v>
      </c>
      <c r="B446" s="26" t="s">
        <v>26</v>
      </c>
      <c r="C446" s="27">
        <v>132</v>
      </c>
      <c r="D446" s="28" t="s">
        <v>43</v>
      </c>
      <c r="E446" s="29"/>
      <c r="F446" s="30">
        <v>1</v>
      </c>
      <c r="G446" s="31" t="s">
        <v>21</v>
      </c>
      <c r="H446" s="30">
        <v>144</v>
      </c>
      <c r="I446" s="31" t="s">
        <v>43</v>
      </c>
      <c r="J446" s="32">
        <f>3715200/144</f>
        <v>25800</v>
      </c>
      <c r="K446" s="28" t="s">
        <v>43</v>
      </c>
      <c r="L446" s="33"/>
      <c r="M446" s="33">
        <v>0.17</v>
      </c>
      <c r="N446" s="27">
        <v>36</v>
      </c>
      <c r="O446" s="31" t="s">
        <v>43</v>
      </c>
      <c r="P446" s="27">
        <f t="shared" si="139"/>
        <v>96</v>
      </c>
      <c r="Q446" s="31" t="s">
        <v>43</v>
      </c>
      <c r="R446" s="32">
        <f t="shared" si="140"/>
        <v>2055744</v>
      </c>
      <c r="S446" s="32">
        <f t="shared" si="141"/>
        <v>1852021.6216216215</v>
      </c>
    </row>
    <row r="447" spans="1:19" s="17" customFormat="1">
      <c r="A447" s="16" t="s">
        <v>414</v>
      </c>
      <c r="B447" s="17" t="s">
        <v>26</v>
      </c>
      <c r="C447" s="18"/>
      <c r="D447" s="19" t="s">
        <v>43</v>
      </c>
      <c r="E447" s="20"/>
      <c r="F447" s="21">
        <v>1</v>
      </c>
      <c r="G447" s="22" t="s">
        <v>21</v>
      </c>
      <c r="H447" s="21">
        <v>144</v>
      </c>
      <c r="I447" s="22" t="s">
        <v>43</v>
      </c>
      <c r="J447" s="23">
        <v>25800</v>
      </c>
      <c r="K447" s="19" t="s">
        <v>43</v>
      </c>
      <c r="L447" s="24"/>
      <c r="M447" s="24">
        <v>0.17</v>
      </c>
      <c r="N447" s="18"/>
      <c r="O447" s="22" t="s">
        <v>43</v>
      </c>
      <c r="P447" s="18">
        <f>(C447+(E447*F447*H447))-N447</f>
        <v>0</v>
      </c>
      <c r="Q447" s="22" t="s">
        <v>43</v>
      </c>
      <c r="R447" s="23">
        <f>P447*(J447-(J447*L447)-((J447-(J447*L447))*M447))</f>
        <v>0</v>
      </c>
      <c r="S447" s="23">
        <f>R447/1.11</f>
        <v>0</v>
      </c>
    </row>
    <row r="448" spans="1:19" s="26" customFormat="1">
      <c r="A448" s="94" t="s">
        <v>404</v>
      </c>
      <c r="B448" s="26" t="s">
        <v>26</v>
      </c>
      <c r="C448" s="27"/>
      <c r="D448" s="28" t="s">
        <v>43</v>
      </c>
      <c r="E448" s="29">
        <v>3</v>
      </c>
      <c r="F448" s="30">
        <v>1</v>
      </c>
      <c r="G448" s="31" t="s">
        <v>21</v>
      </c>
      <c r="H448" s="30">
        <v>144</v>
      </c>
      <c r="I448" s="31" t="s">
        <v>43</v>
      </c>
      <c r="J448" s="32">
        <f>3758400/144</f>
        <v>26100</v>
      </c>
      <c r="K448" s="28" t="s">
        <v>43</v>
      </c>
      <c r="L448" s="33"/>
      <c r="M448" s="33">
        <v>0.17</v>
      </c>
      <c r="N448" s="27">
        <f>72+60</f>
        <v>132</v>
      </c>
      <c r="O448" s="31" t="s">
        <v>43</v>
      </c>
      <c r="P448" s="27">
        <f t="shared" si="139"/>
        <v>300</v>
      </c>
      <c r="Q448" s="31" t="s">
        <v>43</v>
      </c>
      <c r="R448" s="32">
        <f t="shared" si="140"/>
        <v>6498900</v>
      </c>
      <c r="S448" s="32">
        <f t="shared" si="141"/>
        <v>5854864.8648648644</v>
      </c>
    </row>
    <row r="449" spans="1:20">
      <c r="A449" s="93" t="s">
        <v>405</v>
      </c>
      <c r="B449" s="17" t="s">
        <v>26</v>
      </c>
      <c r="C449" s="18">
        <v>123</v>
      </c>
      <c r="D449" s="19" t="s">
        <v>43</v>
      </c>
      <c r="E449" s="20"/>
      <c r="F449" s="21">
        <v>1</v>
      </c>
      <c r="G449" s="22" t="s">
        <v>21</v>
      </c>
      <c r="H449" s="21">
        <v>144</v>
      </c>
      <c r="I449" s="22" t="s">
        <v>43</v>
      </c>
      <c r="J449" s="23">
        <f>3628800/144</f>
        <v>25200</v>
      </c>
      <c r="K449" s="19" t="s">
        <v>43</v>
      </c>
      <c r="L449" s="24"/>
      <c r="M449" s="24">
        <v>0.17</v>
      </c>
      <c r="N449" s="18">
        <f>36+72+12+3</f>
        <v>123</v>
      </c>
      <c r="O449" s="22" t="s">
        <v>43</v>
      </c>
      <c r="P449" s="18">
        <f t="shared" si="139"/>
        <v>0</v>
      </c>
      <c r="Q449" s="22" t="s">
        <v>43</v>
      </c>
      <c r="R449" s="23">
        <f t="shared" si="140"/>
        <v>0</v>
      </c>
      <c r="S449" s="23">
        <f t="shared" si="141"/>
        <v>0</v>
      </c>
      <c r="T449" s="17"/>
    </row>
    <row r="450" spans="1:20" s="17" customFormat="1">
      <c r="A450" s="93" t="s">
        <v>406</v>
      </c>
      <c r="B450" s="17" t="s">
        <v>26</v>
      </c>
      <c r="C450" s="18"/>
      <c r="D450" s="19" t="s">
        <v>43</v>
      </c>
      <c r="E450" s="20"/>
      <c r="F450" s="21">
        <v>1</v>
      </c>
      <c r="G450" s="22" t="s">
        <v>21</v>
      </c>
      <c r="H450" s="21">
        <v>144</v>
      </c>
      <c r="I450" s="22" t="s">
        <v>43</v>
      </c>
      <c r="J450" s="23">
        <f>3628800/144</f>
        <v>25200</v>
      </c>
      <c r="K450" s="19" t="s">
        <v>43</v>
      </c>
      <c r="L450" s="24"/>
      <c r="M450" s="24">
        <v>0.17</v>
      </c>
      <c r="N450" s="18"/>
      <c r="O450" s="22" t="s">
        <v>43</v>
      </c>
      <c r="P450" s="18">
        <f t="shared" si="139"/>
        <v>0</v>
      </c>
      <c r="Q450" s="22" t="s">
        <v>43</v>
      </c>
      <c r="R450" s="23">
        <f t="shared" si="140"/>
        <v>0</v>
      </c>
      <c r="S450" s="23">
        <f t="shared" si="141"/>
        <v>0</v>
      </c>
    </row>
    <row r="451" spans="1:20" s="45" customFormat="1">
      <c r="A451" s="44" t="s">
        <v>407</v>
      </c>
      <c r="B451" s="45" t="s">
        <v>26</v>
      </c>
      <c r="C451" s="46">
        <v>933</v>
      </c>
      <c r="D451" s="47" t="s">
        <v>43</v>
      </c>
      <c r="E451" s="48">
        <f>(15+2)+3+(10+2)+15</f>
        <v>47</v>
      </c>
      <c r="F451" s="49">
        <v>1</v>
      </c>
      <c r="G451" s="50" t="s">
        <v>21</v>
      </c>
      <c r="H451" s="49">
        <v>144</v>
      </c>
      <c r="I451" s="50" t="s">
        <v>43</v>
      </c>
      <c r="J451" s="51">
        <f>5356800/144</f>
        <v>37200</v>
      </c>
      <c r="K451" s="47" t="s">
        <v>43</v>
      </c>
      <c r="L451" s="52"/>
      <c r="M451" s="52">
        <v>0.17</v>
      </c>
      <c r="N451" s="46">
        <f>144+288+144+36+26+10+60+288+(144+144)+144+144+144+144+144+144+144+144+72+144+144+72+72+(36+36)+36+144+12+144+144+144+72+144+144+288+144+144+144+144+144+36+288+144+144+288+(144+144)+(288+144)</f>
        <v>6624</v>
      </c>
      <c r="O451" s="50" t="s">
        <v>43</v>
      </c>
      <c r="P451" s="46">
        <f t="shared" si="139"/>
        <v>1077</v>
      </c>
      <c r="Q451" s="50" t="s">
        <v>43</v>
      </c>
      <c r="R451" s="51">
        <f t="shared" si="140"/>
        <v>33253452</v>
      </c>
      <c r="S451" s="51">
        <f t="shared" si="141"/>
        <v>29958064.864864863</v>
      </c>
    </row>
    <row r="452" spans="1:20" s="17" customFormat="1">
      <c r="A452" s="16" t="s">
        <v>408</v>
      </c>
      <c r="B452" s="17" t="s">
        <v>26</v>
      </c>
      <c r="C452" s="18"/>
      <c r="D452" s="19" t="s">
        <v>43</v>
      </c>
      <c r="E452" s="20"/>
      <c r="F452" s="21">
        <v>1</v>
      </c>
      <c r="G452" s="22" t="s">
        <v>21</v>
      </c>
      <c r="H452" s="21">
        <v>144</v>
      </c>
      <c r="I452" s="22" t="s">
        <v>43</v>
      </c>
      <c r="J452" s="23">
        <f>5356800/144</f>
        <v>37200</v>
      </c>
      <c r="K452" s="19" t="s">
        <v>43</v>
      </c>
      <c r="L452" s="24"/>
      <c r="M452" s="24">
        <v>0.17</v>
      </c>
      <c r="N452" s="18"/>
      <c r="O452" s="22" t="s">
        <v>43</v>
      </c>
      <c r="P452" s="18">
        <f t="shared" si="139"/>
        <v>0</v>
      </c>
      <c r="Q452" s="22" t="s">
        <v>43</v>
      </c>
      <c r="R452" s="23">
        <f t="shared" si="140"/>
        <v>0</v>
      </c>
      <c r="S452" s="23">
        <f t="shared" si="141"/>
        <v>0</v>
      </c>
    </row>
    <row r="453" spans="1:20" s="17" customFormat="1">
      <c r="A453" s="95" t="s">
        <v>409</v>
      </c>
      <c r="B453" s="96" t="s">
        <v>26</v>
      </c>
      <c r="C453" s="97">
        <f>143+1</f>
        <v>144</v>
      </c>
      <c r="D453" s="98" t="s">
        <v>43</v>
      </c>
      <c r="E453" s="105"/>
      <c r="F453" s="100">
        <v>1</v>
      </c>
      <c r="G453" s="101" t="s">
        <v>21</v>
      </c>
      <c r="H453" s="100">
        <v>144</v>
      </c>
      <c r="I453" s="101" t="s">
        <v>43</v>
      </c>
      <c r="J453" s="102">
        <f>5184000/144</f>
        <v>36000</v>
      </c>
      <c r="K453" s="98" t="s">
        <v>43</v>
      </c>
      <c r="L453" s="103"/>
      <c r="M453" s="103">
        <v>0.17</v>
      </c>
      <c r="N453" s="97">
        <v>144</v>
      </c>
      <c r="O453" s="101" t="s">
        <v>43</v>
      </c>
      <c r="P453" s="97">
        <f t="shared" ref="P453" si="148">(C453+(E453*F453*H453))-N453</f>
        <v>0</v>
      </c>
      <c r="Q453" s="101" t="s">
        <v>43</v>
      </c>
      <c r="R453" s="102">
        <f t="shared" ref="R453" si="149">P453*(J453-(J453*L453)-((J453-(J453*L453))*M453))</f>
        <v>0</v>
      </c>
      <c r="S453" s="102">
        <f t="shared" ref="S453" si="150">R453/1.11</f>
        <v>0</v>
      </c>
    </row>
    <row r="454" spans="1:20" s="26" customFormat="1">
      <c r="A454" s="35" t="s">
        <v>409</v>
      </c>
      <c r="B454" s="36" t="s">
        <v>26</v>
      </c>
      <c r="C454" s="37"/>
      <c r="D454" s="38" t="s">
        <v>43</v>
      </c>
      <c r="E454" s="39">
        <f>1+1</f>
        <v>2</v>
      </c>
      <c r="F454" s="40">
        <v>1</v>
      </c>
      <c r="G454" s="41" t="s">
        <v>21</v>
      </c>
      <c r="H454" s="40">
        <v>144</v>
      </c>
      <c r="I454" s="41" t="s">
        <v>43</v>
      </c>
      <c r="J454" s="42">
        <f>5356800/144</f>
        <v>37200</v>
      </c>
      <c r="K454" s="38" t="s">
        <v>43</v>
      </c>
      <c r="L454" s="43"/>
      <c r="M454" s="43">
        <v>0.17</v>
      </c>
      <c r="N454" s="37">
        <v>6</v>
      </c>
      <c r="O454" s="41" t="s">
        <v>43</v>
      </c>
      <c r="P454" s="37">
        <f t="shared" si="139"/>
        <v>282</v>
      </c>
      <c r="Q454" s="41" t="s">
        <v>43</v>
      </c>
      <c r="R454" s="42">
        <f t="shared" si="140"/>
        <v>8707032</v>
      </c>
      <c r="S454" s="42">
        <f t="shared" si="141"/>
        <v>7844172.9729729723</v>
      </c>
    </row>
    <row r="455" spans="1:20" s="45" customFormat="1">
      <c r="A455" s="44" t="s">
        <v>410</v>
      </c>
      <c r="B455" s="45" t="s">
        <v>26</v>
      </c>
      <c r="C455" s="46">
        <v>230</v>
      </c>
      <c r="D455" s="47" t="s">
        <v>43</v>
      </c>
      <c r="E455" s="48">
        <f>2+1+1+1+2</f>
        <v>7</v>
      </c>
      <c r="F455" s="49">
        <v>1</v>
      </c>
      <c r="G455" s="50" t="s">
        <v>21</v>
      </c>
      <c r="H455" s="49">
        <v>144</v>
      </c>
      <c r="I455" s="50" t="s">
        <v>43</v>
      </c>
      <c r="J455" s="51">
        <f>5443200/144</f>
        <v>37800</v>
      </c>
      <c r="K455" s="47" t="s">
        <v>43</v>
      </c>
      <c r="L455" s="52"/>
      <c r="M455" s="52">
        <v>0.17</v>
      </c>
      <c r="N455" s="46">
        <f>144+144+12+36+12+12+12+24+144+12+72+36+36+72</f>
        <v>768</v>
      </c>
      <c r="O455" s="50" t="s">
        <v>43</v>
      </c>
      <c r="P455" s="46">
        <f t="shared" si="139"/>
        <v>470</v>
      </c>
      <c r="Q455" s="50" t="s">
        <v>43</v>
      </c>
      <c r="R455" s="51">
        <f t="shared" si="140"/>
        <v>14745780</v>
      </c>
      <c r="S455" s="51">
        <f t="shared" si="141"/>
        <v>13284486.486486485</v>
      </c>
    </row>
    <row r="456" spans="1:20" s="17" customFormat="1">
      <c r="A456" s="25" t="s">
        <v>411</v>
      </c>
      <c r="B456" s="26" t="s">
        <v>26</v>
      </c>
      <c r="C456" s="27">
        <v>182</v>
      </c>
      <c r="D456" s="28" t="s">
        <v>43</v>
      </c>
      <c r="E456" s="29">
        <f>2+1</f>
        <v>3</v>
      </c>
      <c r="F456" s="30">
        <v>1</v>
      </c>
      <c r="G456" s="31" t="s">
        <v>21</v>
      </c>
      <c r="H456" s="30">
        <v>144</v>
      </c>
      <c r="I456" s="31" t="s">
        <v>43</v>
      </c>
      <c r="J456" s="32">
        <f>2764800/144</f>
        <v>19200</v>
      </c>
      <c r="K456" s="28" t="s">
        <v>43</v>
      </c>
      <c r="L456" s="33"/>
      <c r="M456" s="33">
        <v>0.17</v>
      </c>
      <c r="N456" s="27">
        <f>144+36+144+78+12</f>
        <v>414</v>
      </c>
      <c r="O456" s="31" t="s">
        <v>43</v>
      </c>
      <c r="P456" s="27">
        <f t="shared" si="139"/>
        <v>200</v>
      </c>
      <c r="Q456" s="31" t="s">
        <v>43</v>
      </c>
      <c r="R456" s="32">
        <f t="shared" si="140"/>
        <v>3187200</v>
      </c>
      <c r="S456" s="32">
        <f t="shared" si="141"/>
        <v>2871351.351351351</v>
      </c>
      <c r="T456" s="26"/>
    </row>
    <row r="457" spans="1:20" s="26" customFormat="1">
      <c r="A457" s="16" t="s">
        <v>412</v>
      </c>
      <c r="B457" s="17" t="s">
        <v>26</v>
      </c>
      <c r="C457" s="18">
        <v>36</v>
      </c>
      <c r="D457" s="19" t="s">
        <v>43</v>
      </c>
      <c r="E457" s="20"/>
      <c r="F457" s="21">
        <v>1</v>
      </c>
      <c r="G457" s="22" t="s">
        <v>21</v>
      </c>
      <c r="H457" s="21">
        <v>144</v>
      </c>
      <c r="I457" s="22" t="s">
        <v>43</v>
      </c>
      <c r="J457" s="23">
        <f>2764800/144</f>
        <v>19200</v>
      </c>
      <c r="K457" s="19" t="s">
        <v>43</v>
      </c>
      <c r="L457" s="24"/>
      <c r="M457" s="24">
        <v>0.17</v>
      </c>
      <c r="N457" s="18">
        <v>36</v>
      </c>
      <c r="O457" s="22" t="s">
        <v>43</v>
      </c>
      <c r="P457" s="18">
        <f t="shared" si="139"/>
        <v>0</v>
      </c>
      <c r="Q457" s="22" t="s">
        <v>43</v>
      </c>
      <c r="R457" s="23">
        <f t="shared" si="140"/>
        <v>0</v>
      </c>
      <c r="S457" s="23">
        <f t="shared" si="141"/>
        <v>0</v>
      </c>
      <c r="T457" s="17"/>
    </row>
    <row r="458" spans="1:20" s="26" customFormat="1">
      <c r="A458" s="16" t="s">
        <v>413</v>
      </c>
      <c r="B458" s="17" t="s">
        <v>26</v>
      </c>
      <c r="C458" s="18"/>
      <c r="D458" s="19" t="s">
        <v>43</v>
      </c>
      <c r="E458" s="20"/>
      <c r="F458" s="21">
        <v>1</v>
      </c>
      <c r="G458" s="22" t="s">
        <v>21</v>
      </c>
      <c r="H458" s="21">
        <v>144</v>
      </c>
      <c r="I458" s="22" t="s">
        <v>43</v>
      </c>
      <c r="J458" s="23">
        <v>23400</v>
      </c>
      <c r="K458" s="19" t="s">
        <v>43</v>
      </c>
      <c r="L458" s="24"/>
      <c r="M458" s="24">
        <v>0.17</v>
      </c>
      <c r="N458" s="18"/>
      <c r="O458" s="22" t="s">
        <v>43</v>
      </c>
      <c r="P458" s="18">
        <f t="shared" si="139"/>
        <v>0</v>
      </c>
      <c r="Q458" s="22" t="s">
        <v>43</v>
      </c>
      <c r="R458" s="23">
        <f t="shared" si="140"/>
        <v>0</v>
      </c>
      <c r="S458" s="23">
        <f t="shared" si="141"/>
        <v>0</v>
      </c>
      <c r="T458" s="17"/>
    </row>
    <row r="459" spans="1:20" s="45" customFormat="1">
      <c r="A459" s="44" t="s">
        <v>415</v>
      </c>
      <c r="B459" s="45" t="s">
        <v>26</v>
      </c>
      <c r="C459" s="46">
        <v>408</v>
      </c>
      <c r="D459" s="47" t="s">
        <v>43</v>
      </c>
      <c r="E459" s="48"/>
      <c r="F459" s="49">
        <v>1</v>
      </c>
      <c r="G459" s="50" t="s">
        <v>21</v>
      </c>
      <c r="H459" s="49">
        <v>144</v>
      </c>
      <c r="I459" s="50" t="s">
        <v>43</v>
      </c>
      <c r="J459" s="51">
        <f>3369600/144</f>
        <v>23400</v>
      </c>
      <c r="K459" s="47" t="s">
        <v>43</v>
      </c>
      <c r="L459" s="52"/>
      <c r="M459" s="52">
        <v>0.17</v>
      </c>
      <c r="N459" s="46">
        <f>36+12+72</f>
        <v>120</v>
      </c>
      <c r="O459" s="50" t="s">
        <v>43</v>
      </c>
      <c r="P459" s="46">
        <f t="shared" si="139"/>
        <v>288</v>
      </c>
      <c r="Q459" s="50" t="s">
        <v>43</v>
      </c>
      <c r="R459" s="51">
        <f t="shared" si="140"/>
        <v>5593536</v>
      </c>
      <c r="S459" s="51">
        <f t="shared" si="141"/>
        <v>5039221.6216216208</v>
      </c>
    </row>
    <row r="460" spans="1:20" s="45" customFormat="1">
      <c r="A460" s="44" t="s">
        <v>416</v>
      </c>
      <c r="B460" s="45" t="s">
        <v>26</v>
      </c>
      <c r="C460" s="46">
        <v>1908</v>
      </c>
      <c r="D460" s="47" t="s">
        <v>43</v>
      </c>
      <c r="E460" s="48">
        <f>8+2+30</f>
        <v>40</v>
      </c>
      <c r="F460" s="49">
        <v>1</v>
      </c>
      <c r="G460" s="50" t="s">
        <v>21</v>
      </c>
      <c r="H460" s="49">
        <v>144</v>
      </c>
      <c r="I460" s="50" t="s">
        <v>43</v>
      </c>
      <c r="J460" s="51">
        <f>3110400/144</f>
        <v>21600</v>
      </c>
      <c r="K460" s="47" t="s">
        <v>43</v>
      </c>
      <c r="L460" s="52"/>
      <c r="M460" s="52">
        <v>0.17</v>
      </c>
      <c r="N460" s="46">
        <f>144+720+144+72+36+144+144+144+144+144+432+144+144+144+144+288+144+432+24+24+12+36+432</f>
        <v>4236</v>
      </c>
      <c r="O460" s="50" t="s">
        <v>43</v>
      </c>
      <c r="P460" s="46">
        <f t="shared" si="139"/>
        <v>3432</v>
      </c>
      <c r="Q460" s="50" t="s">
        <v>43</v>
      </c>
      <c r="R460" s="51">
        <f t="shared" si="140"/>
        <v>61528896</v>
      </c>
      <c r="S460" s="51">
        <f t="shared" si="141"/>
        <v>55431437.83783783</v>
      </c>
    </row>
    <row r="461" spans="1:20" s="45" customFormat="1">
      <c r="A461" s="44" t="s">
        <v>417</v>
      </c>
      <c r="B461" s="45" t="s">
        <v>26</v>
      </c>
      <c r="C461" s="46"/>
      <c r="D461" s="47" t="s">
        <v>43</v>
      </c>
      <c r="E461" s="48">
        <f>2+1</f>
        <v>3</v>
      </c>
      <c r="F461" s="49">
        <v>1</v>
      </c>
      <c r="G461" s="50" t="s">
        <v>21</v>
      </c>
      <c r="H461" s="49">
        <v>144</v>
      </c>
      <c r="I461" s="50" t="s">
        <v>43</v>
      </c>
      <c r="J461" s="51">
        <f>3758400/144</f>
        <v>26100</v>
      </c>
      <c r="K461" s="47" t="s">
        <v>43</v>
      </c>
      <c r="L461" s="52"/>
      <c r="M461" s="52">
        <v>0.17</v>
      </c>
      <c r="N461" s="46">
        <v>144</v>
      </c>
      <c r="O461" s="50" t="s">
        <v>43</v>
      </c>
      <c r="P461" s="46">
        <f t="shared" si="139"/>
        <v>288</v>
      </c>
      <c r="Q461" s="50" t="s">
        <v>43</v>
      </c>
      <c r="R461" s="51">
        <f t="shared" si="140"/>
        <v>6238944</v>
      </c>
      <c r="S461" s="51">
        <f t="shared" si="141"/>
        <v>5620670.2702702694</v>
      </c>
    </row>
    <row r="462" spans="1:20" s="17" customFormat="1">
      <c r="A462" s="95" t="s">
        <v>418</v>
      </c>
      <c r="B462" s="96" t="s">
        <v>26</v>
      </c>
      <c r="C462" s="97">
        <v>61</v>
      </c>
      <c r="D462" s="98" t="s">
        <v>43</v>
      </c>
      <c r="E462" s="105"/>
      <c r="F462" s="100">
        <v>1</v>
      </c>
      <c r="G462" s="101" t="s">
        <v>21</v>
      </c>
      <c r="H462" s="100">
        <v>144</v>
      </c>
      <c r="I462" s="101" t="s">
        <v>43</v>
      </c>
      <c r="J462" s="102">
        <f>5270400/144</f>
        <v>36600</v>
      </c>
      <c r="K462" s="98" t="s">
        <v>43</v>
      </c>
      <c r="L462" s="103">
        <v>0.05</v>
      </c>
      <c r="M462" s="103">
        <v>0.17</v>
      </c>
      <c r="N462" s="97">
        <f>144-83</f>
        <v>61</v>
      </c>
      <c r="O462" s="101" t="s">
        <v>43</v>
      </c>
      <c r="P462" s="97">
        <f t="shared" si="139"/>
        <v>0</v>
      </c>
      <c r="Q462" s="101" t="s">
        <v>43</v>
      </c>
      <c r="R462" s="102">
        <f t="shared" si="140"/>
        <v>0</v>
      </c>
      <c r="S462" s="102">
        <f t="shared" si="141"/>
        <v>0</v>
      </c>
    </row>
    <row r="463" spans="1:20" s="26" customFormat="1">
      <c r="A463" s="159" t="s">
        <v>418</v>
      </c>
      <c r="B463" s="160" t="s">
        <v>26</v>
      </c>
      <c r="C463" s="161"/>
      <c r="D463" s="162" t="s">
        <v>43</v>
      </c>
      <c r="E463" s="163">
        <v>1</v>
      </c>
      <c r="F463" s="164">
        <v>1</v>
      </c>
      <c r="G463" s="165" t="s">
        <v>21</v>
      </c>
      <c r="H463" s="164">
        <v>144</v>
      </c>
      <c r="I463" s="165" t="s">
        <v>43</v>
      </c>
      <c r="J463" s="166">
        <f>5270400/144</f>
        <v>36600</v>
      </c>
      <c r="K463" s="162" t="s">
        <v>43</v>
      </c>
      <c r="L463" s="167"/>
      <c r="M463" s="167">
        <v>0.17</v>
      </c>
      <c r="N463" s="161">
        <f>(144-61)+(3+6)</f>
        <v>92</v>
      </c>
      <c r="O463" s="165" t="s">
        <v>43</v>
      </c>
      <c r="P463" s="161">
        <f t="shared" ref="P463" si="151">(C463+(E463*F463*H463))-N463</f>
        <v>52</v>
      </c>
      <c r="Q463" s="165" t="s">
        <v>43</v>
      </c>
      <c r="R463" s="166">
        <f t="shared" ref="R463" si="152">P463*(J463-(J463*L463)-((J463-(J463*L463))*M463))</f>
        <v>1579656</v>
      </c>
      <c r="S463" s="42">
        <f t="shared" ref="S463" si="153">R463/1.11</f>
        <v>1423113.5135135134</v>
      </c>
      <c r="T463" s="2"/>
    </row>
    <row r="464" spans="1:20" s="26" customFormat="1">
      <c r="A464" s="34" t="s">
        <v>419</v>
      </c>
      <c r="B464" s="2" t="s">
        <v>26</v>
      </c>
      <c r="C464" s="3">
        <v>94</v>
      </c>
      <c r="D464" s="4" t="s">
        <v>43</v>
      </c>
      <c r="E464" s="5"/>
      <c r="F464" s="6">
        <v>1</v>
      </c>
      <c r="G464" s="7" t="s">
        <v>21</v>
      </c>
      <c r="H464" s="6">
        <v>144</v>
      </c>
      <c r="I464" s="7" t="s">
        <v>43</v>
      </c>
      <c r="J464" s="8">
        <f>5616000/144</f>
        <v>39000</v>
      </c>
      <c r="K464" s="4" t="s">
        <v>43</v>
      </c>
      <c r="L464" s="9">
        <v>0.05</v>
      </c>
      <c r="M464" s="9">
        <v>0.17</v>
      </c>
      <c r="N464" s="3">
        <f>(24+24)</f>
        <v>48</v>
      </c>
      <c r="O464" s="7" t="s">
        <v>43</v>
      </c>
      <c r="P464" s="3">
        <f t="shared" si="139"/>
        <v>46</v>
      </c>
      <c r="Q464" s="7" t="s">
        <v>43</v>
      </c>
      <c r="R464" s="8">
        <f t="shared" si="140"/>
        <v>1414569</v>
      </c>
      <c r="S464" s="32">
        <f t="shared" si="141"/>
        <v>1274386.4864864864</v>
      </c>
      <c r="T464" s="2"/>
    </row>
    <row r="465" spans="1:20" s="17" customFormat="1">
      <c r="A465" s="16" t="s">
        <v>420</v>
      </c>
      <c r="B465" s="17" t="s">
        <v>26</v>
      </c>
      <c r="C465" s="18">
        <v>50</v>
      </c>
      <c r="D465" s="19" t="s">
        <v>43</v>
      </c>
      <c r="E465" s="20"/>
      <c r="F465" s="21">
        <v>1</v>
      </c>
      <c r="G465" s="22" t="s">
        <v>21</v>
      </c>
      <c r="H465" s="21">
        <v>144</v>
      </c>
      <c r="I465" s="22" t="s">
        <v>43</v>
      </c>
      <c r="J465" s="23">
        <f>5616000/144</f>
        <v>39000</v>
      </c>
      <c r="K465" s="19" t="s">
        <v>43</v>
      </c>
      <c r="L465" s="24">
        <v>0.05</v>
      </c>
      <c r="M465" s="24">
        <v>0.17</v>
      </c>
      <c r="N465" s="18">
        <f>2+(24+24)</f>
        <v>50</v>
      </c>
      <c r="O465" s="22" t="s">
        <v>43</v>
      </c>
      <c r="P465" s="18">
        <f t="shared" si="139"/>
        <v>0</v>
      </c>
      <c r="Q465" s="22" t="s">
        <v>43</v>
      </c>
      <c r="R465" s="23">
        <f t="shared" si="140"/>
        <v>0</v>
      </c>
      <c r="S465" s="23">
        <f t="shared" si="141"/>
        <v>0</v>
      </c>
    </row>
    <row r="466" spans="1:20" s="17" customFormat="1">
      <c r="A466" s="16" t="s">
        <v>421</v>
      </c>
      <c r="B466" s="17" t="s">
        <v>275</v>
      </c>
      <c r="C466" s="18"/>
      <c r="D466" s="19" t="s">
        <v>43</v>
      </c>
      <c r="E466" s="20"/>
      <c r="F466" s="21">
        <v>1</v>
      </c>
      <c r="G466" s="22" t="s">
        <v>21</v>
      </c>
      <c r="H466" s="21">
        <v>120</v>
      </c>
      <c r="I466" s="22" t="s">
        <v>43</v>
      </c>
      <c r="J466" s="23">
        <v>25500</v>
      </c>
      <c r="K466" s="19" t="s">
        <v>43</v>
      </c>
      <c r="L466" s="24"/>
      <c r="M466" s="24"/>
      <c r="N466" s="18"/>
      <c r="O466" s="22" t="s">
        <v>43</v>
      </c>
      <c r="P466" s="18">
        <f>(C466+(E466*F466*H466))-N466</f>
        <v>0</v>
      </c>
      <c r="Q466" s="22" t="s">
        <v>43</v>
      </c>
      <c r="R466" s="23">
        <f>P466*(J466-(J466*L466)-((J466-(J466*L466))*M466))</f>
        <v>0</v>
      </c>
      <c r="S466" s="23">
        <f t="shared" si="141"/>
        <v>0</v>
      </c>
    </row>
    <row r="467" spans="1:20" s="17" customFormat="1">
      <c r="A467" s="25" t="s">
        <v>422</v>
      </c>
      <c r="B467" s="26" t="s">
        <v>275</v>
      </c>
      <c r="C467" s="27">
        <v>288</v>
      </c>
      <c r="D467" s="28" t="s">
        <v>43</v>
      </c>
      <c r="E467" s="29"/>
      <c r="F467" s="30">
        <v>1</v>
      </c>
      <c r="G467" s="31" t="s">
        <v>21</v>
      </c>
      <c r="H467" s="30">
        <v>144</v>
      </c>
      <c r="I467" s="31" t="s">
        <v>43</v>
      </c>
      <c r="J467" s="32">
        <v>21000</v>
      </c>
      <c r="K467" s="28" t="s">
        <v>43</v>
      </c>
      <c r="L467" s="33"/>
      <c r="M467" s="33"/>
      <c r="N467" s="27"/>
      <c r="O467" s="31" t="s">
        <v>43</v>
      </c>
      <c r="P467" s="27">
        <f>(C467+(E467*F467*H467))-N467</f>
        <v>288</v>
      </c>
      <c r="Q467" s="31" t="s">
        <v>43</v>
      </c>
      <c r="R467" s="32">
        <f>P467*(J467-(J467*L467)-((J467-(J467*L467))*M467))</f>
        <v>6048000</v>
      </c>
      <c r="S467" s="32">
        <f t="shared" si="141"/>
        <v>5448648.6486486485</v>
      </c>
      <c r="T467" s="26"/>
    </row>
    <row r="468" spans="1:20" s="17" customFormat="1">
      <c r="A468" s="16" t="s">
        <v>423</v>
      </c>
      <c r="B468" s="17" t="s">
        <v>275</v>
      </c>
      <c r="C468" s="18"/>
      <c r="D468" s="19" t="s">
        <v>43</v>
      </c>
      <c r="E468" s="20"/>
      <c r="F468" s="21">
        <v>1</v>
      </c>
      <c r="G468" s="22" t="s">
        <v>21</v>
      </c>
      <c r="H468" s="21">
        <v>144</v>
      </c>
      <c r="I468" s="22" t="s">
        <v>43</v>
      </c>
      <c r="J468" s="23">
        <v>26000</v>
      </c>
      <c r="K468" s="19" t="s">
        <v>43</v>
      </c>
      <c r="L468" s="24"/>
      <c r="M468" s="24"/>
      <c r="N468" s="18"/>
      <c r="O468" s="22" t="s">
        <v>43</v>
      </c>
      <c r="P468" s="18">
        <f t="shared" ref="P468:P496" si="154">(C468+(E468*F468*H468))-N468</f>
        <v>0</v>
      </c>
      <c r="Q468" s="22" t="s">
        <v>43</v>
      </c>
      <c r="R468" s="23">
        <f t="shared" ref="R468:R496" si="155">P468*(J468-(J468*L468)-((J468-(J468*L468))*M468))</f>
        <v>0</v>
      </c>
      <c r="S468" s="23">
        <f t="shared" si="141"/>
        <v>0</v>
      </c>
    </row>
    <row r="469" spans="1:20" s="26" customFormat="1">
      <c r="A469" s="25" t="s">
        <v>424</v>
      </c>
      <c r="B469" s="26" t="s">
        <v>275</v>
      </c>
      <c r="C469" s="27">
        <v>306</v>
      </c>
      <c r="D469" s="28" t="s">
        <v>43</v>
      </c>
      <c r="E469" s="29"/>
      <c r="F469" s="30">
        <v>1</v>
      </c>
      <c r="G469" s="31" t="s">
        <v>21</v>
      </c>
      <c r="H469" s="30">
        <v>96</v>
      </c>
      <c r="I469" s="31" t="s">
        <v>43</v>
      </c>
      <c r="J469" s="32">
        <v>29500</v>
      </c>
      <c r="K469" s="28" t="s">
        <v>43</v>
      </c>
      <c r="L469" s="33"/>
      <c r="M469" s="33"/>
      <c r="N469" s="27"/>
      <c r="O469" s="31" t="s">
        <v>43</v>
      </c>
      <c r="P469" s="27">
        <f t="shared" si="154"/>
        <v>306</v>
      </c>
      <c r="Q469" s="31" t="s">
        <v>43</v>
      </c>
      <c r="R469" s="32">
        <f t="shared" si="155"/>
        <v>9027000</v>
      </c>
      <c r="S469" s="32">
        <f t="shared" si="141"/>
        <v>8132432.4324324317</v>
      </c>
    </row>
    <row r="470" spans="1:20" s="17" customFormat="1">
      <c r="A470" s="16" t="s">
        <v>425</v>
      </c>
      <c r="B470" s="17" t="s">
        <v>275</v>
      </c>
      <c r="C470" s="18"/>
      <c r="D470" s="19" t="s">
        <v>43</v>
      </c>
      <c r="E470" s="20"/>
      <c r="F470" s="21">
        <v>1</v>
      </c>
      <c r="G470" s="22" t="s">
        <v>21</v>
      </c>
      <c r="H470" s="21">
        <v>144</v>
      </c>
      <c r="I470" s="22" t="s">
        <v>43</v>
      </c>
      <c r="J470" s="23">
        <f>31818+(31818*10%)</f>
        <v>34999.800000000003</v>
      </c>
      <c r="K470" s="19" t="s">
        <v>43</v>
      </c>
      <c r="L470" s="24"/>
      <c r="M470" s="24"/>
      <c r="N470" s="18"/>
      <c r="O470" s="22" t="s">
        <v>43</v>
      </c>
      <c r="P470" s="18">
        <f t="shared" si="154"/>
        <v>0</v>
      </c>
      <c r="Q470" s="22" t="s">
        <v>43</v>
      </c>
      <c r="R470" s="23">
        <f t="shared" si="155"/>
        <v>0</v>
      </c>
      <c r="S470" s="23">
        <f t="shared" si="141"/>
        <v>0</v>
      </c>
    </row>
    <row r="471" spans="1:20" s="17" customFormat="1">
      <c r="A471" s="16" t="s">
        <v>426</v>
      </c>
      <c r="B471" s="17" t="s">
        <v>275</v>
      </c>
      <c r="C471" s="18"/>
      <c r="D471" s="19" t="s">
        <v>43</v>
      </c>
      <c r="E471" s="20"/>
      <c r="F471" s="21">
        <v>1</v>
      </c>
      <c r="G471" s="22" t="s">
        <v>21</v>
      </c>
      <c r="H471" s="21">
        <v>144</v>
      </c>
      <c r="I471" s="22" t="s">
        <v>43</v>
      </c>
      <c r="J471" s="23">
        <v>16175</v>
      </c>
      <c r="K471" s="19" t="s">
        <v>43</v>
      </c>
      <c r="L471" s="24"/>
      <c r="M471" s="24"/>
      <c r="N471" s="18"/>
      <c r="O471" s="22" t="s">
        <v>43</v>
      </c>
      <c r="P471" s="18">
        <f t="shared" si="154"/>
        <v>0</v>
      </c>
      <c r="Q471" s="22" t="s">
        <v>43</v>
      </c>
      <c r="R471" s="23">
        <f t="shared" si="155"/>
        <v>0</v>
      </c>
      <c r="S471" s="23">
        <f t="shared" si="141"/>
        <v>0</v>
      </c>
    </row>
    <row r="472" spans="1:20" s="17" customFormat="1">
      <c r="A472" s="16" t="s">
        <v>427</v>
      </c>
      <c r="B472" s="17" t="s">
        <v>275</v>
      </c>
      <c r="C472" s="18"/>
      <c r="D472" s="19" t="s">
        <v>43</v>
      </c>
      <c r="E472" s="20"/>
      <c r="F472" s="21">
        <v>1</v>
      </c>
      <c r="G472" s="22" t="s">
        <v>21</v>
      </c>
      <c r="H472" s="21">
        <v>144</v>
      </c>
      <c r="I472" s="22" t="s">
        <v>43</v>
      </c>
      <c r="J472" s="23">
        <v>16175</v>
      </c>
      <c r="K472" s="19" t="s">
        <v>43</v>
      </c>
      <c r="L472" s="24"/>
      <c r="M472" s="24"/>
      <c r="N472" s="18"/>
      <c r="O472" s="22" t="s">
        <v>43</v>
      </c>
      <c r="P472" s="18">
        <f t="shared" si="154"/>
        <v>0</v>
      </c>
      <c r="Q472" s="22" t="s">
        <v>43</v>
      </c>
      <c r="R472" s="23">
        <f t="shared" si="155"/>
        <v>0</v>
      </c>
      <c r="S472" s="23">
        <f t="shared" si="141"/>
        <v>0</v>
      </c>
    </row>
    <row r="473" spans="1:20" s="17" customFormat="1">
      <c r="A473" s="16" t="s">
        <v>428</v>
      </c>
      <c r="B473" s="17" t="s">
        <v>275</v>
      </c>
      <c r="C473" s="18"/>
      <c r="D473" s="19" t="s">
        <v>43</v>
      </c>
      <c r="E473" s="20"/>
      <c r="F473" s="21">
        <v>1</v>
      </c>
      <c r="G473" s="22" t="s">
        <v>21</v>
      </c>
      <c r="H473" s="21">
        <v>144</v>
      </c>
      <c r="I473" s="22" t="s">
        <v>43</v>
      </c>
      <c r="J473" s="23">
        <v>16175</v>
      </c>
      <c r="K473" s="19" t="s">
        <v>43</v>
      </c>
      <c r="L473" s="24"/>
      <c r="M473" s="24"/>
      <c r="N473" s="18"/>
      <c r="O473" s="22" t="s">
        <v>43</v>
      </c>
      <c r="P473" s="18">
        <f t="shared" si="154"/>
        <v>0</v>
      </c>
      <c r="Q473" s="22" t="s">
        <v>43</v>
      </c>
      <c r="R473" s="23">
        <f t="shared" si="155"/>
        <v>0</v>
      </c>
      <c r="S473" s="23">
        <f t="shared" si="141"/>
        <v>0</v>
      </c>
    </row>
    <row r="474" spans="1:20" s="17" customFormat="1">
      <c r="A474" s="16" t="s">
        <v>429</v>
      </c>
      <c r="B474" s="17" t="s">
        <v>275</v>
      </c>
      <c r="C474" s="18"/>
      <c r="D474" s="19" t="s">
        <v>43</v>
      </c>
      <c r="E474" s="20"/>
      <c r="F474" s="21">
        <v>1</v>
      </c>
      <c r="G474" s="22" t="s">
        <v>21</v>
      </c>
      <c r="H474" s="21">
        <v>144</v>
      </c>
      <c r="I474" s="22" t="s">
        <v>43</v>
      </c>
      <c r="J474" s="23">
        <v>16175</v>
      </c>
      <c r="K474" s="19" t="s">
        <v>43</v>
      </c>
      <c r="L474" s="24"/>
      <c r="M474" s="24"/>
      <c r="N474" s="18"/>
      <c r="O474" s="22" t="s">
        <v>43</v>
      </c>
      <c r="P474" s="18">
        <f t="shared" si="154"/>
        <v>0</v>
      </c>
      <c r="Q474" s="22" t="s">
        <v>43</v>
      </c>
      <c r="R474" s="23">
        <f t="shared" si="155"/>
        <v>0</v>
      </c>
      <c r="S474" s="23">
        <f t="shared" si="141"/>
        <v>0</v>
      </c>
    </row>
    <row r="475" spans="1:20" s="17" customFormat="1">
      <c r="A475" s="16" t="s">
        <v>430</v>
      </c>
      <c r="B475" s="17" t="s">
        <v>275</v>
      </c>
      <c r="C475" s="18"/>
      <c r="D475" s="19" t="s">
        <v>43</v>
      </c>
      <c r="E475" s="20"/>
      <c r="F475" s="21">
        <v>1</v>
      </c>
      <c r="G475" s="22" t="s">
        <v>21</v>
      </c>
      <c r="H475" s="21">
        <v>144</v>
      </c>
      <c r="I475" s="22" t="s">
        <v>43</v>
      </c>
      <c r="J475" s="23">
        <v>16175</v>
      </c>
      <c r="K475" s="19" t="s">
        <v>43</v>
      </c>
      <c r="L475" s="24"/>
      <c r="M475" s="24"/>
      <c r="N475" s="18"/>
      <c r="O475" s="22" t="s">
        <v>43</v>
      </c>
      <c r="P475" s="18">
        <f t="shared" si="154"/>
        <v>0</v>
      </c>
      <c r="Q475" s="22" t="s">
        <v>43</v>
      </c>
      <c r="R475" s="23">
        <f t="shared" si="155"/>
        <v>0</v>
      </c>
      <c r="S475" s="23">
        <f t="shared" si="141"/>
        <v>0</v>
      </c>
    </row>
    <row r="476" spans="1:20" s="17" customFormat="1">
      <c r="A476" s="16" t="s">
        <v>431</v>
      </c>
      <c r="B476" s="17" t="s">
        <v>275</v>
      </c>
      <c r="C476" s="18"/>
      <c r="D476" s="19" t="s">
        <v>43</v>
      </c>
      <c r="E476" s="20"/>
      <c r="F476" s="21">
        <v>1</v>
      </c>
      <c r="G476" s="22" t="s">
        <v>21</v>
      </c>
      <c r="H476" s="21">
        <v>144</v>
      </c>
      <c r="I476" s="22" t="s">
        <v>43</v>
      </c>
      <c r="J476" s="23">
        <v>16175</v>
      </c>
      <c r="K476" s="19" t="s">
        <v>43</v>
      </c>
      <c r="L476" s="24"/>
      <c r="M476" s="24"/>
      <c r="N476" s="18"/>
      <c r="O476" s="22" t="s">
        <v>43</v>
      </c>
      <c r="P476" s="18">
        <f t="shared" si="154"/>
        <v>0</v>
      </c>
      <c r="Q476" s="22" t="s">
        <v>43</v>
      </c>
      <c r="R476" s="23">
        <f t="shared" si="155"/>
        <v>0</v>
      </c>
      <c r="S476" s="23">
        <f t="shared" si="141"/>
        <v>0</v>
      </c>
    </row>
    <row r="477" spans="1:20" s="17" customFormat="1">
      <c r="A477" s="16" t="s">
        <v>432</v>
      </c>
      <c r="B477" s="17" t="s">
        <v>275</v>
      </c>
      <c r="C477" s="18"/>
      <c r="D477" s="19" t="s">
        <v>43</v>
      </c>
      <c r="E477" s="20"/>
      <c r="F477" s="21">
        <v>1</v>
      </c>
      <c r="G477" s="22" t="s">
        <v>21</v>
      </c>
      <c r="H477" s="21">
        <v>144</v>
      </c>
      <c r="I477" s="22" t="s">
        <v>43</v>
      </c>
      <c r="J477" s="23">
        <v>16175</v>
      </c>
      <c r="K477" s="19" t="s">
        <v>43</v>
      </c>
      <c r="L477" s="24"/>
      <c r="M477" s="24"/>
      <c r="N477" s="18"/>
      <c r="O477" s="22" t="s">
        <v>43</v>
      </c>
      <c r="P477" s="18">
        <f t="shared" si="154"/>
        <v>0</v>
      </c>
      <c r="Q477" s="22" t="s">
        <v>43</v>
      </c>
      <c r="R477" s="23">
        <f t="shared" si="155"/>
        <v>0</v>
      </c>
      <c r="S477" s="23">
        <f t="shared" si="141"/>
        <v>0</v>
      </c>
    </row>
    <row r="478" spans="1:20" s="26" customFormat="1">
      <c r="A478" s="25" t="s">
        <v>729</v>
      </c>
      <c r="B478" s="26" t="s">
        <v>275</v>
      </c>
      <c r="C478" s="27">
        <v>288</v>
      </c>
      <c r="D478" s="28" t="s">
        <v>43</v>
      </c>
      <c r="E478" s="29"/>
      <c r="F478" s="30">
        <v>1</v>
      </c>
      <c r="G478" s="31" t="s">
        <v>21</v>
      </c>
      <c r="H478" s="30">
        <v>144</v>
      </c>
      <c r="I478" s="31" t="s">
        <v>43</v>
      </c>
      <c r="J478" s="32">
        <v>16175</v>
      </c>
      <c r="K478" s="28" t="s">
        <v>43</v>
      </c>
      <c r="L478" s="33"/>
      <c r="M478" s="33"/>
      <c r="N478" s="27"/>
      <c r="O478" s="31" t="s">
        <v>43</v>
      </c>
      <c r="P478" s="27">
        <f t="shared" si="154"/>
        <v>288</v>
      </c>
      <c r="Q478" s="31" t="s">
        <v>43</v>
      </c>
      <c r="R478" s="32">
        <f t="shared" si="155"/>
        <v>4658400</v>
      </c>
      <c r="S478" s="32">
        <f t="shared" si="141"/>
        <v>4196756.7567567565</v>
      </c>
    </row>
    <row r="479" spans="1:20" s="17" customFormat="1">
      <c r="A479" s="16" t="s">
        <v>433</v>
      </c>
      <c r="B479" s="17" t="s">
        <v>275</v>
      </c>
      <c r="C479" s="18"/>
      <c r="D479" s="19" t="s">
        <v>43</v>
      </c>
      <c r="E479" s="20"/>
      <c r="F479" s="21">
        <v>1</v>
      </c>
      <c r="G479" s="22" t="s">
        <v>21</v>
      </c>
      <c r="H479" s="21">
        <v>144</v>
      </c>
      <c r="I479" s="22" t="s">
        <v>43</v>
      </c>
      <c r="J479" s="23">
        <v>16175</v>
      </c>
      <c r="K479" s="19" t="s">
        <v>43</v>
      </c>
      <c r="L479" s="24"/>
      <c r="M479" s="24"/>
      <c r="N479" s="18"/>
      <c r="O479" s="22" t="s">
        <v>43</v>
      </c>
      <c r="P479" s="18">
        <f t="shared" si="154"/>
        <v>0</v>
      </c>
      <c r="Q479" s="22" t="s">
        <v>43</v>
      </c>
      <c r="R479" s="23">
        <f t="shared" si="155"/>
        <v>0</v>
      </c>
      <c r="S479" s="23">
        <f t="shared" si="141"/>
        <v>0</v>
      </c>
    </row>
    <row r="480" spans="1:20" s="26" customFormat="1">
      <c r="A480" s="16" t="s">
        <v>434</v>
      </c>
      <c r="B480" s="17" t="s">
        <v>275</v>
      </c>
      <c r="C480" s="18"/>
      <c r="D480" s="19" t="s">
        <v>43</v>
      </c>
      <c r="E480" s="20"/>
      <c r="F480" s="21">
        <v>1</v>
      </c>
      <c r="G480" s="22" t="s">
        <v>21</v>
      </c>
      <c r="H480" s="21">
        <v>144</v>
      </c>
      <c r="I480" s="22" t="s">
        <v>43</v>
      </c>
      <c r="J480" s="23">
        <v>16175</v>
      </c>
      <c r="K480" s="19" t="s">
        <v>43</v>
      </c>
      <c r="L480" s="24"/>
      <c r="M480" s="24"/>
      <c r="N480" s="18"/>
      <c r="O480" s="22" t="s">
        <v>43</v>
      </c>
      <c r="P480" s="18">
        <f t="shared" si="154"/>
        <v>0</v>
      </c>
      <c r="Q480" s="22" t="s">
        <v>43</v>
      </c>
      <c r="R480" s="23">
        <f t="shared" si="155"/>
        <v>0</v>
      </c>
      <c r="S480" s="23">
        <f t="shared" si="141"/>
        <v>0</v>
      </c>
      <c r="T480" s="17"/>
    </row>
    <row r="481" spans="1:20" s="26" customFormat="1">
      <c r="A481" s="16" t="s">
        <v>435</v>
      </c>
      <c r="B481" s="17" t="s">
        <v>275</v>
      </c>
      <c r="C481" s="18"/>
      <c r="D481" s="19" t="s">
        <v>43</v>
      </c>
      <c r="E481" s="20"/>
      <c r="F481" s="21">
        <v>1</v>
      </c>
      <c r="G481" s="22" t="s">
        <v>21</v>
      </c>
      <c r="H481" s="21">
        <v>144</v>
      </c>
      <c r="I481" s="22" t="s">
        <v>43</v>
      </c>
      <c r="J481" s="23">
        <v>16175</v>
      </c>
      <c r="K481" s="19" t="s">
        <v>43</v>
      </c>
      <c r="L481" s="24"/>
      <c r="M481" s="24"/>
      <c r="N481" s="18"/>
      <c r="O481" s="22" t="s">
        <v>43</v>
      </c>
      <c r="P481" s="18">
        <f t="shared" si="154"/>
        <v>0</v>
      </c>
      <c r="Q481" s="22" t="s">
        <v>43</v>
      </c>
      <c r="R481" s="23">
        <f t="shared" si="155"/>
        <v>0</v>
      </c>
      <c r="S481" s="23">
        <f t="shared" si="141"/>
        <v>0</v>
      </c>
      <c r="T481" s="17"/>
    </row>
    <row r="482" spans="1:20" s="26" customFormat="1">
      <c r="A482" s="25" t="s">
        <v>436</v>
      </c>
      <c r="B482" s="26" t="s">
        <v>275</v>
      </c>
      <c r="C482" s="27">
        <v>576</v>
      </c>
      <c r="D482" s="28" t="s">
        <v>43</v>
      </c>
      <c r="E482" s="29"/>
      <c r="F482" s="30">
        <v>1</v>
      </c>
      <c r="G482" s="31" t="s">
        <v>21</v>
      </c>
      <c r="H482" s="30">
        <v>144</v>
      </c>
      <c r="I482" s="31" t="s">
        <v>43</v>
      </c>
      <c r="J482" s="32">
        <v>16175</v>
      </c>
      <c r="K482" s="28" t="s">
        <v>43</v>
      </c>
      <c r="L482" s="33"/>
      <c r="M482" s="33"/>
      <c r="N482" s="27">
        <v>144</v>
      </c>
      <c r="O482" s="31" t="s">
        <v>43</v>
      </c>
      <c r="P482" s="27">
        <f t="shared" si="154"/>
        <v>432</v>
      </c>
      <c r="Q482" s="31" t="s">
        <v>43</v>
      </c>
      <c r="R482" s="32">
        <f t="shared" si="155"/>
        <v>6987600</v>
      </c>
      <c r="S482" s="32">
        <f t="shared" si="141"/>
        <v>6295135.1351351347</v>
      </c>
    </row>
    <row r="483" spans="1:20" s="17" customFormat="1">
      <c r="A483" s="16" t="s">
        <v>437</v>
      </c>
      <c r="B483" s="17" t="s">
        <v>275</v>
      </c>
      <c r="C483" s="18"/>
      <c r="D483" s="19" t="s">
        <v>43</v>
      </c>
      <c r="E483" s="20"/>
      <c r="F483" s="21">
        <v>1</v>
      </c>
      <c r="G483" s="22" t="s">
        <v>21</v>
      </c>
      <c r="H483" s="21">
        <v>144</v>
      </c>
      <c r="I483" s="22" t="s">
        <v>43</v>
      </c>
      <c r="J483" s="23">
        <v>16175</v>
      </c>
      <c r="K483" s="19" t="s">
        <v>43</v>
      </c>
      <c r="L483" s="24"/>
      <c r="M483" s="24"/>
      <c r="N483" s="18"/>
      <c r="O483" s="22" t="s">
        <v>43</v>
      </c>
      <c r="P483" s="18">
        <f t="shared" si="154"/>
        <v>0</v>
      </c>
      <c r="Q483" s="22" t="s">
        <v>43</v>
      </c>
      <c r="R483" s="23">
        <f t="shared" si="155"/>
        <v>0</v>
      </c>
      <c r="S483" s="23">
        <f t="shared" si="141"/>
        <v>0</v>
      </c>
    </row>
    <row r="484" spans="1:20" s="17" customFormat="1">
      <c r="A484" s="16" t="s">
        <v>438</v>
      </c>
      <c r="B484" s="17" t="s">
        <v>275</v>
      </c>
      <c r="C484" s="18"/>
      <c r="D484" s="19" t="s">
        <v>43</v>
      </c>
      <c r="E484" s="20"/>
      <c r="F484" s="21">
        <v>1</v>
      </c>
      <c r="G484" s="22" t="s">
        <v>21</v>
      </c>
      <c r="H484" s="21">
        <v>144</v>
      </c>
      <c r="I484" s="22" t="s">
        <v>43</v>
      </c>
      <c r="J484" s="23">
        <v>16175</v>
      </c>
      <c r="K484" s="19" t="s">
        <v>43</v>
      </c>
      <c r="L484" s="24"/>
      <c r="M484" s="24"/>
      <c r="N484" s="18"/>
      <c r="O484" s="22" t="s">
        <v>43</v>
      </c>
      <c r="P484" s="18">
        <f t="shared" si="154"/>
        <v>0</v>
      </c>
      <c r="Q484" s="22" t="s">
        <v>43</v>
      </c>
      <c r="R484" s="23">
        <f t="shared" si="155"/>
        <v>0</v>
      </c>
      <c r="S484" s="23">
        <f t="shared" si="141"/>
        <v>0</v>
      </c>
    </row>
    <row r="485" spans="1:20" s="26" customFormat="1">
      <c r="A485" s="25" t="s">
        <v>439</v>
      </c>
      <c r="B485" s="26" t="s">
        <v>275</v>
      </c>
      <c r="C485" s="27">
        <v>432</v>
      </c>
      <c r="D485" s="28" t="s">
        <v>43</v>
      </c>
      <c r="E485" s="29"/>
      <c r="F485" s="30">
        <v>1</v>
      </c>
      <c r="G485" s="31" t="s">
        <v>21</v>
      </c>
      <c r="H485" s="30">
        <v>144</v>
      </c>
      <c r="I485" s="31" t="s">
        <v>43</v>
      </c>
      <c r="J485" s="32">
        <v>16175</v>
      </c>
      <c r="K485" s="28" t="s">
        <v>43</v>
      </c>
      <c r="L485" s="33"/>
      <c r="M485" s="33"/>
      <c r="N485" s="27">
        <v>144</v>
      </c>
      <c r="O485" s="31" t="s">
        <v>43</v>
      </c>
      <c r="P485" s="27">
        <f t="shared" si="154"/>
        <v>288</v>
      </c>
      <c r="Q485" s="31" t="s">
        <v>43</v>
      </c>
      <c r="R485" s="32">
        <f t="shared" si="155"/>
        <v>4658400</v>
      </c>
      <c r="S485" s="32">
        <f t="shared" si="141"/>
        <v>4196756.7567567565</v>
      </c>
    </row>
    <row r="486" spans="1:20" s="17" customFormat="1">
      <c r="A486" s="16" t="s">
        <v>440</v>
      </c>
      <c r="B486" s="17" t="s">
        <v>275</v>
      </c>
      <c r="C486" s="18"/>
      <c r="D486" s="19" t="s">
        <v>43</v>
      </c>
      <c r="E486" s="20"/>
      <c r="F486" s="21">
        <v>1</v>
      </c>
      <c r="G486" s="22" t="s">
        <v>21</v>
      </c>
      <c r="H486" s="21">
        <v>144</v>
      </c>
      <c r="I486" s="22" t="s">
        <v>43</v>
      </c>
      <c r="J486" s="23">
        <v>16175</v>
      </c>
      <c r="K486" s="19" t="s">
        <v>43</v>
      </c>
      <c r="L486" s="24"/>
      <c r="M486" s="24"/>
      <c r="N486" s="18"/>
      <c r="O486" s="22" t="s">
        <v>43</v>
      </c>
      <c r="P486" s="18">
        <f t="shared" si="154"/>
        <v>0</v>
      </c>
      <c r="Q486" s="22" t="s">
        <v>43</v>
      </c>
      <c r="R486" s="23">
        <f t="shared" si="155"/>
        <v>0</v>
      </c>
      <c r="S486" s="23">
        <f t="shared" si="141"/>
        <v>0</v>
      </c>
    </row>
    <row r="487" spans="1:20" s="17" customFormat="1">
      <c r="A487" s="16" t="s">
        <v>441</v>
      </c>
      <c r="B487" s="17" t="s">
        <v>275</v>
      </c>
      <c r="C487" s="18"/>
      <c r="D487" s="19" t="s">
        <v>43</v>
      </c>
      <c r="E487" s="20"/>
      <c r="F487" s="21">
        <v>1</v>
      </c>
      <c r="G487" s="22" t="s">
        <v>21</v>
      </c>
      <c r="H487" s="21">
        <v>144</v>
      </c>
      <c r="I487" s="22" t="s">
        <v>43</v>
      </c>
      <c r="J487" s="23">
        <v>16175</v>
      </c>
      <c r="K487" s="19" t="s">
        <v>43</v>
      </c>
      <c r="L487" s="24"/>
      <c r="M487" s="24"/>
      <c r="N487" s="18"/>
      <c r="O487" s="22" t="s">
        <v>43</v>
      </c>
      <c r="P487" s="18">
        <f t="shared" si="154"/>
        <v>0</v>
      </c>
      <c r="Q487" s="22" t="s">
        <v>43</v>
      </c>
      <c r="R487" s="23">
        <f t="shared" si="155"/>
        <v>0</v>
      </c>
      <c r="S487" s="23">
        <f t="shared" si="141"/>
        <v>0</v>
      </c>
    </row>
    <row r="488" spans="1:20" s="45" customFormat="1">
      <c r="A488" s="44" t="s">
        <v>443</v>
      </c>
      <c r="B488" s="45" t="s">
        <v>275</v>
      </c>
      <c r="C488" s="46">
        <v>432</v>
      </c>
      <c r="D488" s="47" t="s">
        <v>43</v>
      </c>
      <c r="E488" s="48"/>
      <c r="F488" s="49">
        <v>1</v>
      </c>
      <c r="G488" s="50" t="s">
        <v>21</v>
      </c>
      <c r="H488" s="49">
        <v>144</v>
      </c>
      <c r="I488" s="50" t="s">
        <v>43</v>
      </c>
      <c r="J488" s="51">
        <v>16175</v>
      </c>
      <c r="K488" s="47" t="s">
        <v>43</v>
      </c>
      <c r="L488" s="52"/>
      <c r="M488" s="52"/>
      <c r="N488" s="46">
        <v>144</v>
      </c>
      <c r="O488" s="50" t="s">
        <v>43</v>
      </c>
      <c r="P488" s="46">
        <f t="shared" si="154"/>
        <v>288</v>
      </c>
      <c r="Q488" s="50" t="s">
        <v>43</v>
      </c>
      <c r="R488" s="51">
        <f t="shared" si="155"/>
        <v>4658400</v>
      </c>
      <c r="S488" s="51">
        <f t="shared" si="141"/>
        <v>4196756.7567567565</v>
      </c>
    </row>
    <row r="489" spans="1:20" s="17" customFormat="1">
      <c r="A489" s="16" t="s">
        <v>444</v>
      </c>
      <c r="B489" s="17" t="s">
        <v>275</v>
      </c>
      <c r="C489" s="18"/>
      <c r="D489" s="19" t="s">
        <v>43</v>
      </c>
      <c r="E489" s="20"/>
      <c r="F489" s="21">
        <v>1</v>
      </c>
      <c r="G489" s="22" t="s">
        <v>21</v>
      </c>
      <c r="H489" s="21">
        <v>144</v>
      </c>
      <c r="I489" s="22" t="s">
        <v>43</v>
      </c>
      <c r="J489" s="23">
        <v>16175</v>
      </c>
      <c r="K489" s="19" t="s">
        <v>43</v>
      </c>
      <c r="L489" s="24"/>
      <c r="M489" s="24"/>
      <c r="N489" s="18"/>
      <c r="O489" s="22" t="s">
        <v>43</v>
      </c>
      <c r="P489" s="18">
        <f t="shared" si="154"/>
        <v>0</v>
      </c>
      <c r="Q489" s="22" t="s">
        <v>43</v>
      </c>
      <c r="R489" s="23">
        <f t="shared" si="155"/>
        <v>0</v>
      </c>
      <c r="S489" s="23">
        <f t="shared" si="141"/>
        <v>0</v>
      </c>
    </row>
    <row r="490" spans="1:20" s="26" customFormat="1">
      <c r="A490" s="25" t="s">
        <v>445</v>
      </c>
      <c r="B490" s="26" t="s">
        <v>275</v>
      </c>
      <c r="C490" s="27">
        <v>288</v>
      </c>
      <c r="D490" s="28" t="s">
        <v>43</v>
      </c>
      <c r="E490" s="29"/>
      <c r="F490" s="30">
        <v>1</v>
      </c>
      <c r="G490" s="31" t="s">
        <v>21</v>
      </c>
      <c r="H490" s="30">
        <v>144</v>
      </c>
      <c r="I490" s="31" t="s">
        <v>43</v>
      </c>
      <c r="J490" s="32">
        <v>16175</v>
      </c>
      <c r="K490" s="28" t="s">
        <v>43</v>
      </c>
      <c r="L490" s="33"/>
      <c r="M490" s="33"/>
      <c r="N490" s="27">
        <v>144</v>
      </c>
      <c r="O490" s="31" t="s">
        <v>43</v>
      </c>
      <c r="P490" s="27">
        <f t="shared" si="154"/>
        <v>144</v>
      </c>
      <c r="Q490" s="31" t="s">
        <v>43</v>
      </c>
      <c r="R490" s="32">
        <f t="shared" si="155"/>
        <v>2329200</v>
      </c>
      <c r="S490" s="32">
        <f t="shared" si="141"/>
        <v>2098378.3783783782</v>
      </c>
    </row>
    <row r="491" spans="1:20" s="17" customFormat="1">
      <c r="A491" s="16" t="s">
        <v>446</v>
      </c>
      <c r="B491" s="17" t="s">
        <v>275</v>
      </c>
      <c r="C491" s="18"/>
      <c r="D491" s="19" t="s">
        <v>43</v>
      </c>
      <c r="E491" s="20"/>
      <c r="F491" s="21">
        <v>1</v>
      </c>
      <c r="G491" s="22" t="s">
        <v>21</v>
      </c>
      <c r="H491" s="21">
        <v>144</v>
      </c>
      <c r="I491" s="22" t="s">
        <v>43</v>
      </c>
      <c r="J491" s="23">
        <v>16175</v>
      </c>
      <c r="K491" s="19" t="s">
        <v>43</v>
      </c>
      <c r="L491" s="24"/>
      <c r="M491" s="24"/>
      <c r="N491" s="18"/>
      <c r="O491" s="22" t="s">
        <v>43</v>
      </c>
      <c r="P491" s="18">
        <f t="shared" si="154"/>
        <v>0</v>
      </c>
      <c r="Q491" s="22" t="s">
        <v>43</v>
      </c>
      <c r="R491" s="23">
        <f t="shared" si="155"/>
        <v>0</v>
      </c>
      <c r="S491" s="23">
        <f t="shared" si="141"/>
        <v>0</v>
      </c>
    </row>
    <row r="492" spans="1:20" s="17" customFormat="1">
      <c r="A492" s="16" t="s">
        <v>447</v>
      </c>
      <c r="B492" s="17" t="s">
        <v>275</v>
      </c>
      <c r="C492" s="18"/>
      <c r="D492" s="19" t="s">
        <v>43</v>
      </c>
      <c r="E492" s="20"/>
      <c r="F492" s="21">
        <v>1</v>
      </c>
      <c r="G492" s="22" t="s">
        <v>21</v>
      </c>
      <c r="H492" s="21">
        <v>144</v>
      </c>
      <c r="I492" s="22" t="s">
        <v>43</v>
      </c>
      <c r="J492" s="23">
        <v>16175</v>
      </c>
      <c r="K492" s="19" t="s">
        <v>43</v>
      </c>
      <c r="L492" s="24"/>
      <c r="M492" s="24"/>
      <c r="N492" s="18"/>
      <c r="O492" s="22" t="s">
        <v>43</v>
      </c>
      <c r="P492" s="18">
        <f t="shared" si="154"/>
        <v>0</v>
      </c>
      <c r="Q492" s="22" t="s">
        <v>43</v>
      </c>
      <c r="R492" s="23">
        <f t="shared" si="155"/>
        <v>0</v>
      </c>
      <c r="S492" s="23">
        <f t="shared" si="141"/>
        <v>0</v>
      </c>
    </row>
    <row r="493" spans="1:20" s="17" customFormat="1">
      <c r="A493" s="16" t="s">
        <v>448</v>
      </c>
      <c r="B493" s="17" t="s">
        <v>275</v>
      </c>
      <c r="C493" s="18">
        <v>288</v>
      </c>
      <c r="D493" s="19" t="s">
        <v>43</v>
      </c>
      <c r="E493" s="20"/>
      <c r="F493" s="21">
        <v>1</v>
      </c>
      <c r="G493" s="22" t="s">
        <v>21</v>
      </c>
      <c r="H493" s="21">
        <v>144</v>
      </c>
      <c r="I493" s="22" t="s">
        <v>43</v>
      </c>
      <c r="J493" s="23">
        <v>16175</v>
      </c>
      <c r="K493" s="19" t="s">
        <v>43</v>
      </c>
      <c r="L493" s="24"/>
      <c r="M493" s="24"/>
      <c r="N493" s="18">
        <f>144+144</f>
        <v>288</v>
      </c>
      <c r="O493" s="22" t="s">
        <v>43</v>
      </c>
      <c r="P493" s="18">
        <f t="shared" si="154"/>
        <v>0</v>
      </c>
      <c r="Q493" s="22" t="s">
        <v>43</v>
      </c>
      <c r="R493" s="23">
        <f t="shared" si="155"/>
        <v>0</v>
      </c>
      <c r="S493" s="23">
        <f t="shared" si="141"/>
        <v>0</v>
      </c>
    </row>
    <row r="494" spans="1:20" s="17" customFormat="1">
      <c r="A494" s="16" t="s">
        <v>449</v>
      </c>
      <c r="B494" s="17" t="s">
        <v>275</v>
      </c>
      <c r="C494" s="18"/>
      <c r="D494" s="19" t="s">
        <v>43</v>
      </c>
      <c r="E494" s="20"/>
      <c r="F494" s="21">
        <v>1</v>
      </c>
      <c r="G494" s="22" t="s">
        <v>21</v>
      </c>
      <c r="H494" s="21">
        <v>144</v>
      </c>
      <c r="I494" s="22" t="s">
        <v>43</v>
      </c>
      <c r="J494" s="23">
        <v>16175</v>
      </c>
      <c r="K494" s="19" t="s">
        <v>43</v>
      </c>
      <c r="L494" s="24"/>
      <c r="M494" s="24"/>
      <c r="N494" s="18"/>
      <c r="O494" s="22" t="s">
        <v>43</v>
      </c>
      <c r="P494" s="18">
        <f t="shared" si="154"/>
        <v>0</v>
      </c>
      <c r="Q494" s="22" t="s">
        <v>43</v>
      </c>
      <c r="R494" s="23">
        <f t="shared" si="155"/>
        <v>0</v>
      </c>
      <c r="S494" s="23">
        <f t="shared" si="141"/>
        <v>0</v>
      </c>
    </row>
    <row r="495" spans="1:20" s="26" customFormat="1">
      <c r="A495" s="25" t="s">
        <v>783</v>
      </c>
      <c r="B495" s="26" t="s">
        <v>768</v>
      </c>
      <c r="C495" s="27"/>
      <c r="D495" s="28" t="s">
        <v>43</v>
      </c>
      <c r="E495" s="29">
        <f>(25+25)</f>
        <v>50</v>
      </c>
      <c r="F495" s="30">
        <v>1</v>
      </c>
      <c r="G495" s="31" t="s">
        <v>21</v>
      </c>
      <c r="H495" s="30">
        <v>96</v>
      </c>
      <c r="I495" s="31" t="s">
        <v>43</v>
      </c>
      <c r="J495" s="32">
        <v>26500</v>
      </c>
      <c r="K495" s="28" t="s">
        <v>43</v>
      </c>
      <c r="L495" s="33"/>
      <c r="M495" s="33"/>
      <c r="N495" s="27">
        <f>288+720+144+144</f>
        <v>1296</v>
      </c>
      <c r="O495" s="31" t="s">
        <v>43</v>
      </c>
      <c r="P495" s="27">
        <f t="shared" ref="P495" si="156">(C495+(E495*F495*H495))-N495</f>
        <v>3504</v>
      </c>
      <c r="Q495" s="31" t="s">
        <v>43</v>
      </c>
      <c r="R495" s="32">
        <f t="shared" ref="R495" si="157">P495*(J495-(J495*L495)-((J495-(J495*L495))*M495))</f>
        <v>92856000</v>
      </c>
      <c r="S495" s="32">
        <f t="shared" ref="S495" si="158">R495/1.11</f>
        <v>83654054.054054052</v>
      </c>
    </row>
    <row r="496" spans="1:20" s="26" customFormat="1">
      <c r="A496" s="25" t="s">
        <v>450</v>
      </c>
      <c r="B496" s="26" t="s">
        <v>182</v>
      </c>
      <c r="C496" s="27">
        <v>384</v>
      </c>
      <c r="D496" s="28" t="s">
        <v>43</v>
      </c>
      <c r="E496" s="29"/>
      <c r="F496" s="30">
        <v>1</v>
      </c>
      <c r="G496" s="31" t="s">
        <v>21</v>
      </c>
      <c r="H496" s="30">
        <v>192</v>
      </c>
      <c r="I496" s="31" t="s">
        <v>43</v>
      </c>
      <c r="J496" s="32">
        <v>12750</v>
      </c>
      <c r="K496" s="28" t="s">
        <v>43</v>
      </c>
      <c r="L496" s="33">
        <v>0.05</v>
      </c>
      <c r="M496" s="33"/>
      <c r="N496" s="27"/>
      <c r="O496" s="31" t="s">
        <v>43</v>
      </c>
      <c r="P496" s="27">
        <f t="shared" si="154"/>
        <v>384</v>
      </c>
      <c r="Q496" s="31" t="s">
        <v>43</v>
      </c>
      <c r="R496" s="32">
        <f t="shared" si="155"/>
        <v>4651200</v>
      </c>
      <c r="S496" s="32">
        <f t="shared" si="141"/>
        <v>4190270.2702702698</v>
      </c>
    </row>
    <row r="497" spans="1:19">
      <c r="A497" s="15" t="s">
        <v>451</v>
      </c>
      <c r="S497" s="23"/>
    </row>
    <row r="498" spans="1:19" s="17" customFormat="1">
      <c r="A498" s="118" t="s">
        <v>452</v>
      </c>
      <c r="B498" s="96" t="s">
        <v>19</v>
      </c>
      <c r="C498" s="97"/>
      <c r="D498" s="98" t="s">
        <v>162</v>
      </c>
      <c r="E498" s="105"/>
      <c r="F498" s="100">
        <v>8</v>
      </c>
      <c r="G498" s="101" t="s">
        <v>34</v>
      </c>
      <c r="H498" s="100">
        <v>24</v>
      </c>
      <c r="I498" s="101" t="s">
        <v>162</v>
      </c>
      <c r="J498" s="102">
        <v>16500</v>
      </c>
      <c r="K498" s="98" t="s">
        <v>162</v>
      </c>
      <c r="L498" s="103">
        <v>0.125</v>
      </c>
      <c r="M498" s="103">
        <v>0.05</v>
      </c>
      <c r="N498" s="97"/>
      <c r="O498" s="101" t="s">
        <v>162</v>
      </c>
      <c r="P498" s="97">
        <f t="shared" ref="P498:P504" si="159">(C498+(E498*F498*H498))-N498</f>
        <v>0</v>
      </c>
      <c r="Q498" s="101" t="s">
        <v>162</v>
      </c>
      <c r="R498" s="102">
        <f t="shared" ref="R498:R504" si="160">P498*(J498-(J498*L498)-((J498-(J498*L498))*M498))</f>
        <v>0</v>
      </c>
      <c r="S498" s="102">
        <f t="shared" si="141"/>
        <v>0</v>
      </c>
    </row>
    <row r="499" spans="1:19" s="26" customFormat="1">
      <c r="A499" s="119" t="s">
        <v>453</v>
      </c>
      <c r="B499" s="36" t="s">
        <v>19</v>
      </c>
      <c r="C499" s="37">
        <v>48</v>
      </c>
      <c r="D499" s="38" t="s">
        <v>162</v>
      </c>
      <c r="E499" s="39"/>
      <c r="F499" s="40">
        <v>8</v>
      </c>
      <c r="G499" s="41" t="s">
        <v>34</v>
      </c>
      <c r="H499" s="40">
        <v>24</v>
      </c>
      <c r="I499" s="41" t="s">
        <v>162</v>
      </c>
      <c r="J499" s="42"/>
      <c r="K499" s="38" t="s">
        <v>162</v>
      </c>
      <c r="L499" s="43">
        <v>0.1</v>
      </c>
      <c r="M499" s="43">
        <v>0.05</v>
      </c>
      <c r="N499" s="37"/>
      <c r="O499" s="41" t="s">
        <v>162</v>
      </c>
      <c r="P499" s="37">
        <f t="shared" si="159"/>
        <v>48</v>
      </c>
      <c r="Q499" s="41" t="s">
        <v>162</v>
      </c>
      <c r="R499" s="42">
        <f t="shared" si="160"/>
        <v>0</v>
      </c>
      <c r="S499" s="42">
        <f t="shared" si="141"/>
        <v>0</v>
      </c>
    </row>
    <row r="500" spans="1:19" s="26" customFormat="1">
      <c r="A500" s="120" t="s">
        <v>454</v>
      </c>
      <c r="B500" s="26" t="s">
        <v>19</v>
      </c>
      <c r="C500" s="27">
        <v>7</v>
      </c>
      <c r="D500" s="28" t="s">
        <v>162</v>
      </c>
      <c r="E500" s="29"/>
      <c r="F500" s="30">
        <v>8</v>
      </c>
      <c r="G500" s="31" t="s">
        <v>34</v>
      </c>
      <c r="H500" s="30">
        <v>30</v>
      </c>
      <c r="I500" s="31" t="s">
        <v>162</v>
      </c>
      <c r="J500" s="32"/>
      <c r="K500" s="28" t="s">
        <v>162</v>
      </c>
      <c r="L500" s="33">
        <v>0.1</v>
      </c>
      <c r="M500" s="33">
        <v>0.05</v>
      </c>
      <c r="N500" s="27"/>
      <c r="O500" s="31" t="s">
        <v>162</v>
      </c>
      <c r="P500" s="27">
        <f t="shared" si="159"/>
        <v>7</v>
      </c>
      <c r="Q500" s="31" t="s">
        <v>162</v>
      </c>
      <c r="R500" s="32">
        <f t="shared" si="160"/>
        <v>0</v>
      </c>
      <c r="S500" s="32">
        <f t="shared" si="141"/>
        <v>0</v>
      </c>
    </row>
    <row r="501" spans="1:19" s="17" customFormat="1">
      <c r="A501" s="121" t="s">
        <v>455</v>
      </c>
      <c r="B501" s="17" t="s">
        <v>19</v>
      </c>
      <c r="C501" s="18"/>
      <c r="D501" s="19" t="s">
        <v>162</v>
      </c>
      <c r="E501" s="20"/>
      <c r="F501" s="21">
        <v>8</v>
      </c>
      <c r="G501" s="22" t="s">
        <v>34</v>
      </c>
      <c r="H501" s="21">
        <v>24</v>
      </c>
      <c r="I501" s="22" t="s">
        <v>162</v>
      </c>
      <c r="J501" s="23">
        <v>21000</v>
      </c>
      <c r="K501" s="19" t="s">
        <v>162</v>
      </c>
      <c r="L501" s="24">
        <v>0.125</v>
      </c>
      <c r="M501" s="24">
        <v>0.05</v>
      </c>
      <c r="N501" s="18"/>
      <c r="O501" s="22" t="s">
        <v>162</v>
      </c>
      <c r="P501" s="18">
        <f t="shared" si="159"/>
        <v>0</v>
      </c>
      <c r="Q501" s="22" t="s">
        <v>162</v>
      </c>
      <c r="R501" s="23">
        <f t="shared" si="160"/>
        <v>0</v>
      </c>
      <c r="S501" s="23">
        <f t="shared" si="141"/>
        <v>0</v>
      </c>
    </row>
    <row r="502" spans="1:19" s="17" customFormat="1">
      <c r="A502" s="121" t="s">
        <v>456</v>
      </c>
      <c r="B502" s="17" t="s">
        <v>19</v>
      </c>
      <c r="C502" s="18"/>
      <c r="D502" s="19" t="s">
        <v>162</v>
      </c>
      <c r="E502" s="20"/>
      <c r="F502" s="21">
        <v>8</v>
      </c>
      <c r="G502" s="22" t="s">
        <v>34</v>
      </c>
      <c r="H502" s="21">
        <v>24</v>
      </c>
      <c r="I502" s="22" t="s">
        <v>162</v>
      </c>
      <c r="J502" s="23">
        <v>15900</v>
      </c>
      <c r="K502" s="19" t="s">
        <v>162</v>
      </c>
      <c r="L502" s="24">
        <v>0.125</v>
      </c>
      <c r="M502" s="24">
        <v>0.05</v>
      </c>
      <c r="N502" s="18"/>
      <c r="O502" s="22" t="s">
        <v>162</v>
      </c>
      <c r="P502" s="18">
        <f t="shared" si="159"/>
        <v>0</v>
      </c>
      <c r="Q502" s="22" t="s">
        <v>162</v>
      </c>
      <c r="R502" s="23">
        <f t="shared" si="160"/>
        <v>0</v>
      </c>
      <c r="S502" s="23">
        <f t="shared" si="141"/>
        <v>0</v>
      </c>
    </row>
    <row r="503" spans="1:19" s="17" customFormat="1">
      <c r="A503" s="121" t="s">
        <v>457</v>
      </c>
      <c r="B503" s="17" t="s">
        <v>19</v>
      </c>
      <c r="C503" s="18"/>
      <c r="D503" s="19" t="s">
        <v>162</v>
      </c>
      <c r="E503" s="20"/>
      <c r="F503" s="21">
        <v>6</v>
      </c>
      <c r="G503" s="22" t="s">
        <v>34</v>
      </c>
      <c r="H503" s="21">
        <v>24</v>
      </c>
      <c r="I503" s="22" t="s">
        <v>162</v>
      </c>
      <c r="J503" s="23">
        <v>21000</v>
      </c>
      <c r="K503" s="19" t="s">
        <v>162</v>
      </c>
      <c r="L503" s="24">
        <v>0.125</v>
      </c>
      <c r="M503" s="24">
        <v>0.05</v>
      </c>
      <c r="N503" s="18"/>
      <c r="O503" s="22" t="s">
        <v>162</v>
      </c>
      <c r="P503" s="18">
        <f t="shared" si="159"/>
        <v>0</v>
      </c>
      <c r="Q503" s="22" t="s">
        <v>162</v>
      </c>
      <c r="R503" s="23">
        <f t="shared" si="160"/>
        <v>0</v>
      </c>
      <c r="S503" s="23">
        <f t="shared" si="141"/>
        <v>0</v>
      </c>
    </row>
    <row r="504" spans="1:19" s="17" customFormat="1">
      <c r="A504" s="16" t="s">
        <v>458</v>
      </c>
      <c r="B504" s="17" t="s">
        <v>26</v>
      </c>
      <c r="C504" s="18">
        <v>30</v>
      </c>
      <c r="D504" s="19" t="s">
        <v>162</v>
      </c>
      <c r="E504" s="20"/>
      <c r="F504" s="21">
        <v>8</v>
      </c>
      <c r="G504" s="22" t="s">
        <v>34</v>
      </c>
      <c r="H504" s="21">
        <v>30</v>
      </c>
      <c r="I504" s="22" t="s">
        <v>162</v>
      </c>
      <c r="J504" s="23">
        <f>4800000/8/30</f>
        <v>20000</v>
      </c>
      <c r="K504" s="19" t="s">
        <v>162</v>
      </c>
      <c r="L504" s="24"/>
      <c r="M504" s="24">
        <v>0.17</v>
      </c>
      <c r="N504" s="18">
        <v>30</v>
      </c>
      <c r="O504" s="22" t="s">
        <v>162</v>
      </c>
      <c r="P504" s="18">
        <f t="shared" si="159"/>
        <v>0</v>
      </c>
      <c r="Q504" s="22" t="s">
        <v>162</v>
      </c>
      <c r="R504" s="23">
        <f t="shared" si="160"/>
        <v>0</v>
      </c>
      <c r="S504" s="23">
        <f t="shared" si="141"/>
        <v>0</v>
      </c>
    </row>
    <row r="505" spans="1:19" s="17" customFormat="1">
      <c r="A505" s="16" t="s">
        <v>752</v>
      </c>
      <c r="B505" s="17" t="s">
        <v>26</v>
      </c>
      <c r="C505" s="18"/>
      <c r="D505" s="19" t="s">
        <v>162</v>
      </c>
      <c r="E505" s="20">
        <v>1</v>
      </c>
      <c r="F505" s="21">
        <v>6</v>
      </c>
      <c r="G505" s="22" t="s">
        <v>34</v>
      </c>
      <c r="H505" s="21">
        <v>30</v>
      </c>
      <c r="I505" s="22" t="s">
        <v>162</v>
      </c>
      <c r="J505" s="23">
        <f>2664000/6/30</f>
        <v>14800</v>
      </c>
      <c r="K505" s="19" t="s">
        <v>162</v>
      </c>
      <c r="L505" s="24"/>
      <c r="M505" s="24">
        <v>0.17</v>
      </c>
      <c r="N505" s="18">
        <v>180</v>
      </c>
      <c r="O505" s="22" t="s">
        <v>162</v>
      </c>
      <c r="P505" s="18">
        <f t="shared" ref="P505" si="161">(C505+(E505*F505*H505))-N505</f>
        <v>0</v>
      </c>
      <c r="Q505" s="22" t="s">
        <v>162</v>
      </c>
      <c r="R505" s="23">
        <f t="shared" ref="R505" si="162">P505*(J505-(J505*L505)-((J505-(J505*L505))*M505))</f>
        <v>0</v>
      </c>
      <c r="S505" s="23">
        <f t="shared" ref="S505" si="163">R505/1.11</f>
        <v>0</v>
      </c>
    </row>
    <row r="506" spans="1:19">
      <c r="A506" s="15" t="s">
        <v>459</v>
      </c>
      <c r="S506" s="23"/>
    </row>
    <row r="507" spans="1:19" s="26" customFormat="1">
      <c r="A507" s="120" t="s">
        <v>460</v>
      </c>
      <c r="B507" s="26" t="s">
        <v>26</v>
      </c>
      <c r="C507" s="27">
        <v>576</v>
      </c>
      <c r="D507" s="28" t="s">
        <v>20</v>
      </c>
      <c r="E507" s="29"/>
      <c r="F507" s="30">
        <v>24</v>
      </c>
      <c r="G507" s="31" t="s">
        <v>34</v>
      </c>
      <c r="H507" s="30">
        <v>24</v>
      </c>
      <c r="I507" s="31" t="s">
        <v>20</v>
      </c>
      <c r="J507" s="32">
        <f>2822400/24/24</f>
        <v>4900</v>
      </c>
      <c r="K507" s="28" t="s">
        <v>20</v>
      </c>
      <c r="L507" s="33"/>
      <c r="M507" s="33">
        <v>0.17</v>
      </c>
      <c r="N507" s="27"/>
      <c r="O507" s="31" t="s">
        <v>20</v>
      </c>
      <c r="P507" s="27">
        <f>(C507+(E507*F507*H507))-N507</f>
        <v>576</v>
      </c>
      <c r="Q507" s="31" t="s">
        <v>20</v>
      </c>
      <c r="R507" s="32">
        <f>P507*(J507-(J507*L507)-((J507-(J507*L507))*M507))</f>
        <v>2342592</v>
      </c>
      <c r="S507" s="32">
        <f t="shared" si="141"/>
        <v>2110443.2432432431</v>
      </c>
    </row>
    <row r="508" spans="1:19" s="26" customFormat="1">
      <c r="A508" s="120" t="s">
        <v>461</v>
      </c>
      <c r="B508" s="26" t="s">
        <v>26</v>
      </c>
      <c r="C508" s="27">
        <v>1236</v>
      </c>
      <c r="D508" s="28" t="s">
        <v>20</v>
      </c>
      <c r="E508" s="29"/>
      <c r="F508" s="30">
        <v>24</v>
      </c>
      <c r="G508" s="31" t="s">
        <v>34</v>
      </c>
      <c r="H508" s="30">
        <v>24</v>
      </c>
      <c r="I508" s="31" t="s">
        <v>20</v>
      </c>
      <c r="J508" s="32">
        <f>1900800/24/24</f>
        <v>3300</v>
      </c>
      <c r="K508" s="28" t="s">
        <v>20</v>
      </c>
      <c r="L508" s="33"/>
      <c r="M508" s="33">
        <v>0.17</v>
      </c>
      <c r="N508" s="27">
        <f>(5*12)+(2*12)+(10*12)+(3*12)+(1*12)</f>
        <v>252</v>
      </c>
      <c r="O508" s="31" t="s">
        <v>20</v>
      </c>
      <c r="P508" s="27">
        <f>(C508+(E508*F508*H508))-N508</f>
        <v>984</v>
      </c>
      <c r="Q508" s="31" t="s">
        <v>20</v>
      </c>
      <c r="R508" s="32">
        <f>P508*(J508-(J508*L508)-((J508-(J508*L508))*M508))</f>
        <v>2695176</v>
      </c>
      <c r="S508" s="32">
        <f t="shared" si="141"/>
        <v>2428086.4864864862</v>
      </c>
    </row>
    <row r="509" spans="1:19" s="17" customFormat="1">
      <c r="A509" s="16" t="s">
        <v>462</v>
      </c>
      <c r="B509" s="17" t="s">
        <v>19</v>
      </c>
      <c r="C509" s="18"/>
      <c r="D509" s="19" t="s">
        <v>43</v>
      </c>
      <c r="E509" s="20"/>
      <c r="F509" s="21">
        <v>48</v>
      </c>
      <c r="G509" s="22" t="s">
        <v>34</v>
      </c>
      <c r="H509" s="21">
        <v>12</v>
      </c>
      <c r="I509" s="22" t="s">
        <v>20</v>
      </c>
      <c r="J509" s="23">
        <v>5800</v>
      </c>
      <c r="K509" s="19" t="s">
        <v>20</v>
      </c>
      <c r="L509" s="24">
        <v>0.125</v>
      </c>
      <c r="M509" s="24">
        <v>0.05</v>
      </c>
      <c r="N509" s="18"/>
      <c r="O509" s="22" t="s">
        <v>20</v>
      </c>
      <c r="P509" s="18">
        <f>(C509+(E509*F509*H509))-N509</f>
        <v>0</v>
      </c>
      <c r="Q509" s="22" t="s">
        <v>20</v>
      </c>
      <c r="R509" s="23">
        <f>P509*(J509-(J509*L509)-((J509-(J509*L509))*M509))</f>
        <v>0</v>
      </c>
      <c r="S509" s="23">
        <f t="shared" ref="S509:S584" si="164">R509/1.11</f>
        <v>0</v>
      </c>
    </row>
    <row r="510" spans="1:19">
      <c r="A510" s="15" t="s">
        <v>463</v>
      </c>
      <c r="S510" s="23"/>
    </row>
    <row r="511" spans="1:19" s="17" customFormat="1">
      <c r="A511" s="16" t="s">
        <v>464</v>
      </c>
      <c r="B511" s="17" t="s">
        <v>19</v>
      </c>
      <c r="C511" s="18"/>
      <c r="D511" s="19" t="s">
        <v>104</v>
      </c>
      <c r="E511" s="20"/>
      <c r="F511" s="21">
        <v>18</v>
      </c>
      <c r="G511" s="22" t="s">
        <v>34</v>
      </c>
      <c r="H511" s="21">
        <v>12</v>
      </c>
      <c r="I511" s="22" t="s">
        <v>104</v>
      </c>
      <c r="J511" s="23">
        <f>36000/12</f>
        <v>3000</v>
      </c>
      <c r="K511" s="19" t="s">
        <v>104</v>
      </c>
      <c r="L511" s="24">
        <v>0.125</v>
      </c>
      <c r="M511" s="24">
        <v>0.05</v>
      </c>
      <c r="N511" s="18"/>
      <c r="O511" s="22" t="s">
        <v>104</v>
      </c>
      <c r="P511" s="18">
        <f t="shared" ref="P511:P516" si="165">(C511+(E511*F511*H511))-N511</f>
        <v>0</v>
      </c>
      <c r="Q511" s="22" t="s">
        <v>104</v>
      </c>
      <c r="R511" s="23">
        <f t="shared" ref="R511:R516" si="166">P511*(J511-(J511*L511)-((J511-(J511*L511))*M511))</f>
        <v>0</v>
      </c>
      <c r="S511" s="23">
        <f t="shared" si="164"/>
        <v>0</v>
      </c>
    </row>
    <row r="512" spans="1:19" s="17" customFormat="1">
      <c r="A512" s="16" t="s">
        <v>465</v>
      </c>
      <c r="B512" s="17" t="s">
        <v>19</v>
      </c>
      <c r="C512" s="18"/>
      <c r="D512" s="19" t="s">
        <v>43</v>
      </c>
      <c r="E512" s="20"/>
      <c r="F512" s="21">
        <v>18</v>
      </c>
      <c r="G512" s="22" t="s">
        <v>34</v>
      </c>
      <c r="H512" s="21">
        <v>24</v>
      </c>
      <c r="I512" s="22" t="s">
        <v>43</v>
      </c>
      <c r="J512" s="23">
        <v>27600</v>
      </c>
      <c r="K512" s="19" t="s">
        <v>43</v>
      </c>
      <c r="L512" s="24">
        <v>0.125</v>
      </c>
      <c r="M512" s="24">
        <v>0.05</v>
      </c>
      <c r="N512" s="18"/>
      <c r="O512" s="22" t="s">
        <v>43</v>
      </c>
      <c r="P512" s="18">
        <f t="shared" si="165"/>
        <v>0</v>
      </c>
      <c r="Q512" s="22" t="s">
        <v>43</v>
      </c>
      <c r="R512" s="23">
        <f t="shared" si="166"/>
        <v>0</v>
      </c>
      <c r="S512" s="23">
        <f t="shared" si="164"/>
        <v>0</v>
      </c>
    </row>
    <row r="513" spans="1:19" s="17" customFormat="1">
      <c r="A513" s="16" t="s">
        <v>466</v>
      </c>
      <c r="B513" s="17" t="s">
        <v>275</v>
      </c>
      <c r="C513" s="18"/>
      <c r="D513" s="19" t="s">
        <v>43</v>
      </c>
      <c r="E513" s="20"/>
      <c r="F513" s="21">
        <v>1</v>
      </c>
      <c r="G513" s="22" t="s">
        <v>21</v>
      </c>
      <c r="H513" s="21">
        <v>96</v>
      </c>
      <c r="I513" s="22" t="s">
        <v>43</v>
      </c>
      <c r="J513" s="23">
        <v>9500</v>
      </c>
      <c r="K513" s="19" t="s">
        <v>43</v>
      </c>
      <c r="L513" s="24"/>
      <c r="M513" s="24"/>
      <c r="N513" s="18"/>
      <c r="O513" s="22" t="s">
        <v>43</v>
      </c>
      <c r="P513" s="18">
        <f t="shared" si="165"/>
        <v>0</v>
      </c>
      <c r="Q513" s="22" t="s">
        <v>43</v>
      </c>
      <c r="R513" s="23">
        <f t="shared" si="166"/>
        <v>0</v>
      </c>
      <c r="S513" s="23">
        <f t="shared" si="164"/>
        <v>0</v>
      </c>
    </row>
    <row r="514" spans="1:19" s="26" customFormat="1">
      <c r="A514" s="25" t="s">
        <v>467</v>
      </c>
      <c r="B514" s="26" t="s">
        <v>26</v>
      </c>
      <c r="C514" s="27">
        <v>1200</v>
      </c>
      <c r="D514" s="28" t="s">
        <v>20</v>
      </c>
      <c r="E514" s="29"/>
      <c r="F514" s="30">
        <v>144</v>
      </c>
      <c r="G514" s="31" t="s">
        <v>34</v>
      </c>
      <c r="H514" s="30">
        <v>24</v>
      </c>
      <c r="I514" s="31" t="s">
        <v>20</v>
      </c>
      <c r="J514" s="32">
        <f>6739200/144/24</f>
        <v>1950</v>
      </c>
      <c r="K514" s="28" t="s">
        <v>20</v>
      </c>
      <c r="L514" s="33"/>
      <c r="M514" s="33">
        <v>0.17</v>
      </c>
      <c r="N514" s="27">
        <v>24</v>
      </c>
      <c r="O514" s="31" t="s">
        <v>20</v>
      </c>
      <c r="P514" s="27">
        <f t="shared" si="165"/>
        <v>1176</v>
      </c>
      <c r="Q514" s="31" t="s">
        <v>20</v>
      </c>
      <c r="R514" s="32">
        <f t="shared" si="166"/>
        <v>1903356</v>
      </c>
      <c r="S514" s="32">
        <f t="shared" si="164"/>
        <v>1714735.1351351349</v>
      </c>
    </row>
    <row r="515" spans="1:19" s="17" customFormat="1">
      <c r="A515" s="16" t="s">
        <v>468</v>
      </c>
      <c r="B515" s="17" t="s">
        <v>26</v>
      </c>
      <c r="C515" s="18"/>
      <c r="D515" s="19" t="s">
        <v>34</v>
      </c>
      <c r="E515" s="20"/>
      <c r="F515" s="21">
        <v>1</v>
      </c>
      <c r="G515" s="22" t="s">
        <v>21</v>
      </c>
      <c r="H515" s="21">
        <v>120</v>
      </c>
      <c r="I515" s="22" t="s">
        <v>34</v>
      </c>
      <c r="J515" s="23">
        <f>2016000/120</f>
        <v>16800</v>
      </c>
      <c r="K515" s="19" t="s">
        <v>34</v>
      </c>
      <c r="L515" s="24"/>
      <c r="M515" s="24">
        <v>0.17</v>
      </c>
      <c r="N515" s="18"/>
      <c r="O515" s="22" t="s">
        <v>34</v>
      </c>
      <c r="P515" s="18">
        <f t="shared" si="165"/>
        <v>0</v>
      </c>
      <c r="Q515" s="22" t="s">
        <v>34</v>
      </c>
      <c r="R515" s="23">
        <f t="shared" si="166"/>
        <v>0</v>
      </c>
      <c r="S515" s="23">
        <f t="shared" si="164"/>
        <v>0</v>
      </c>
    </row>
    <row r="516" spans="1:19">
      <c r="A516" s="34" t="s">
        <v>469</v>
      </c>
      <c r="B516" s="2" t="s">
        <v>192</v>
      </c>
      <c r="C516" s="3">
        <v>2400</v>
      </c>
      <c r="D516" s="4" t="s">
        <v>34</v>
      </c>
      <c r="F516" s="6">
        <v>1</v>
      </c>
      <c r="G516" s="7" t="s">
        <v>21</v>
      </c>
      <c r="H516" s="6">
        <v>240</v>
      </c>
      <c r="I516" s="7" t="s">
        <v>34</v>
      </c>
      <c r="J516" s="8">
        <v>5500</v>
      </c>
      <c r="K516" s="4" t="s">
        <v>34</v>
      </c>
      <c r="O516" s="7" t="s">
        <v>34</v>
      </c>
      <c r="P516" s="3">
        <f t="shared" si="165"/>
        <v>2400</v>
      </c>
      <c r="Q516" s="7" t="s">
        <v>34</v>
      </c>
      <c r="R516" s="8">
        <f t="shared" si="166"/>
        <v>13200000</v>
      </c>
      <c r="S516" s="32">
        <f t="shared" si="164"/>
        <v>11891891.891891891</v>
      </c>
    </row>
    <row r="517" spans="1:19">
      <c r="S517" s="23"/>
    </row>
    <row r="518" spans="1:19" ht="15.75">
      <c r="A518" s="14" t="s">
        <v>470</v>
      </c>
      <c r="S518" s="23"/>
    </row>
    <row r="519" spans="1:19" s="63" customFormat="1">
      <c r="A519" s="95" t="s">
        <v>471</v>
      </c>
      <c r="B519" s="96" t="s">
        <v>19</v>
      </c>
      <c r="C519" s="97">
        <v>57</v>
      </c>
      <c r="D519" s="98" t="s">
        <v>88</v>
      </c>
      <c r="E519" s="105"/>
      <c r="F519" s="100">
        <v>1</v>
      </c>
      <c r="G519" s="101" t="s">
        <v>21</v>
      </c>
      <c r="H519" s="100">
        <v>30</v>
      </c>
      <c r="I519" s="101" t="s">
        <v>88</v>
      </c>
      <c r="J519" s="102">
        <v>95500</v>
      </c>
      <c r="K519" s="98" t="s">
        <v>88</v>
      </c>
      <c r="L519" s="103">
        <v>0.125</v>
      </c>
      <c r="M519" s="103">
        <v>0.05</v>
      </c>
      <c r="N519" s="97">
        <f>30+270-243</f>
        <v>57</v>
      </c>
      <c r="O519" s="101" t="s">
        <v>88</v>
      </c>
      <c r="P519" s="97">
        <f t="shared" ref="P519:P543" si="167">(C519+(E519*F519*H519))-N519</f>
        <v>0</v>
      </c>
      <c r="Q519" s="101" t="s">
        <v>88</v>
      </c>
      <c r="R519" s="102">
        <f t="shared" ref="R519:R543" si="168">P519*(J519-(J519*L519)-((J519-(J519*L519))*M519))</f>
        <v>0</v>
      </c>
      <c r="S519" s="102">
        <f t="shared" si="164"/>
        <v>0</v>
      </c>
    </row>
    <row r="520" spans="1:19" s="63" customFormat="1">
      <c r="A520" s="95" t="s">
        <v>471</v>
      </c>
      <c r="B520" s="96" t="s">
        <v>19</v>
      </c>
      <c r="C520" s="97"/>
      <c r="D520" s="98" t="s">
        <v>88</v>
      </c>
      <c r="E520" s="105">
        <f>2+2+9</f>
        <v>13</v>
      </c>
      <c r="F520" s="100">
        <v>1</v>
      </c>
      <c r="G520" s="101" t="s">
        <v>21</v>
      </c>
      <c r="H520" s="100">
        <v>30</v>
      </c>
      <c r="I520" s="101" t="s">
        <v>88</v>
      </c>
      <c r="J520" s="102">
        <v>99500</v>
      </c>
      <c r="K520" s="98" t="s">
        <v>88</v>
      </c>
      <c r="L520" s="103">
        <v>0.125</v>
      </c>
      <c r="M520" s="103">
        <v>0.05</v>
      </c>
      <c r="N520" s="97">
        <f>(270-27)+1+60+60+5+60-39</f>
        <v>390</v>
      </c>
      <c r="O520" s="101" t="s">
        <v>88</v>
      </c>
      <c r="P520" s="97">
        <f t="shared" ref="P520:P521" si="169">(C520+(E520*F520*H520))-N520</f>
        <v>0</v>
      </c>
      <c r="Q520" s="101" t="s">
        <v>88</v>
      </c>
      <c r="R520" s="102">
        <f t="shared" ref="R520:R521" si="170">P520*(J520-(J520*L520)-((J520-(J520*L520))*M520))</f>
        <v>0</v>
      </c>
      <c r="S520" s="102">
        <f t="shared" ref="S520:S521" si="171">R520/1.11</f>
        <v>0</v>
      </c>
    </row>
    <row r="521" spans="1:19" s="45" customFormat="1">
      <c r="A521" s="35" t="s">
        <v>471</v>
      </c>
      <c r="B521" s="36" t="s">
        <v>19</v>
      </c>
      <c r="C521" s="37"/>
      <c r="D521" s="38" t="s">
        <v>88</v>
      </c>
      <c r="E521" s="39">
        <f>7+2+2</f>
        <v>11</v>
      </c>
      <c r="F521" s="40">
        <v>1</v>
      </c>
      <c r="G521" s="41" t="s">
        <v>21</v>
      </c>
      <c r="H521" s="40">
        <v>30</v>
      </c>
      <c r="I521" s="41" t="s">
        <v>88</v>
      </c>
      <c r="J521" s="42">
        <v>104400</v>
      </c>
      <c r="K521" s="38" t="s">
        <v>88</v>
      </c>
      <c r="L521" s="43">
        <v>0.125</v>
      </c>
      <c r="M521" s="43">
        <v>0.05</v>
      </c>
      <c r="N521" s="37">
        <f>(60-21)+150</f>
        <v>189</v>
      </c>
      <c r="O521" s="41" t="s">
        <v>88</v>
      </c>
      <c r="P521" s="37">
        <f t="shared" si="169"/>
        <v>141</v>
      </c>
      <c r="Q521" s="41" t="s">
        <v>88</v>
      </c>
      <c r="R521" s="42">
        <f t="shared" si="170"/>
        <v>12236332.5</v>
      </c>
      <c r="S521" s="42">
        <f t="shared" si="171"/>
        <v>11023722.972972972</v>
      </c>
    </row>
    <row r="522" spans="1:19" s="45" customFormat="1">
      <c r="A522" s="44" t="s">
        <v>726</v>
      </c>
      <c r="B522" s="45" t="s">
        <v>19</v>
      </c>
      <c r="C522" s="46">
        <v>42</v>
      </c>
      <c r="D522" s="47" t="s">
        <v>88</v>
      </c>
      <c r="E522" s="48"/>
      <c r="F522" s="49">
        <v>1</v>
      </c>
      <c r="G522" s="50" t="s">
        <v>21</v>
      </c>
      <c r="H522" s="49">
        <v>30</v>
      </c>
      <c r="I522" s="50" t="s">
        <v>88</v>
      </c>
      <c r="J522" s="51">
        <v>102000</v>
      </c>
      <c r="K522" s="47" t="s">
        <v>88</v>
      </c>
      <c r="L522" s="52">
        <v>0.125</v>
      </c>
      <c r="M522" s="52">
        <v>0.05</v>
      </c>
      <c r="N522" s="46">
        <v>5</v>
      </c>
      <c r="O522" s="50" t="s">
        <v>88</v>
      </c>
      <c r="P522" s="46">
        <f t="shared" si="167"/>
        <v>37</v>
      </c>
      <c r="Q522" s="50" t="s">
        <v>88</v>
      </c>
      <c r="R522" s="51">
        <f t="shared" si="168"/>
        <v>3137137.5</v>
      </c>
      <c r="S522" s="51">
        <f t="shared" si="164"/>
        <v>2826249.9999999995</v>
      </c>
    </row>
    <row r="523" spans="1:19" s="17" customFormat="1">
      <c r="A523" s="16" t="s">
        <v>472</v>
      </c>
      <c r="B523" s="17" t="s">
        <v>19</v>
      </c>
      <c r="C523" s="18"/>
      <c r="D523" s="19" t="s">
        <v>88</v>
      </c>
      <c r="E523" s="20"/>
      <c r="F523" s="21">
        <v>1</v>
      </c>
      <c r="G523" s="22" t="s">
        <v>21</v>
      </c>
      <c r="H523" s="21">
        <v>30</v>
      </c>
      <c r="I523" s="22" t="s">
        <v>88</v>
      </c>
      <c r="J523" s="23">
        <v>99000</v>
      </c>
      <c r="K523" s="19" t="s">
        <v>88</v>
      </c>
      <c r="L523" s="24">
        <v>0.125</v>
      </c>
      <c r="M523" s="24">
        <v>0.05</v>
      </c>
      <c r="N523" s="18"/>
      <c r="O523" s="22" t="s">
        <v>88</v>
      </c>
      <c r="P523" s="18">
        <f t="shared" si="167"/>
        <v>0</v>
      </c>
      <c r="Q523" s="22" t="s">
        <v>88</v>
      </c>
      <c r="R523" s="23">
        <f t="shared" si="168"/>
        <v>0</v>
      </c>
      <c r="S523" s="23">
        <f t="shared" si="164"/>
        <v>0</v>
      </c>
    </row>
    <row r="524" spans="1:19" s="17" customFormat="1">
      <c r="A524" s="16" t="s">
        <v>473</v>
      </c>
      <c r="B524" s="17" t="s">
        <v>19</v>
      </c>
      <c r="C524" s="18"/>
      <c r="D524" s="19" t="s">
        <v>88</v>
      </c>
      <c r="E524" s="20"/>
      <c r="F524" s="21">
        <v>1</v>
      </c>
      <c r="G524" s="22" t="s">
        <v>21</v>
      </c>
      <c r="H524" s="21">
        <v>30</v>
      </c>
      <c r="I524" s="22" t="s">
        <v>88</v>
      </c>
      <c r="J524" s="23">
        <v>96000</v>
      </c>
      <c r="K524" s="19" t="s">
        <v>88</v>
      </c>
      <c r="L524" s="24">
        <v>0.125</v>
      </c>
      <c r="M524" s="24">
        <v>0.05</v>
      </c>
      <c r="N524" s="18"/>
      <c r="O524" s="22" t="s">
        <v>88</v>
      </c>
      <c r="P524" s="18">
        <f t="shared" si="167"/>
        <v>0</v>
      </c>
      <c r="Q524" s="22" t="s">
        <v>88</v>
      </c>
      <c r="R524" s="23">
        <f t="shared" si="168"/>
        <v>0</v>
      </c>
      <c r="S524" s="23">
        <f t="shared" si="164"/>
        <v>0</v>
      </c>
    </row>
    <row r="525" spans="1:19" s="17" customFormat="1">
      <c r="A525" s="16" t="s">
        <v>474</v>
      </c>
      <c r="B525" s="17" t="s">
        <v>19</v>
      </c>
      <c r="C525" s="18"/>
      <c r="D525" s="19" t="s">
        <v>88</v>
      </c>
      <c r="E525" s="20"/>
      <c r="F525" s="21">
        <v>1</v>
      </c>
      <c r="G525" s="22" t="s">
        <v>21</v>
      </c>
      <c r="H525" s="21">
        <v>30</v>
      </c>
      <c r="I525" s="22" t="s">
        <v>88</v>
      </c>
      <c r="J525" s="23">
        <v>109000</v>
      </c>
      <c r="K525" s="19" t="s">
        <v>88</v>
      </c>
      <c r="L525" s="24">
        <v>0.125</v>
      </c>
      <c r="M525" s="24">
        <v>0.05</v>
      </c>
      <c r="N525" s="18"/>
      <c r="O525" s="22" t="s">
        <v>88</v>
      </c>
      <c r="P525" s="18">
        <f t="shared" si="167"/>
        <v>0</v>
      </c>
      <c r="Q525" s="22" t="s">
        <v>88</v>
      </c>
      <c r="R525" s="23">
        <f t="shared" si="168"/>
        <v>0</v>
      </c>
      <c r="S525" s="23">
        <f t="shared" si="164"/>
        <v>0</v>
      </c>
    </row>
    <row r="526" spans="1:19" s="25" customFormat="1">
      <c r="A526" s="94" t="s">
        <v>475</v>
      </c>
      <c r="B526" s="25" t="s">
        <v>26</v>
      </c>
      <c r="C526" s="122">
        <v>40</v>
      </c>
      <c r="D526" s="123" t="s">
        <v>88</v>
      </c>
      <c r="E526" s="124"/>
      <c r="F526" s="125">
        <v>1</v>
      </c>
      <c r="G526" s="126" t="s">
        <v>21</v>
      </c>
      <c r="H526" s="125">
        <v>20</v>
      </c>
      <c r="I526" s="126" t="s">
        <v>88</v>
      </c>
      <c r="J526" s="127">
        <f>2160000/20</f>
        <v>108000</v>
      </c>
      <c r="K526" s="123" t="s">
        <v>88</v>
      </c>
      <c r="L526" s="128"/>
      <c r="M526" s="128">
        <v>0.17</v>
      </c>
      <c r="N526" s="122"/>
      <c r="O526" s="126" t="s">
        <v>88</v>
      </c>
      <c r="P526" s="122">
        <f t="shared" si="167"/>
        <v>40</v>
      </c>
      <c r="Q526" s="126" t="s">
        <v>88</v>
      </c>
      <c r="R526" s="127">
        <f t="shared" si="168"/>
        <v>3585600</v>
      </c>
      <c r="S526" s="32">
        <f t="shared" si="164"/>
        <v>3230270.2702702698</v>
      </c>
    </row>
    <row r="527" spans="1:19" s="25" customFormat="1">
      <c r="A527" s="94" t="s">
        <v>731</v>
      </c>
      <c r="B527" s="25" t="s">
        <v>26</v>
      </c>
      <c r="C527" s="122"/>
      <c r="D527" s="123" t="s">
        <v>88</v>
      </c>
      <c r="E527" s="124">
        <v>3</v>
      </c>
      <c r="F527" s="125">
        <v>1</v>
      </c>
      <c r="G527" s="126" t="s">
        <v>21</v>
      </c>
      <c r="H527" s="125">
        <v>20</v>
      </c>
      <c r="I527" s="126" t="s">
        <v>88</v>
      </c>
      <c r="J527" s="127">
        <f>2448000/20</f>
        <v>122400</v>
      </c>
      <c r="K527" s="123" t="s">
        <v>88</v>
      </c>
      <c r="L527" s="128"/>
      <c r="M527" s="128">
        <v>0.17</v>
      </c>
      <c r="N527" s="122"/>
      <c r="O527" s="126" t="s">
        <v>88</v>
      </c>
      <c r="P527" s="122">
        <f t="shared" si="167"/>
        <v>60</v>
      </c>
      <c r="Q527" s="126" t="s">
        <v>88</v>
      </c>
      <c r="R527" s="127">
        <f t="shared" si="168"/>
        <v>6095520</v>
      </c>
      <c r="S527" s="32">
        <f t="shared" si="164"/>
        <v>5491459.4594594594</v>
      </c>
    </row>
    <row r="528" spans="1:19" s="16" customFormat="1">
      <c r="A528" s="93" t="s">
        <v>476</v>
      </c>
      <c r="B528" s="16" t="s">
        <v>26</v>
      </c>
      <c r="C528" s="129"/>
      <c r="D528" s="130" t="s">
        <v>88</v>
      </c>
      <c r="E528" s="131"/>
      <c r="F528" s="132">
        <v>1</v>
      </c>
      <c r="G528" s="133" t="s">
        <v>21</v>
      </c>
      <c r="H528" s="132">
        <v>20</v>
      </c>
      <c r="I528" s="133" t="s">
        <v>88</v>
      </c>
      <c r="J528" s="134">
        <f>2112000/20</f>
        <v>105600</v>
      </c>
      <c r="K528" s="130" t="s">
        <v>88</v>
      </c>
      <c r="L528" s="135"/>
      <c r="M528" s="135">
        <v>0.17</v>
      </c>
      <c r="N528" s="129"/>
      <c r="O528" s="133" t="s">
        <v>88</v>
      </c>
      <c r="P528" s="129">
        <f t="shared" si="167"/>
        <v>0</v>
      </c>
      <c r="Q528" s="133" t="s">
        <v>88</v>
      </c>
      <c r="R528" s="134">
        <f t="shared" si="168"/>
        <v>0</v>
      </c>
      <c r="S528" s="23">
        <f t="shared" si="164"/>
        <v>0</v>
      </c>
    </row>
    <row r="529" spans="1:19" s="16" customFormat="1">
      <c r="A529" s="93" t="s">
        <v>477</v>
      </c>
      <c r="B529" s="16" t="s">
        <v>26</v>
      </c>
      <c r="C529" s="129"/>
      <c r="D529" s="130" t="s">
        <v>88</v>
      </c>
      <c r="E529" s="131"/>
      <c r="F529" s="132">
        <v>1</v>
      </c>
      <c r="G529" s="133" t="s">
        <v>21</v>
      </c>
      <c r="H529" s="132">
        <v>20</v>
      </c>
      <c r="I529" s="133" t="s">
        <v>88</v>
      </c>
      <c r="J529" s="134">
        <f>10200*12</f>
        <v>122400</v>
      </c>
      <c r="K529" s="130" t="s">
        <v>88</v>
      </c>
      <c r="L529" s="135"/>
      <c r="M529" s="135">
        <v>0.17</v>
      </c>
      <c r="N529" s="129"/>
      <c r="O529" s="133" t="s">
        <v>88</v>
      </c>
      <c r="P529" s="129">
        <f t="shared" si="167"/>
        <v>0</v>
      </c>
      <c r="Q529" s="133" t="s">
        <v>88</v>
      </c>
      <c r="R529" s="134">
        <f t="shared" si="168"/>
        <v>0</v>
      </c>
      <c r="S529" s="23">
        <f t="shared" si="164"/>
        <v>0</v>
      </c>
    </row>
    <row r="530" spans="1:19" s="25" customFormat="1">
      <c r="A530" s="94" t="s">
        <v>478</v>
      </c>
      <c r="B530" s="25" t="s">
        <v>26</v>
      </c>
      <c r="C530" s="122">
        <v>20</v>
      </c>
      <c r="D530" s="123" t="s">
        <v>88</v>
      </c>
      <c r="E530" s="124"/>
      <c r="F530" s="125">
        <v>1</v>
      </c>
      <c r="G530" s="126" t="s">
        <v>21</v>
      </c>
      <c r="H530" s="125">
        <v>20</v>
      </c>
      <c r="I530" s="126" t="s">
        <v>88</v>
      </c>
      <c r="J530" s="127">
        <f>2256000/20</f>
        <v>112800</v>
      </c>
      <c r="K530" s="123" t="s">
        <v>88</v>
      </c>
      <c r="L530" s="128"/>
      <c r="M530" s="128">
        <v>0.17</v>
      </c>
      <c r="N530" s="122"/>
      <c r="O530" s="126" t="s">
        <v>88</v>
      </c>
      <c r="P530" s="122">
        <f t="shared" si="167"/>
        <v>20</v>
      </c>
      <c r="Q530" s="126" t="s">
        <v>88</v>
      </c>
      <c r="R530" s="127">
        <f t="shared" si="168"/>
        <v>1872480</v>
      </c>
      <c r="S530" s="32">
        <f t="shared" si="164"/>
        <v>1686918.9189189188</v>
      </c>
    </row>
    <row r="531" spans="1:19" s="16" customFormat="1">
      <c r="A531" s="93" t="s">
        <v>479</v>
      </c>
      <c r="B531" s="16" t="s">
        <v>26</v>
      </c>
      <c r="C531" s="129"/>
      <c r="D531" s="130" t="s">
        <v>88</v>
      </c>
      <c r="E531" s="131"/>
      <c r="F531" s="132">
        <v>1</v>
      </c>
      <c r="G531" s="133" t="s">
        <v>21</v>
      </c>
      <c r="H531" s="132">
        <v>20</v>
      </c>
      <c r="I531" s="133" t="s">
        <v>88</v>
      </c>
      <c r="J531" s="134">
        <f>8500*12</f>
        <v>102000</v>
      </c>
      <c r="K531" s="130" t="s">
        <v>88</v>
      </c>
      <c r="L531" s="135"/>
      <c r="M531" s="135">
        <v>0.17</v>
      </c>
      <c r="N531" s="129"/>
      <c r="O531" s="133" t="s">
        <v>88</v>
      </c>
      <c r="P531" s="129">
        <f t="shared" si="167"/>
        <v>0</v>
      </c>
      <c r="Q531" s="133" t="s">
        <v>88</v>
      </c>
      <c r="R531" s="134">
        <f t="shared" si="168"/>
        <v>0</v>
      </c>
      <c r="S531" s="23">
        <f t="shared" si="164"/>
        <v>0</v>
      </c>
    </row>
    <row r="532" spans="1:19" s="16" customFormat="1">
      <c r="A532" s="93" t="s">
        <v>480</v>
      </c>
      <c r="B532" s="16" t="s">
        <v>26</v>
      </c>
      <c r="C532" s="129"/>
      <c r="D532" s="130" t="s">
        <v>88</v>
      </c>
      <c r="E532" s="131"/>
      <c r="F532" s="132">
        <v>1</v>
      </c>
      <c r="G532" s="133" t="s">
        <v>21</v>
      </c>
      <c r="H532" s="132">
        <v>20</v>
      </c>
      <c r="I532" s="133" t="s">
        <v>88</v>
      </c>
      <c r="J532" s="134">
        <v>103200</v>
      </c>
      <c r="K532" s="130" t="s">
        <v>88</v>
      </c>
      <c r="L532" s="135"/>
      <c r="M532" s="135">
        <v>0.17</v>
      </c>
      <c r="N532" s="129"/>
      <c r="O532" s="133" t="s">
        <v>88</v>
      </c>
      <c r="P532" s="129">
        <f t="shared" si="167"/>
        <v>0</v>
      </c>
      <c r="Q532" s="133" t="s">
        <v>88</v>
      </c>
      <c r="R532" s="134">
        <f t="shared" si="168"/>
        <v>0</v>
      </c>
      <c r="S532" s="23">
        <f t="shared" si="164"/>
        <v>0</v>
      </c>
    </row>
    <row r="533" spans="1:19">
      <c r="A533" s="34" t="s">
        <v>481</v>
      </c>
      <c r="B533" s="2" t="s">
        <v>26</v>
      </c>
      <c r="C533" s="3">
        <v>1</v>
      </c>
      <c r="D533" s="4" t="s">
        <v>88</v>
      </c>
      <c r="F533" s="6">
        <v>1</v>
      </c>
      <c r="G533" s="7" t="s">
        <v>21</v>
      </c>
      <c r="H533" s="6">
        <v>20</v>
      </c>
      <c r="I533" s="7" t="s">
        <v>88</v>
      </c>
      <c r="J533" s="8">
        <f>1980000/20</f>
        <v>99000</v>
      </c>
      <c r="K533" s="4" t="s">
        <v>88</v>
      </c>
      <c r="M533" s="9">
        <v>0.17</v>
      </c>
      <c r="O533" s="7" t="s">
        <v>88</v>
      </c>
      <c r="P533" s="3">
        <f t="shared" si="167"/>
        <v>1</v>
      </c>
      <c r="Q533" s="7" t="s">
        <v>88</v>
      </c>
      <c r="R533" s="8">
        <f t="shared" si="168"/>
        <v>82170</v>
      </c>
      <c r="S533" s="32">
        <f t="shared" si="164"/>
        <v>74027.027027027027</v>
      </c>
    </row>
    <row r="534" spans="1:19" s="25" customFormat="1">
      <c r="A534" s="210" t="s">
        <v>482</v>
      </c>
      <c r="B534" s="35" t="s">
        <v>26</v>
      </c>
      <c r="C534" s="211">
        <v>94.5</v>
      </c>
      <c r="D534" s="212" t="s">
        <v>88</v>
      </c>
      <c r="E534" s="213"/>
      <c r="F534" s="214">
        <v>1</v>
      </c>
      <c r="G534" s="215" t="s">
        <v>21</v>
      </c>
      <c r="H534" s="214">
        <v>20</v>
      </c>
      <c r="I534" s="215" t="s">
        <v>88</v>
      </c>
      <c r="J534" s="216">
        <f>2064000/20</f>
        <v>103200</v>
      </c>
      <c r="K534" s="212" t="s">
        <v>88</v>
      </c>
      <c r="L534" s="217"/>
      <c r="M534" s="217">
        <v>0.17</v>
      </c>
      <c r="N534" s="211">
        <f>20+20</f>
        <v>40</v>
      </c>
      <c r="O534" s="215" t="s">
        <v>88</v>
      </c>
      <c r="P534" s="211">
        <f t="shared" ref="P534" si="172">(C534+(E534*F534*H534))-N534</f>
        <v>54.5</v>
      </c>
      <c r="Q534" s="215" t="s">
        <v>88</v>
      </c>
      <c r="R534" s="216">
        <f t="shared" ref="R534" si="173">P534*(J534-(J534*L534)-((J534-(J534*L534))*M534))</f>
        <v>4668252</v>
      </c>
      <c r="S534" s="42">
        <f t="shared" ref="S534" si="174">R534/1.11</f>
        <v>4205632.4324324317</v>
      </c>
    </row>
    <row r="535" spans="1:19" s="25" customFormat="1">
      <c r="A535" s="210" t="s">
        <v>482</v>
      </c>
      <c r="B535" s="35" t="s">
        <v>26</v>
      </c>
      <c r="C535" s="211"/>
      <c r="D535" s="212" t="s">
        <v>88</v>
      </c>
      <c r="E535" s="213">
        <f>1+1</f>
        <v>2</v>
      </c>
      <c r="F535" s="214">
        <v>1</v>
      </c>
      <c r="G535" s="215" t="s">
        <v>21</v>
      </c>
      <c r="H535" s="214">
        <v>20</v>
      </c>
      <c r="I535" s="215" t="s">
        <v>88</v>
      </c>
      <c r="J535" s="216">
        <f>2208000/20</f>
        <v>110400</v>
      </c>
      <c r="K535" s="212" t="s">
        <v>88</v>
      </c>
      <c r="L535" s="217"/>
      <c r="M535" s="217">
        <v>0.17</v>
      </c>
      <c r="N535" s="211"/>
      <c r="O535" s="215" t="s">
        <v>88</v>
      </c>
      <c r="P535" s="211">
        <f t="shared" si="167"/>
        <v>40</v>
      </c>
      <c r="Q535" s="215" t="s">
        <v>88</v>
      </c>
      <c r="R535" s="216">
        <f t="shared" si="168"/>
        <v>3665280</v>
      </c>
      <c r="S535" s="42">
        <f t="shared" si="164"/>
        <v>3302054.054054054</v>
      </c>
    </row>
    <row r="536" spans="1:19" s="25" customFormat="1">
      <c r="A536" s="218" t="s">
        <v>483</v>
      </c>
      <c r="B536" s="179" t="s">
        <v>26</v>
      </c>
      <c r="C536" s="219">
        <v>30.5</v>
      </c>
      <c r="D536" s="220" t="s">
        <v>88</v>
      </c>
      <c r="E536" s="221"/>
      <c r="F536" s="222">
        <v>1</v>
      </c>
      <c r="G536" s="223" t="s">
        <v>21</v>
      </c>
      <c r="H536" s="222">
        <v>20</v>
      </c>
      <c r="I536" s="223" t="s">
        <v>88</v>
      </c>
      <c r="J536" s="224">
        <f>2064000/20</f>
        <v>103200</v>
      </c>
      <c r="K536" s="220" t="s">
        <v>88</v>
      </c>
      <c r="L536" s="225"/>
      <c r="M536" s="225">
        <v>0.17</v>
      </c>
      <c r="N536" s="219">
        <v>20</v>
      </c>
      <c r="O536" s="223" t="s">
        <v>88</v>
      </c>
      <c r="P536" s="219">
        <f t="shared" si="167"/>
        <v>10.5</v>
      </c>
      <c r="Q536" s="223" t="s">
        <v>88</v>
      </c>
      <c r="R536" s="224">
        <f t="shared" si="168"/>
        <v>899388</v>
      </c>
      <c r="S536" s="186">
        <f t="shared" si="164"/>
        <v>810259.45945945941</v>
      </c>
    </row>
    <row r="537" spans="1:19" s="25" customFormat="1">
      <c r="A537" s="218" t="s">
        <v>483</v>
      </c>
      <c r="B537" s="179" t="s">
        <v>26</v>
      </c>
      <c r="C537" s="219"/>
      <c r="D537" s="220" t="s">
        <v>88</v>
      </c>
      <c r="E537" s="221">
        <v>1</v>
      </c>
      <c r="F537" s="222">
        <v>1</v>
      </c>
      <c r="G537" s="223" t="s">
        <v>21</v>
      </c>
      <c r="H537" s="222">
        <v>20</v>
      </c>
      <c r="I537" s="223" t="s">
        <v>88</v>
      </c>
      <c r="J537" s="224">
        <f>2208000/20</f>
        <v>110400</v>
      </c>
      <c r="K537" s="220" t="s">
        <v>88</v>
      </c>
      <c r="L537" s="225"/>
      <c r="M537" s="225">
        <v>0.17</v>
      </c>
      <c r="N537" s="219"/>
      <c r="O537" s="223" t="s">
        <v>88</v>
      </c>
      <c r="P537" s="219">
        <f t="shared" ref="P537" si="175">(C537+(E537*F537*H537))-N537</f>
        <v>20</v>
      </c>
      <c r="Q537" s="223" t="s">
        <v>88</v>
      </c>
      <c r="R537" s="224">
        <f t="shared" ref="R537" si="176">P537*(J537-(J537*L537)-((J537-(J537*L537))*M537))</f>
        <v>1832640</v>
      </c>
      <c r="S537" s="186">
        <f t="shared" ref="S537" si="177">R537/1.11</f>
        <v>1651027.027027027</v>
      </c>
    </row>
    <row r="538" spans="1:19" s="25" customFormat="1">
      <c r="A538" s="94" t="s">
        <v>484</v>
      </c>
      <c r="B538" s="25" t="s">
        <v>26</v>
      </c>
      <c r="C538" s="122">
        <v>19</v>
      </c>
      <c r="D538" s="123" t="s">
        <v>88</v>
      </c>
      <c r="E538" s="124"/>
      <c r="F538" s="125">
        <v>1</v>
      </c>
      <c r="G538" s="126" t="s">
        <v>21</v>
      </c>
      <c r="H538" s="125">
        <v>20</v>
      </c>
      <c r="I538" s="126" t="s">
        <v>88</v>
      </c>
      <c r="J538" s="127">
        <f>2112000/20</f>
        <v>105600</v>
      </c>
      <c r="K538" s="123" t="s">
        <v>88</v>
      </c>
      <c r="L538" s="128"/>
      <c r="M538" s="128">
        <v>0.17</v>
      </c>
      <c r="N538" s="122"/>
      <c r="O538" s="126" t="s">
        <v>88</v>
      </c>
      <c r="P538" s="122">
        <f t="shared" si="167"/>
        <v>19</v>
      </c>
      <c r="Q538" s="126" t="s">
        <v>88</v>
      </c>
      <c r="R538" s="127">
        <f t="shared" si="168"/>
        <v>1665312</v>
      </c>
      <c r="S538" s="32">
        <f t="shared" si="164"/>
        <v>1500281.0810810809</v>
      </c>
    </row>
    <row r="539" spans="1:19" s="16" customFormat="1">
      <c r="A539" s="93" t="s">
        <v>485</v>
      </c>
      <c r="B539" s="16" t="s">
        <v>26</v>
      </c>
      <c r="C539" s="129"/>
      <c r="D539" s="130" t="s">
        <v>88</v>
      </c>
      <c r="E539" s="131"/>
      <c r="F539" s="132">
        <v>1</v>
      </c>
      <c r="G539" s="133" t="s">
        <v>21</v>
      </c>
      <c r="H539" s="132">
        <v>20</v>
      </c>
      <c r="I539" s="133" t="s">
        <v>88</v>
      </c>
      <c r="J539" s="134">
        <f>2160000/20</f>
        <v>108000</v>
      </c>
      <c r="K539" s="130" t="s">
        <v>88</v>
      </c>
      <c r="L539" s="135"/>
      <c r="M539" s="135">
        <v>0.17</v>
      </c>
      <c r="N539" s="129"/>
      <c r="O539" s="133" t="s">
        <v>88</v>
      </c>
      <c r="P539" s="129">
        <f t="shared" si="167"/>
        <v>0</v>
      </c>
      <c r="Q539" s="133" t="s">
        <v>88</v>
      </c>
      <c r="R539" s="134">
        <f t="shared" si="168"/>
        <v>0</v>
      </c>
      <c r="S539" s="23">
        <f t="shared" si="164"/>
        <v>0</v>
      </c>
    </row>
    <row r="540" spans="1:19" s="16" customFormat="1">
      <c r="A540" s="93" t="s">
        <v>486</v>
      </c>
      <c r="B540" s="16" t="s">
        <v>26</v>
      </c>
      <c r="C540" s="129"/>
      <c r="D540" s="130" t="s">
        <v>88</v>
      </c>
      <c r="E540" s="131"/>
      <c r="F540" s="132">
        <v>1</v>
      </c>
      <c r="G540" s="133" t="s">
        <v>21</v>
      </c>
      <c r="H540" s="132">
        <v>20</v>
      </c>
      <c r="I540" s="133" t="s">
        <v>88</v>
      </c>
      <c r="J540" s="134">
        <f>2160000/20</f>
        <v>108000</v>
      </c>
      <c r="K540" s="130" t="s">
        <v>88</v>
      </c>
      <c r="L540" s="135"/>
      <c r="M540" s="135">
        <v>0.17</v>
      </c>
      <c r="N540" s="129"/>
      <c r="O540" s="133" t="s">
        <v>88</v>
      </c>
      <c r="P540" s="129">
        <f t="shared" si="167"/>
        <v>0</v>
      </c>
      <c r="Q540" s="133" t="s">
        <v>88</v>
      </c>
      <c r="R540" s="134">
        <f t="shared" si="168"/>
        <v>0</v>
      </c>
      <c r="S540" s="23">
        <f t="shared" si="164"/>
        <v>0</v>
      </c>
    </row>
    <row r="541" spans="1:19" s="25" customFormat="1">
      <c r="A541" s="94" t="s">
        <v>487</v>
      </c>
      <c r="B541" s="25" t="s">
        <v>26</v>
      </c>
      <c r="C541" s="122">
        <v>1</v>
      </c>
      <c r="D541" s="123" t="s">
        <v>88</v>
      </c>
      <c r="E541" s="124"/>
      <c r="F541" s="125">
        <v>1</v>
      </c>
      <c r="G541" s="126" t="s">
        <v>21</v>
      </c>
      <c r="H541" s="125">
        <v>20</v>
      </c>
      <c r="I541" s="126" t="s">
        <v>88</v>
      </c>
      <c r="J541" s="127">
        <f>2112000/20</f>
        <v>105600</v>
      </c>
      <c r="K541" s="123" t="s">
        <v>88</v>
      </c>
      <c r="L541" s="128"/>
      <c r="M541" s="128">
        <v>0.17</v>
      </c>
      <c r="N541" s="122"/>
      <c r="O541" s="126" t="s">
        <v>88</v>
      </c>
      <c r="P541" s="122">
        <f t="shared" si="167"/>
        <v>1</v>
      </c>
      <c r="Q541" s="126" t="s">
        <v>88</v>
      </c>
      <c r="R541" s="127">
        <f t="shared" si="168"/>
        <v>87648</v>
      </c>
      <c r="S541" s="32">
        <f t="shared" si="164"/>
        <v>78962.16216216216</v>
      </c>
    </row>
    <row r="542" spans="1:19" s="16" customFormat="1">
      <c r="A542" s="93" t="s">
        <v>488</v>
      </c>
      <c r="B542" s="16" t="s">
        <v>26</v>
      </c>
      <c r="C542" s="129"/>
      <c r="D542" s="130" t="s">
        <v>88</v>
      </c>
      <c r="E542" s="131"/>
      <c r="F542" s="132">
        <v>1</v>
      </c>
      <c r="G542" s="133" t="s">
        <v>21</v>
      </c>
      <c r="H542" s="132">
        <v>20</v>
      </c>
      <c r="I542" s="133" t="s">
        <v>88</v>
      </c>
      <c r="J542" s="134">
        <f>2352000/20</f>
        <v>117600</v>
      </c>
      <c r="K542" s="130" t="s">
        <v>88</v>
      </c>
      <c r="L542" s="135"/>
      <c r="M542" s="135">
        <v>0.17</v>
      </c>
      <c r="N542" s="129"/>
      <c r="O542" s="133" t="s">
        <v>88</v>
      </c>
      <c r="P542" s="129">
        <f t="shared" si="167"/>
        <v>0</v>
      </c>
      <c r="Q542" s="133" t="s">
        <v>88</v>
      </c>
      <c r="R542" s="134">
        <f t="shared" si="168"/>
        <v>0</v>
      </c>
      <c r="S542" s="23">
        <f t="shared" si="164"/>
        <v>0</v>
      </c>
    </row>
    <row r="543" spans="1:19" s="25" customFormat="1">
      <c r="A543" s="94" t="s">
        <v>489</v>
      </c>
      <c r="B543" s="25" t="s">
        <v>192</v>
      </c>
      <c r="C543" s="122">
        <v>204</v>
      </c>
      <c r="D543" s="123" t="s">
        <v>88</v>
      </c>
      <c r="E543" s="124"/>
      <c r="F543" s="125">
        <v>1</v>
      </c>
      <c r="G543" s="126" t="s">
        <v>21</v>
      </c>
      <c r="H543" s="125">
        <v>30</v>
      </c>
      <c r="I543" s="126" t="s">
        <v>88</v>
      </c>
      <c r="J543" s="127">
        <v>155000</v>
      </c>
      <c r="K543" s="123" t="s">
        <v>88</v>
      </c>
      <c r="L543" s="128"/>
      <c r="M543" s="128"/>
      <c r="N543" s="122">
        <f>1+1+2</f>
        <v>4</v>
      </c>
      <c r="O543" s="126" t="s">
        <v>88</v>
      </c>
      <c r="P543" s="122">
        <f t="shared" si="167"/>
        <v>200</v>
      </c>
      <c r="Q543" s="126" t="s">
        <v>88</v>
      </c>
      <c r="R543" s="127">
        <f t="shared" si="168"/>
        <v>31000000</v>
      </c>
      <c r="S543" s="32">
        <f t="shared" si="164"/>
        <v>27927927.927927926</v>
      </c>
    </row>
    <row r="544" spans="1:19">
      <c r="A544" s="15" t="s">
        <v>490</v>
      </c>
      <c r="S544" s="23"/>
    </row>
    <row r="545" spans="1:19">
      <c r="A545" s="34" t="s">
        <v>491</v>
      </c>
      <c r="B545" s="2" t="s">
        <v>192</v>
      </c>
      <c r="C545" s="3">
        <v>181</v>
      </c>
      <c r="D545" s="4" t="s">
        <v>34</v>
      </c>
      <c r="F545" s="6">
        <v>1</v>
      </c>
      <c r="G545" s="7" t="s">
        <v>21</v>
      </c>
      <c r="H545" s="6">
        <v>40</v>
      </c>
      <c r="I545" s="7" t="s">
        <v>34</v>
      </c>
      <c r="J545" s="8">
        <v>33600</v>
      </c>
      <c r="K545" s="4" t="s">
        <v>34</v>
      </c>
      <c r="N545" s="3">
        <f>1+2+2+2+15</f>
        <v>22</v>
      </c>
      <c r="O545" s="7" t="s">
        <v>34</v>
      </c>
      <c r="P545" s="3">
        <f>(C545+(E545*F545*H545))-N545</f>
        <v>159</v>
      </c>
      <c r="Q545" s="7" t="s">
        <v>34</v>
      </c>
      <c r="R545" s="8">
        <f>P545*(J545-(J545*L545)-((J545-(J545*L545))*M545))</f>
        <v>5342400</v>
      </c>
      <c r="S545" s="32">
        <f t="shared" si="164"/>
        <v>4812972.9729729723</v>
      </c>
    </row>
    <row r="546" spans="1:19">
      <c r="A546" s="34" t="s">
        <v>492</v>
      </c>
      <c r="B546" s="2" t="s">
        <v>192</v>
      </c>
      <c r="C546" s="3">
        <v>271</v>
      </c>
      <c r="D546" s="4" t="s">
        <v>34</v>
      </c>
      <c r="F546" s="6">
        <v>1</v>
      </c>
      <c r="G546" s="7" t="s">
        <v>21</v>
      </c>
      <c r="H546" s="6">
        <v>40</v>
      </c>
      <c r="I546" s="7" t="s">
        <v>34</v>
      </c>
      <c r="J546" s="8">
        <v>33600</v>
      </c>
      <c r="K546" s="4" t="s">
        <v>34</v>
      </c>
      <c r="N546" s="3">
        <f>1+2+2+2+1+15</f>
        <v>23</v>
      </c>
      <c r="O546" s="7" t="s">
        <v>34</v>
      </c>
      <c r="P546" s="3">
        <f>(C546+(E546*F546*H546))-N546</f>
        <v>248</v>
      </c>
      <c r="Q546" s="7" t="s">
        <v>34</v>
      </c>
      <c r="R546" s="8">
        <f>P546*(J546-(J546*L546)-((J546-(J546*L546))*M546))</f>
        <v>8332800</v>
      </c>
      <c r="S546" s="32">
        <f t="shared" si="164"/>
        <v>7507027.0270270268</v>
      </c>
    </row>
    <row r="547" spans="1:19">
      <c r="A547" s="34" t="s">
        <v>493</v>
      </c>
      <c r="B547" s="2" t="s">
        <v>192</v>
      </c>
      <c r="C547" s="3">
        <v>426</v>
      </c>
      <c r="D547" s="4" t="s">
        <v>34</v>
      </c>
      <c r="F547" s="6">
        <v>1</v>
      </c>
      <c r="G547" s="7" t="s">
        <v>21</v>
      </c>
      <c r="H547" s="6">
        <v>40</v>
      </c>
      <c r="I547" s="7" t="s">
        <v>34</v>
      </c>
      <c r="J547" s="8">
        <v>33600</v>
      </c>
      <c r="K547" s="4" t="s">
        <v>34</v>
      </c>
      <c r="N547" s="3">
        <f>2+2+2+15</f>
        <v>21</v>
      </c>
      <c r="O547" s="7" t="s">
        <v>34</v>
      </c>
      <c r="P547" s="3">
        <f>(C547+(E547*F547*H547))-N547</f>
        <v>405</v>
      </c>
      <c r="Q547" s="7" t="s">
        <v>34</v>
      </c>
      <c r="R547" s="8">
        <f>P547*(J547-(J547*L547)-((J547-(J547*L547))*M547))</f>
        <v>13608000</v>
      </c>
      <c r="S547" s="32">
        <f t="shared" si="164"/>
        <v>12259459.459459458</v>
      </c>
    </row>
    <row r="548" spans="1:19" s="17" customFormat="1">
      <c r="A548" s="16" t="s">
        <v>494</v>
      </c>
      <c r="B548" s="17" t="s">
        <v>192</v>
      </c>
      <c r="C548" s="18">
        <f>14+7</f>
        <v>21</v>
      </c>
      <c r="D548" s="19" t="s">
        <v>34</v>
      </c>
      <c r="E548" s="20"/>
      <c r="F548" s="21">
        <v>1</v>
      </c>
      <c r="G548" s="22" t="s">
        <v>21</v>
      </c>
      <c r="H548" s="21">
        <v>40</v>
      </c>
      <c r="I548" s="22" t="s">
        <v>34</v>
      </c>
      <c r="J548" s="23">
        <v>33600</v>
      </c>
      <c r="K548" s="19" t="s">
        <v>34</v>
      </c>
      <c r="L548" s="24"/>
      <c r="M548" s="24"/>
      <c r="N548" s="18">
        <f>2+2+2+15</f>
        <v>21</v>
      </c>
      <c r="O548" s="22" t="s">
        <v>34</v>
      </c>
      <c r="P548" s="18">
        <f>(C548+(E548*F548*H548))-N548</f>
        <v>0</v>
      </c>
      <c r="Q548" s="22" t="s">
        <v>34</v>
      </c>
      <c r="R548" s="23">
        <f>P548*(J548-(J548*L548)-((J548-(J548*L548))*M548))</f>
        <v>0</v>
      </c>
      <c r="S548" s="23">
        <f t="shared" si="164"/>
        <v>0</v>
      </c>
    </row>
    <row r="549" spans="1:19">
      <c r="A549" s="34" t="s">
        <v>495</v>
      </c>
      <c r="B549" s="2" t="s">
        <v>192</v>
      </c>
      <c r="C549" s="3">
        <v>16</v>
      </c>
      <c r="D549" s="4" t="s">
        <v>34</v>
      </c>
      <c r="F549" s="6">
        <v>1</v>
      </c>
      <c r="G549" s="7" t="s">
        <v>21</v>
      </c>
      <c r="H549" s="6">
        <v>24</v>
      </c>
      <c r="I549" s="7" t="s">
        <v>34</v>
      </c>
      <c r="J549" s="8">
        <v>38400</v>
      </c>
      <c r="K549" s="4" t="s">
        <v>34</v>
      </c>
      <c r="N549" s="3">
        <f>2+5+2+3</f>
        <v>12</v>
      </c>
      <c r="O549" s="7" t="s">
        <v>34</v>
      </c>
      <c r="P549" s="3">
        <f>(C549+(E549*F549*H549))-N549</f>
        <v>4</v>
      </c>
      <c r="Q549" s="7" t="s">
        <v>34</v>
      </c>
      <c r="R549" s="8">
        <f>P549*(J549-(J549*L549)-((J549-(J549*L549))*M549))</f>
        <v>153600</v>
      </c>
      <c r="S549" s="32">
        <f t="shared" si="164"/>
        <v>138378.37837837837</v>
      </c>
    </row>
    <row r="550" spans="1:19">
      <c r="A550" s="15" t="s">
        <v>496</v>
      </c>
      <c r="S550" s="23"/>
    </row>
    <row r="551" spans="1:19" s="17" customFormat="1">
      <c r="A551" s="137" t="s">
        <v>497</v>
      </c>
      <c r="B551" s="17" t="s">
        <v>19</v>
      </c>
      <c r="C551" s="18"/>
      <c r="D551" s="19" t="s">
        <v>43</v>
      </c>
      <c r="E551" s="20"/>
      <c r="F551" s="21">
        <v>12</v>
      </c>
      <c r="G551" s="22" t="s">
        <v>88</v>
      </c>
      <c r="H551" s="21">
        <v>12</v>
      </c>
      <c r="I551" s="22" t="s">
        <v>43</v>
      </c>
      <c r="J551" s="23">
        <f>240000/12</f>
        <v>20000</v>
      </c>
      <c r="K551" s="19" t="s">
        <v>43</v>
      </c>
      <c r="L551" s="24">
        <v>0.125</v>
      </c>
      <c r="M551" s="24">
        <v>0.05</v>
      </c>
      <c r="N551" s="18"/>
      <c r="O551" s="22" t="s">
        <v>43</v>
      </c>
      <c r="P551" s="18">
        <f t="shared" ref="P551:P552" si="178">(C551+(E551*F551*H551))-N551</f>
        <v>0</v>
      </c>
      <c r="Q551" s="22" t="s">
        <v>43</v>
      </c>
      <c r="R551" s="23">
        <f t="shared" ref="R551:R552" si="179">P551*(J551-(J551*L551)-((J551-(J551*L551))*M551))</f>
        <v>0</v>
      </c>
      <c r="S551" s="23">
        <f t="shared" ref="S551:S552" si="180">R551/1.11</f>
        <v>0</v>
      </c>
    </row>
    <row r="552" spans="1:19" s="17" customFormat="1">
      <c r="A552" s="137" t="s">
        <v>498</v>
      </c>
      <c r="B552" s="17" t="s">
        <v>26</v>
      </c>
      <c r="C552" s="18"/>
      <c r="D552" s="19" t="s">
        <v>43</v>
      </c>
      <c r="E552" s="20"/>
      <c r="F552" s="21">
        <v>12</v>
      </c>
      <c r="G552" s="22" t="s">
        <v>34</v>
      </c>
      <c r="H552" s="21">
        <v>6</v>
      </c>
      <c r="I552" s="22" t="s">
        <v>43</v>
      </c>
      <c r="J552" s="23">
        <v>21000</v>
      </c>
      <c r="K552" s="19" t="s">
        <v>43</v>
      </c>
      <c r="L552" s="24"/>
      <c r="M552" s="24">
        <v>0.17</v>
      </c>
      <c r="N552" s="18"/>
      <c r="O552" s="22" t="s">
        <v>43</v>
      </c>
      <c r="P552" s="18">
        <f t="shared" si="178"/>
        <v>0</v>
      </c>
      <c r="Q552" s="22" t="s">
        <v>43</v>
      </c>
      <c r="R552" s="23">
        <f t="shared" si="179"/>
        <v>0</v>
      </c>
      <c r="S552" s="23">
        <f t="shared" si="180"/>
        <v>0</v>
      </c>
    </row>
    <row r="553" spans="1:19">
      <c r="A553" s="15" t="s">
        <v>499</v>
      </c>
      <c r="S553" s="23"/>
    </row>
    <row r="554" spans="1:19" s="17" customFormat="1">
      <c r="A554" s="137" t="s">
        <v>500</v>
      </c>
      <c r="B554" s="17" t="s">
        <v>19</v>
      </c>
      <c r="C554" s="18"/>
      <c r="D554" s="19" t="s">
        <v>43</v>
      </c>
      <c r="E554" s="20"/>
      <c r="F554" s="21">
        <v>1</v>
      </c>
      <c r="G554" s="22" t="s">
        <v>21</v>
      </c>
      <c r="H554" s="21">
        <v>144</v>
      </c>
      <c r="I554" s="22" t="s">
        <v>43</v>
      </c>
      <c r="J554" s="23">
        <v>45600</v>
      </c>
      <c r="K554" s="19" t="s">
        <v>43</v>
      </c>
      <c r="L554" s="24">
        <v>0.125</v>
      </c>
      <c r="M554" s="24">
        <v>0.05</v>
      </c>
      <c r="N554" s="18"/>
      <c r="O554" s="22" t="s">
        <v>43</v>
      </c>
      <c r="P554" s="18">
        <f t="shared" ref="P554:P566" si="181">(C554+(E554*F554*H554))-N554</f>
        <v>0</v>
      </c>
      <c r="Q554" s="22" t="s">
        <v>43</v>
      </c>
      <c r="R554" s="23">
        <f t="shared" ref="R554:R566" si="182">P554*(J554-(J554*L554)-((J554-(J554*L554))*M554))</f>
        <v>0</v>
      </c>
      <c r="S554" s="23">
        <f t="shared" si="164"/>
        <v>0</v>
      </c>
    </row>
    <row r="555" spans="1:19" s="26" customFormat="1">
      <c r="A555" s="138" t="s">
        <v>501</v>
      </c>
      <c r="B555" s="26" t="s">
        <v>19</v>
      </c>
      <c r="C555" s="27">
        <v>1</v>
      </c>
      <c r="D555" s="28" t="s">
        <v>43</v>
      </c>
      <c r="E555" s="29">
        <v>1</v>
      </c>
      <c r="F555" s="30">
        <v>1</v>
      </c>
      <c r="G555" s="31" t="s">
        <v>21</v>
      </c>
      <c r="H555" s="30">
        <v>120</v>
      </c>
      <c r="I555" s="31" t="s">
        <v>43</v>
      </c>
      <c r="J555" s="32">
        <v>29400</v>
      </c>
      <c r="K555" s="28" t="s">
        <v>43</v>
      </c>
      <c r="L555" s="33">
        <v>0.125</v>
      </c>
      <c r="M555" s="33">
        <v>0.05</v>
      </c>
      <c r="N555" s="27">
        <v>120</v>
      </c>
      <c r="O555" s="31" t="s">
        <v>43</v>
      </c>
      <c r="P555" s="27">
        <f t="shared" si="181"/>
        <v>1</v>
      </c>
      <c r="Q555" s="31" t="s">
        <v>43</v>
      </c>
      <c r="R555" s="32">
        <f t="shared" si="182"/>
        <v>24438.75</v>
      </c>
      <c r="S555" s="32">
        <f t="shared" si="164"/>
        <v>22016.89189189189</v>
      </c>
    </row>
    <row r="556" spans="1:19" s="17" customFormat="1">
      <c r="A556" s="137" t="s">
        <v>502</v>
      </c>
      <c r="B556" s="17" t="s">
        <v>19</v>
      </c>
      <c r="C556" s="18"/>
      <c r="D556" s="19" t="s">
        <v>43</v>
      </c>
      <c r="E556" s="20"/>
      <c r="F556" s="21">
        <v>1</v>
      </c>
      <c r="G556" s="22" t="s">
        <v>21</v>
      </c>
      <c r="H556" s="21">
        <v>144</v>
      </c>
      <c r="I556" s="22" t="s">
        <v>43</v>
      </c>
      <c r="J556" s="23">
        <v>22800</v>
      </c>
      <c r="K556" s="19" t="s">
        <v>43</v>
      </c>
      <c r="L556" s="24">
        <v>0.125</v>
      </c>
      <c r="M556" s="24">
        <v>0.05</v>
      </c>
      <c r="N556" s="18"/>
      <c r="O556" s="22" t="s">
        <v>43</v>
      </c>
      <c r="P556" s="18">
        <f t="shared" si="181"/>
        <v>0</v>
      </c>
      <c r="Q556" s="22" t="s">
        <v>43</v>
      </c>
      <c r="R556" s="23">
        <f t="shared" si="182"/>
        <v>0</v>
      </c>
      <c r="S556" s="23">
        <f t="shared" si="164"/>
        <v>0</v>
      </c>
    </row>
    <row r="557" spans="1:19" s="17" customFormat="1">
      <c r="A557" s="137" t="s">
        <v>503</v>
      </c>
      <c r="B557" s="17" t="s">
        <v>19</v>
      </c>
      <c r="C557" s="18"/>
      <c r="D557" s="19" t="s">
        <v>43</v>
      </c>
      <c r="E557" s="20"/>
      <c r="F557" s="21">
        <v>1</v>
      </c>
      <c r="G557" s="22" t="s">
        <v>21</v>
      </c>
      <c r="H557" s="21">
        <v>144</v>
      </c>
      <c r="I557" s="22" t="s">
        <v>43</v>
      </c>
      <c r="J557" s="23">
        <v>40800</v>
      </c>
      <c r="K557" s="19" t="s">
        <v>43</v>
      </c>
      <c r="L557" s="24">
        <v>0.125</v>
      </c>
      <c r="M557" s="24">
        <v>0.05</v>
      </c>
      <c r="N557" s="18"/>
      <c r="O557" s="22" t="s">
        <v>43</v>
      </c>
      <c r="P557" s="18">
        <f t="shared" si="181"/>
        <v>0</v>
      </c>
      <c r="Q557" s="22" t="s">
        <v>43</v>
      </c>
      <c r="R557" s="23">
        <f t="shared" si="182"/>
        <v>0</v>
      </c>
      <c r="S557" s="23">
        <f t="shared" si="164"/>
        <v>0</v>
      </c>
    </row>
    <row r="558" spans="1:19" s="17" customFormat="1">
      <c r="A558" s="137" t="s">
        <v>504</v>
      </c>
      <c r="B558" s="17" t="s">
        <v>19</v>
      </c>
      <c r="C558" s="18"/>
      <c r="D558" s="19" t="s">
        <v>43</v>
      </c>
      <c r="E558" s="20"/>
      <c r="F558" s="21">
        <v>1</v>
      </c>
      <c r="G558" s="22" t="s">
        <v>21</v>
      </c>
      <c r="H558" s="21">
        <v>144</v>
      </c>
      <c r="I558" s="22" t="s">
        <v>43</v>
      </c>
      <c r="J558" s="23">
        <v>36000</v>
      </c>
      <c r="K558" s="19" t="s">
        <v>43</v>
      </c>
      <c r="L558" s="24">
        <v>0.125</v>
      </c>
      <c r="M558" s="24">
        <v>0.05</v>
      </c>
      <c r="N558" s="18"/>
      <c r="O558" s="22" t="s">
        <v>43</v>
      </c>
      <c r="P558" s="18">
        <f t="shared" si="181"/>
        <v>0</v>
      </c>
      <c r="Q558" s="22" t="s">
        <v>43</v>
      </c>
      <c r="R558" s="23">
        <f t="shared" si="182"/>
        <v>0</v>
      </c>
      <c r="S558" s="23">
        <f t="shared" si="164"/>
        <v>0</v>
      </c>
    </row>
    <row r="559" spans="1:19" s="26" customFormat="1">
      <c r="A559" s="25" t="s">
        <v>505</v>
      </c>
      <c r="B559" s="26" t="s">
        <v>26</v>
      </c>
      <c r="C559" s="27">
        <v>74</v>
      </c>
      <c r="D559" s="28" t="s">
        <v>43</v>
      </c>
      <c r="E559" s="29">
        <v>1</v>
      </c>
      <c r="F559" s="30">
        <v>1</v>
      </c>
      <c r="G559" s="31" t="s">
        <v>21</v>
      </c>
      <c r="H559" s="30">
        <v>144</v>
      </c>
      <c r="I559" s="31" t="s">
        <v>43</v>
      </c>
      <c r="J559" s="32">
        <f>6739200/144</f>
        <v>46800</v>
      </c>
      <c r="K559" s="28" t="s">
        <v>43</v>
      </c>
      <c r="L559" s="33"/>
      <c r="M559" s="33">
        <v>0.17</v>
      </c>
      <c r="N559" s="27">
        <f>72+36+12</f>
        <v>120</v>
      </c>
      <c r="O559" s="31" t="s">
        <v>43</v>
      </c>
      <c r="P559" s="27">
        <f t="shared" si="181"/>
        <v>98</v>
      </c>
      <c r="Q559" s="31" t="s">
        <v>43</v>
      </c>
      <c r="R559" s="32">
        <f t="shared" si="182"/>
        <v>3806712</v>
      </c>
      <c r="S559" s="32">
        <f t="shared" si="164"/>
        <v>3429470.2702702698</v>
      </c>
    </row>
    <row r="560" spans="1:19" s="26" customFormat="1">
      <c r="A560" s="25" t="s">
        <v>506</v>
      </c>
      <c r="B560" s="26" t="s">
        <v>26</v>
      </c>
      <c r="C560" s="27"/>
      <c r="D560" s="28" t="s">
        <v>43</v>
      </c>
      <c r="E560" s="29">
        <v>1</v>
      </c>
      <c r="F560" s="30">
        <v>1</v>
      </c>
      <c r="G560" s="31" t="s">
        <v>21</v>
      </c>
      <c r="H560" s="30">
        <v>144</v>
      </c>
      <c r="I560" s="31" t="s">
        <v>43</v>
      </c>
      <c r="J560" s="32">
        <f>4492800/144</f>
        <v>31200</v>
      </c>
      <c r="K560" s="28" t="s">
        <v>43</v>
      </c>
      <c r="L560" s="33"/>
      <c r="M560" s="33">
        <v>0.17</v>
      </c>
      <c r="N560" s="27">
        <v>72</v>
      </c>
      <c r="O560" s="31" t="s">
        <v>43</v>
      </c>
      <c r="P560" s="27">
        <f t="shared" si="181"/>
        <v>72</v>
      </c>
      <c r="Q560" s="31" t="s">
        <v>43</v>
      </c>
      <c r="R560" s="32">
        <f t="shared" si="182"/>
        <v>1864512</v>
      </c>
      <c r="S560" s="32">
        <f t="shared" si="164"/>
        <v>1679740.5405405404</v>
      </c>
    </row>
    <row r="561" spans="1:19" s="17" customFormat="1">
      <c r="A561" s="16" t="s">
        <v>507</v>
      </c>
      <c r="B561" s="17" t="s">
        <v>26</v>
      </c>
      <c r="C561" s="18"/>
      <c r="D561" s="19" t="s">
        <v>43</v>
      </c>
      <c r="E561" s="20"/>
      <c r="F561" s="21">
        <v>1</v>
      </c>
      <c r="G561" s="22" t="s">
        <v>21</v>
      </c>
      <c r="H561" s="21">
        <v>144</v>
      </c>
      <c r="I561" s="22" t="s">
        <v>43</v>
      </c>
      <c r="J561" s="23">
        <v>29400</v>
      </c>
      <c r="K561" s="19" t="s">
        <v>43</v>
      </c>
      <c r="L561" s="24"/>
      <c r="M561" s="24">
        <v>0.17</v>
      </c>
      <c r="N561" s="18"/>
      <c r="O561" s="22" t="s">
        <v>43</v>
      </c>
      <c r="P561" s="18">
        <f t="shared" si="181"/>
        <v>0</v>
      </c>
      <c r="Q561" s="22" t="s">
        <v>43</v>
      </c>
      <c r="R561" s="23">
        <f t="shared" si="182"/>
        <v>0</v>
      </c>
      <c r="S561" s="23">
        <f t="shared" si="164"/>
        <v>0</v>
      </c>
    </row>
    <row r="562" spans="1:19" s="26" customFormat="1">
      <c r="A562" s="25" t="s">
        <v>508</v>
      </c>
      <c r="B562" s="26" t="s">
        <v>26</v>
      </c>
      <c r="C562" s="27">
        <v>32</v>
      </c>
      <c r="D562" s="28" t="s">
        <v>43</v>
      </c>
      <c r="E562" s="29"/>
      <c r="F562" s="30">
        <v>1</v>
      </c>
      <c r="G562" s="31" t="s">
        <v>21</v>
      </c>
      <c r="H562" s="30">
        <v>144</v>
      </c>
      <c r="I562" s="31" t="s">
        <v>43</v>
      </c>
      <c r="J562" s="32">
        <f>2764800/144</f>
        <v>19200</v>
      </c>
      <c r="K562" s="28" t="s">
        <v>43</v>
      </c>
      <c r="L562" s="33"/>
      <c r="M562" s="33">
        <v>0.17</v>
      </c>
      <c r="N562" s="27">
        <v>6</v>
      </c>
      <c r="O562" s="31" t="s">
        <v>43</v>
      </c>
      <c r="P562" s="27">
        <f t="shared" si="181"/>
        <v>26</v>
      </c>
      <c r="Q562" s="31" t="s">
        <v>43</v>
      </c>
      <c r="R562" s="32">
        <f t="shared" si="182"/>
        <v>414336</v>
      </c>
      <c r="S562" s="32">
        <f t="shared" si="164"/>
        <v>373275.67567567562</v>
      </c>
    </row>
    <row r="563" spans="1:19" s="17" customFormat="1">
      <c r="A563" s="16" t="s">
        <v>509</v>
      </c>
      <c r="B563" s="17" t="s">
        <v>26</v>
      </c>
      <c r="C563" s="18"/>
      <c r="D563" s="19" t="s">
        <v>43</v>
      </c>
      <c r="E563" s="20"/>
      <c r="F563" s="21">
        <v>1</v>
      </c>
      <c r="G563" s="22" t="s">
        <v>21</v>
      </c>
      <c r="H563" s="21">
        <v>144</v>
      </c>
      <c r="I563" s="22" t="s">
        <v>43</v>
      </c>
      <c r="J563" s="23">
        <f>3369600/144</f>
        <v>23400</v>
      </c>
      <c r="K563" s="19" t="s">
        <v>43</v>
      </c>
      <c r="L563" s="24"/>
      <c r="M563" s="24">
        <v>0.17</v>
      </c>
      <c r="N563" s="18"/>
      <c r="O563" s="22" t="s">
        <v>43</v>
      </c>
      <c r="P563" s="18">
        <f t="shared" si="181"/>
        <v>0</v>
      </c>
      <c r="Q563" s="22" t="s">
        <v>43</v>
      </c>
      <c r="R563" s="23">
        <f t="shared" si="182"/>
        <v>0</v>
      </c>
      <c r="S563" s="23">
        <f t="shared" si="164"/>
        <v>0</v>
      </c>
    </row>
    <row r="564" spans="1:19" s="17" customFormat="1">
      <c r="A564" s="16" t="s">
        <v>510</v>
      </c>
      <c r="B564" s="17" t="s">
        <v>275</v>
      </c>
      <c r="C564" s="18"/>
      <c r="D564" s="19" t="s">
        <v>43</v>
      </c>
      <c r="E564" s="20"/>
      <c r="F564" s="21">
        <v>1</v>
      </c>
      <c r="G564" s="22" t="s">
        <v>21</v>
      </c>
      <c r="H564" s="21">
        <v>144</v>
      </c>
      <c r="I564" s="22" t="s">
        <v>43</v>
      </c>
      <c r="J564" s="23">
        <v>12500</v>
      </c>
      <c r="K564" s="19" t="s">
        <v>43</v>
      </c>
      <c r="L564" s="24"/>
      <c r="M564" s="24"/>
      <c r="N564" s="18"/>
      <c r="O564" s="22" t="s">
        <v>43</v>
      </c>
      <c r="P564" s="18">
        <f t="shared" si="181"/>
        <v>0</v>
      </c>
      <c r="Q564" s="22" t="s">
        <v>43</v>
      </c>
      <c r="R564" s="23">
        <f t="shared" si="182"/>
        <v>0</v>
      </c>
      <c r="S564" s="23">
        <f>R564/1.11</f>
        <v>0</v>
      </c>
    </row>
    <row r="565" spans="1:19" s="17" customFormat="1">
      <c r="A565" s="16" t="s">
        <v>511</v>
      </c>
      <c r="B565" s="17" t="s">
        <v>275</v>
      </c>
      <c r="C565" s="18"/>
      <c r="D565" s="19" t="s">
        <v>43</v>
      </c>
      <c r="E565" s="20"/>
      <c r="F565" s="21">
        <v>1</v>
      </c>
      <c r="G565" s="22" t="s">
        <v>21</v>
      </c>
      <c r="H565" s="21">
        <v>144</v>
      </c>
      <c r="I565" s="22" t="s">
        <v>43</v>
      </c>
      <c r="J565" s="23">
        <v>12500</v>
      </c>
      <c r="K565" s="19" t="s">
        <v>43</v>
      </c>
      <c r="L565" s="24"/>
      <c r="M565" s="24"/>
      <c r="N565" s="18"/>
      <c r="O565" s="22" t="s">
        <v>43</v>
      </c>
      <c r="P565" s="18">
        <f t="shared" si="181"/>
        <v>0</v>
      </c>
      <c r="Q565" s="22" t="s">
        <v>43</v>
      </c>
      <c r="R565" s="23">
        <f t="shared" si="182"/>
        <v>0</v>
      </c>
      <c r="S565" s="23">
        <f>R565/1.11</f>
        <v>0</v>
      </c>
    </row>
    <row r="566" spans="1:19" s="26" customFormat="1">
      <c r="A566" s="25" t="s">
        <v>512</v>
      </c>
      <c r="B566" s="26" t="s">
        <v>275</v>
      </c>
      <c r="C566" s="27">
        <v>96</v>
      </c>
      <c r="D566" s="28" t="s">
        <v>43</v>
      </c>
      <c r="E566" s="29"/>
      <c r="F566" s="30">
        <v>1</v>
      </c>
      <c r="G566" s="31" t="s">
        <v>21</v>
      </c>
      <c r="H566" s="30">
        <v>96</v>
      </c>
      <c r="I566" s="31" t="s">
        <v>43</v>
      </c>
      <c r="J566" s="32">
        <v>27500</v>
      </c>
      <c r="K566" s="28" t="s">
        <v>43</v>
      </c>
      <c r="L566" s="33"/>
      <c r="M566" s="33"/>
      <c r="N566" s="27"/>
      <c r="O566" s="31" t="s">
        <v>43</v>
      </c>
      <c r="P566" s="27">
        <f t="shared" si="181"/>
        <v>96</v>
      </c>
      <c r="Q566" s="31" t="s">
        <v>43</v>
      </c>
      <c r="R566" s="32">
        <f t="shared" si="182"/>
        <v>2640000</v>
      </c>
      <c r="S566" s="32">
        <f>R566/1.11</f>
        <v>2378378.3783783782</v>
      </c>
    </row>
    <row r="567" spans="1:19">
      <c r="A567" s="15" t="s">
        <v>741</v>
      </c>
      <c r="S567" s="23"/>
    </row>
    <row r="568" spans="1:19" s="17" customFormat="1">
      <c r="A568" s="137" t="s">
        <v>742</v>
      </c>
      <c r="B568" s="17" t="s">
        <v>19</v>
      </c>
      <c r="C568" s="18">
        <v>12</v>
      </c>
      <c r="D568" s="19" t="s">
        <v>88</v>
      </c>
      <c r="E568" s="20"/>
      <c r="F568" s="21">
        <v>1</v>
      </c>
      <c r="G568" s="22" t="s">
        <v>21</v>
      </c>
      <c r="H568" s="21">
        <v>12</v>
      </c>
      <c r="I568" s="22" t="s">
        <v>88</v>
      </c>
      <c r="J568" s="23">
        <v>165600</v>
      </c>
      <c r="K568" s="19" t="s">
        <v>88</v>
      </c>
      <c r="L568" s="24">
        <v>0.125</v>
      </c>
      <c r="M568" s="24">
        <v>0.05</v>
      </c>
      <c r="N568" s="18">
        <v>12</v>
      </c>
      <c r="O568" s="22" t="s">
        <v>88</v>
      </c>
      <c r="P568" s="18">
        <f t="shared" ref="P568:P575" si="183">(C568+(E568*F568*H568))-N568</f>
        <v>0</v>
      </c>
      <c r="Q568" s="22" t="s">
        <v>88</v>
      </c>
      <c r="R568" s="23">
        <f t="shared" ref="R568:R575" si="184">P568*(J568-(J568*L568)-((J568-(J568*L568))*M568))</f>
        <v>0</v>
      </c>
      <c r="S568" s="23">
        <f t="shared" si="164"/>
        <v>0</v>
      </c>
    </row>
    <row r="569" spans="1:19" s="17" customFormat="1">
      <c r="A569" s="137" t="s">
        <v>743</v>
      </c>
      <c r="B569" s="17" t="s">
        <v>19</v>
      </c>
      <c r="C569" s="18"/>
      <c r="D569" s="19" t="s">
        <v>88</v>
      </c>
      <c r="E569" s="20"/>
      <c r="F569" s="21">
        <v>12</v>
      </c>
      <c r="G569" s="22" t="s">
        <v>34</v>
      </c>
      <c r="H569" s="21">
        <v>1</v>
      </c>
      <c r="I569" s="22" t="s">
        <v>88</v>
      </c>
      <c r="J569" s="23">
        <v>183600</v>
      </c>
      <c r="K569" s="19" t="s">
        <v>88</v>
      </c>
      <c r="L569" s="24">
        <v>0.125</v>
      </c>
      <c r="M569" s="24">
        <v>0.05</v>
      </c>
      <c r="N569" s="18"/>
      <c r="O569" s="22" t="s">
        <v>88</v>
      </c>
      <c r="P569" s="18">
        <f t="shared" si="183"/>
        <v>0</v>
      </c>
      <c r="Q569" s="22" t="s">
        <v>88</v>
      </c>
      <c r="R569" s="23">
        <f t="shared" si="184"/>
        <v>0</v>
      </c>
      <c r="S569" s="23">
        <f t="shared" si="164"/>
        <v>0</v>
      </c>
    </row>
    <row r="570" spans="1:19" s="17" customFormat="1">
      <c r="A570" s="137" t="s">
        <v>744</v>
      </c>
      <c r="B570" s="17" t="s">
        <v>19</v>
      </c>
      <c r="C570" s="18"/>
      <c r="D570" s="19" t="s">
        <v>43</v>
      </c>
      <c r="E570" s="20"/>
      <c r="F570" s="21">
        <v>12</v>
      </c>
      <c r="G570" s="22" t="s">
        <v>88</v>
      </c>
      <c r="H570" s="21">
        <v>12</v>
      </c>
      <c r="I570" s="22" t="s">
        <v>43</v>
      </c>
      <c r="J570" s="23">
        <v>17100</v>
      </c>
      <c r="K570" s="19" t="s">
        <v>43</v>
      </c>
      <c r="L570" s="24">
        <v>0.125</v>
      </c>
      <c r="M570" s="24">
        <v>0.05</v>
      </c>
      <c r="N570" s="18"/>
      <c r="O570" s="22" t="s">
        <v>43</v>
      </c>
      <c r="P570" s="18">
        <f t="shared" si="183"/>
        <v>0</v>
      </c>
      <c r="Q570" s="22" t="s">
        <v>43</v>
      </c>
      <c r="R570" s="23">
        <f t="shared" si="184"/>
        <v>0</v>
      </c>
      <c r="S570" s="23">
        <f t="shared" si="164"/>
        <v>0</v>
      </c>
    </row>
    <row r="571" spans="1:19" s="17" customFormat="1">
      <c r="A571" s="137" t="s">
        <v>745</v>
      </c>
      <c r="B571" s="17" t="s">
        <v>19</v>
      </c>
      <c r="C571" s="18"/>
      <c r="D571" s="19" t="s">
        <v>43</v>
      </c>
      <c r="E571" s="20">
        <v>3</v>
      </c>
      <c r="F571" s="21">
        <v>12</v>
      </c>
      <c r="G571" s="22" t="s">
        <v>88</v>
      </c>
      <c r="H571" s="21">
        <v>6</v>
      </c>
      <c r="I571" s="22" t="s">
        <v>43</v>
      </c>
      <c r="J571" s="23">
        <v>34500</v>
      </c>
      <c r="K571" s="19" t="s">
        <v>43</v>
      </c>
      <c r="L571" s="24">
        <v>0.125</v>
      </c>
      <c r="M571" s="24">
        <v>0.05</v>
      </c>
      <c r="N571" s="18">
        <v>216</v>
      </c>
      <c r="O571" s="22" t="s">
        <v>43</v>
      </c>
      <c r="P571" s="18">
        <f t="shared" si="183"/>
        <v>0</v>
      </c>
      <c r="Q571" s="22" t="s">
        <v>43</v>
      </c>
      <c r="R571" s="23">
        <f t="shared" si="184"/>
        <v>0</v>
      </c>
      <c r="S571" s="23">
        <f t="shared" si="164"/>
        <v>0</v>
      </c>
    </row>
    <row r="572" spans="1:19" s="17" customFormat="1">
      <c r="A572" s="137" t="s">
        <v>746</v>
      </c>
      <c r="B572" s="17" t="s">
        <v>19</v>
      </c>
      <c r="C572" s="18"/>
      <c r="D572" s="19" t="s">
        <v>88</v>
      </c>
      <c r="E572" s="20"/>
      <c r="F572" s="21">
        <v>1</v>
      </c>
      <c r="G572" s="22" t="s">
        <v>21</v>
      </c>
      <c r="H572" s="21">
        <v>12</v>
      </c>
      <c r="I572" s="22" t="s">
        <v>88</v>
      </c>
      <c r="J572" s="23">
        <v>183600</v>
      </c>
      <c r="K572" s="19" t="s">
        <v>88</v>
      </c>
      <c r="L572" s="24">
        <v>0.125</v>
      </c>
      <c r="M572" s="24">
        <v>0.05</v>
      </c>
      <c r="N572" s="18"/>
      <c r="O572" s="22" t="s">
        <v>88</v>
      </c>
      <c r="P572" s="18">
        <f t="shared" si="183"/>
        <v>0</v>
      </c>
      <c r="Q572" s="22" t="s">
        <v>88</v>
      </c>
      <c r="R572" s="23">
        <f t="shared" si="184"/>
        <v>0</v>
      </c>
      <c r="S572" s="23">
        <f t="shared" si="164"/>
        <v>0</v>
      </c>
    </row>
    <row r="573" spans="1:19" s="26" customFormat="1">
      <c r="A573" s="138" t="s">
        <v>747</v>
      </c>
      <c r="B573" s="26" t="s">
        <v>26</v>
      </c>
      <c r="C573" s="27"/>
      <c r="D573" s="28" t="s">
        <v>88</v>
      </c>
      <c r="E573" s="29">
        <f>2+2</f>
        <v>4</v>
      </c>
      <c r="F573" s="30">
        <v>1</v>
      </c>
      <c r="G573" s="31" t="s">
        <v>21</v>
      </c>
      <c r="H573" s="30">
        <v>18</v>
      </c>
      <c r="I573" s="31" t="s">
        <v>88</v>
      </c>
      <c r="J573" s="32">
        <f>3240000/18</f>
        <v>180000</v>
      </c>
      <c r="K573" s="28" t="s">
        <v>88</v>
      </c>
      <c r="L573" s="33"/>
      <c r="M573" s="33">
        <v>0.17</v>
      </c>
      <c r="N573" s="27">
        <f>18+5+6+18+3+1+18</f>
        <v>69</v>
      </c>
      <c r="O573" s="31" t="s">
        <v>88</v>
      </c>
      <c r="P573" s="27">
        <f t="shared" si="183"/>
        <v>3</v>
      </c>
      <c r="Q573" s="31" t="s">
        <v>88</v>
      </c>
      <c r="R573" s="32">
        <f t="shared" si="184"/>
        <v>448200</v>
      </c>
      <c r="S573" s="32">
        <f t="shared" si="164"/>
        <v>403783.78378378373</v>
      </c>
    </row>
    <row r="574" spans="1:19" s="17" customFormat="1">
      <c r="A574" s="16" t="s">
        <v>748</v>
      </c>
      <c r="B574" s="17" t="s">
        <v>26</v>
      </c>
      <c r="C574" s="18">
        <v>54</v>
      </c>
      <c r="D574" s="19" t="s">
        <v>43</v>
      </c>
      <c r="E574" s="20"/>
      <c r="F574" s="21">
        <v>12</v>
      </c>
      <c r="G574" s="22" t="s">
        <v>88</v>
      </c>
      <c r="H574" s="21">
        <v>12</v>
      </c>
      <c r="I574" s="22" t="s">
        <v>43</v>
      </c>
      <c r="J574" s="23">
        <v>14400</v>
      </c>
      <c r="K574" s="19" t="s">
        <v>43</v>
      </c>
      <c r="L574" s="24"/>
      <c r="M574" s="24">
        <v>0.17</v>
      </c>
      <c r="N574" s="18">
        <f>(72/12)+12+36</f>
        <v>54</v>
      </c>
      <c r="O574" s="22" t="s">
        <v>43</v>
      </c>
      <c r="P574" s="18">
        <f t="shared" si="183"/>
        <v>0</v>
      </c>
      <c r="Q574" s="22" t="s">
        <v>43</v>
      </c>
      <c r="R574" s="23">
        <f t="shared" si="184"/>
        <v>0</v>
      </c>
      <c r="S574" s="23">
        <f t="shared" si="164"/>
        <v>0</v>
      </c>
    </row>
    <row r="575" spans="1:19" s="17" customFormat="1">
      <c r="A575" s="16" t="s">
        <v>749</v>
      </c>
      <c r="B575" s="17" t="s">
        <v>26</v>
      </c>
      <c r="C575" s="18"/>
      <c r="D575" s="19" t="s">
        <v>43</v>
      </c>
      <c r="E575" s="20"/>
      <c r="F575" s="21">
        <v>12</v>
      </c>
      <c r="G575" s="22" t="s">
        <v>88</v>
      </c>
      <c r="H575" s="21">
        <v>12</v>
      </c>
      <c r="I575" s="22" t="s">
        <v>43</v>
      </c>
      <c r="J575" s="23">
        <v>16800</v>
      </c>
      <c r="K575" s="19" t="s">
        <v>43</v>
      </c>
      <c r="L575" s="24"/>
      <c r="M575" s="24">
        <v>0.17</v>
      </c>
      <c r="N575" s="18"/>
      <c r="O575" s="22" t="s">
        <v>43</v>
      </c>
      <c r="P575" s="18">
        <f t="shared" si="183"/>
        <v>0</v>
      </c>
      <c r="Q575" s="22" t="s">
        <v>43</v>
      </c>
      <c r="R575" s="23">
        <f t="shared" si="184"/>
        <v>0</v>
      </c>
      <c r="S575" s="23">
        <f t="shared" si="164"/>
        <v>0</v>
      </c>
    </row>
    <row r="576" spans="1:19">
      <c r="A576" s="15" t="s">
        <v>522</v>
      </c>
      <c r="S576" s="23"/>
    </row>
    <row r="577" spans="1:19" s="63" customFormat="1">
      <c r="A577" s="95" t="s">
        <v>523</v>
      </c>
      <c r="B577" s="96" t="s">
        <v>19</v>
      </c>
      <c r="C577" s="97">
        <v>744</v>
      </c>
      <c r="D577" s="98" t="s">
        <v>162</v>
      </c>
      <c r="E577" s="105"/>
      <c r="F577" s="100">
        <v>12</v>
      </c>
      <c r="G577" s="101" t="s">
        <v>34</v>
      </c>
      <c r="H577" s="100">
        <v>24</v>
      </c>
      <c r="I577" s="101" t="s">
        <v>162</v>
      </c>
      <c r="J577" s="102">
        <v>6550</v>
      </c>
      <c r="K577" s="98" t="s">
        <v>162</v>
      </c>
      <c r="L577" s="103">
        <v>0.125</v>
      </c>
      <c r="M577" s="103">
        <v>0.05</v>
      </c>
      <c r="N577" s="97">
        <f>576+576-408</f>
        <v>744</v>
      </c>
      <c r="O577" s="101" t="s">
        <v>162</v>
      </c>
      <c r="P577" s="97">
        <f t="shared" ref="P577:P604" si="185">(C577+(E577*F577*H577))-N577</f>
        <v>0</v>
      </c>
      <c r="Q577" s="101" t="s">
        <v>162</v>
      </c>
      <c r="R577" s="102">
        <f t="shared" ref="R577:R604" si="186">P577*(J577-(J577*L577)-((J577-(J577*L577))*M577))</f>
        <v>0</v>
      </c>
      <c r="S577" s="102">
        <f t="shared" si="164"/>
        <v>0</v>
      </c>
    </row>
    <row r="578" spans="1:19" s="45" customFormat="1">
      <c r="A578" s="35" t="s">
        <v>523</v>
      </c>
      <c r="B578" s="36" t="s">
        <v>19</v>
      </c>
      <c r="C578" s="37"/>
      <c r="D578" s="38" t="s">
        <v>162</v>
      </c>
      <c r="E578" s="39">
        <f>2+3</f>
        <v>5</v>
      </c>
      <c r="F578" s="40">
        <v>12</v>
      </c>
      <c r="G578" s="41" t="s">
        <v>34</v>
      </c>
      <c r="H578" s="40">
        <v>24</v>
      </c>
      <c r="I578" s="41" t="s">
        <v>162</v>
      </c>
      <c r="J578" s="42">
        <v>6700</v>
      </c>
      <c r="K578" s="38" t="s">
        <v>162</v>
      </c>
      <c r="L578" s="43">
        <v>0.125</v>
      </c>
      <c r="M578" s="43">
        <v>0.05</v>
      </c>
      <c r="N578" s="37">
        <f>(576-168)+288+288+(2*12)</f>
        <v>1008</v>
      </c>
      <c r="O578" s="41" t="s">
        <v>162</v>
      </c>
      <c r="P578" s="37">
        <f t="shared" ref="P578" si="187">(C578+(E578*F578*H578))-N578</f>
        <v>432</v>
      </c>
      <c r="Q578" s="41" t="s">
        <v>162</v>
      </c>
      <c r="R578" s="42">
        <f t="shared" ref="R578" si="188">P578*(J578-(J578*L578)-((J578-(J578*L578))*M578))</f>
        <v>2405970</v>
      </c>
      <c r="S578" s="42">
        <f t="shared" ref="S578" si="189">R578/1.11</f>
        <v>2167540.5405405401</v>
      </c>
    </row>
    <row r="579" spans="1:19" s="63" customFormat="1">
      <c r="A579" s="72" t="s">
        <v>524</v>
      </c>
      <c r="B579" s="63" t="s">
        <v>19</v>
      </c>
      <c r="C579" s="64"/>
      <c r="D579" s="65" t="s">
        <v>162</v>
      </c>
      <c r="E579" s="66"/>
      <c r="F579" s="67">
        <v>12</v>
      </c>
      <c r="G579" s="68" t="s">
        <v>34</v>
      </c>
      <c r="H579" s="67">
        <v>12</v>
      </c>
      <c r="I579" s="68" t="s">
        <v>162</v>
      </c>
      <c r="J579" s="69">
        <v>11300</v>
      </c>
      <c r="K579" s="65" t="s">
        <v>162</v>
      </c>
      <c r="L579" s="70">
        <v>0.125</v>
      </c>
      <c r="M579" s="70">
        <v>0.05</v>
      </c>
      <c r="N579" s="64"/>
      <c r="O579" s="68" t="s">
        <v>162</v>
      </c>
      <c r="P579" s="64">
        <f t="shared" si="185"/>
        <v>0</v>
      </c>
      <c r="Q579" s="68" t="s">
        <v>162</v>
      </c>
      <c r="R579" s="69">
        <f t="shared" si="186"/>
        <v>0</v>
      </c>
      <c r="S579" s="23">
        <f t="shared" si="164"/>
        <v>0</v>
      </c>
    </row>
    <row r="580" spans="1:19" s="63" customFormat="1">
      <c r="A580" s="95" t="s">
        <v>525</v>
      </c>
      <c r="B580" s="96" t="s">
        <v>19</v>
      </c>
      <c r="C580" s="97">
        <v>408</v>
      </c>
      <c r="D580" s="98" t="s">
        <v>162</v>
      </c>
      <c r="E580" s="105"/>
      <c r="F580" s="100">
        <v>12</v>
      </c>
      <c r="G580" s="101" t="s">
        <v>34</v>
      </c>
      <c r="H580" s="100">
        <v>12</v>
      </c>
      <c r="I580" s="101" t="s">
        <v>162</v>
      </c>
      <c r="J580" s="102">
        <v>10350</v>
      </c>
      <c r="K580" s="98" t="s">
        <v>162</v>
      </c>
      <c r="L580" s="103">
        <v>0.125</v>
      </c>
      <c r="M580" s="103">
        <v>0.05</v>
      </c>
      <c r="N580" s="97">
        <f>1440-1032</f>
        <v>408</v>
      </c>
      <c r="O580" s="101" t="s">
        <v>162</v>
      </c>
      <c r="P580" s="97">
        <f t="shared" si="185"/>
        <v>0</v>
      </c>
      <c r="Q580" s="101" t="s">
        <v>162</v>
      </c>
      <c r="R580" s="102">
        <f t="shared" si="186"/>
        <v>0</v>
      </c>
      <c r="S580" s="102">
        <f t="shared" si="164"/>
        <v>0</v>
      </c>
    </row>
    <row r="581" spans="1:19" s="45" customFormat="1">
      <c r="A581" s="35" t="s">
        <v>525</v>
      </c>
      <c r="B581" s="36" t="s">
        <v>19</v>
      </c>
      <c r="C581" s="37"/>
      <c r="D581" s="38" t="s">
        <v>162</v>
      </c>
      <c r="E581" s="39">
        <f>12+3+2+5+5</f>
        <v>27</v>
      </c>
      <c r="F581" s="40">
        <v>12</v>
      </c>
      <c r="G581" s="41" t="s">
        <v>34</v>
      </c>
      <c r="H581" s="40">
        <v>12</v>
      </c>
      <c r="I581" s="41" t="s">
        <v>162</v>
      </c>
      <c r="J581" s="42">
        <v>10600</v>
      </c>
      <c r="K581" s="38" t="s">
        <v>162</v>
      </c>
      <c r="L581" s="43">
        <v>0.125</v>
      </c>
      <c r="M581" s="43">
        <v>0.05</v>
      </c>
      <c r="N581" s="37">
        <f>(1440-408)+288+144+144+144+432+288+288</f>
        <v>2760</v>
      </c>
      <c r="O581" s="41" t="s">
        <v>162</v>
      </c>
      <c r="P581" s="37">
        <f t="shared" ref="P581" si="190">(C581+(E581*F581*H581))-N581</f>
        <v>1128</v>
      </c>
      <c r="Q581" s="41" t="s">
        <v>162</v>
      </c>
      <c r="R581" s="42">
        <f t="shared" ref="R581" si="191">P581*(J581-(J581*L581)-((J581-(J581*L581))*M581))</f>
        <v>9939090</v>
      </c>
      <c r="S581" s="42">
        <f t="shared" ref="S581" si="192">R581/1.11</f>
        <v>8954135.1351351347</v>
      </c>
    </row>
    <row r="582" spans="1:19" s="63" customFormat="1">
      <c r="A582" s="72" t="s">
        <v>526</v>
      </c>
      <c r="B582" s="63" t="s">
        <v>19</v>
      </c>
      <c r="C582" s="64"/>
      <c r="D582" s="65" t="s">
        <v>162</v>
      </c>
      <c r="E582" s="66">
        <f>5+3</f>
        <v>8</v>
      </c>
      <c r="F582" s="67">
        <v>12</v>
      </c>
      <c r="G582" s="68" t="s">
        <v>34</v>
      </c>
      <c r="H582" s="67">
        <v>6</v>
      </c>
      <c r="I582" s="68" t="s">
        <v>162</v>
      </c>
      <c r="J582" s="69">
        <v>21200</v>
      </c>
      <c r="K582" s="65" t="s">
        <v>162</v>
      </c>
      <c r="L582" s="70">
        <v>0.125</v>
      </c>
      <c r="M582" s="70">
        <v>0.05</v>
      </c>
      <c r="N582" s="64">
        <f>360+216</f>
        <v>576</v>
      </c>
      <c r="O582" s="68" t="s">
        <v>162</v>
      </c>
      <c r="P582" s="64">
        <f t="shared" si="185"/>
        <v>0</v>
      </c>
      <c r="Q582" s="68" t="s">
        <v>162</v>
      </c>
      <c r="R582" s="69">
        <f t="shared" si="186"/>
        <v>0</v>
      </c>
      <c r="S582" s="23">
        <f t="shared" si="164"/>
        <v>0</v>
      </c>
    </row>
    <row r="583" spans="1:19" s="45" customFormat="1">
      <c r="A583" s="44" t="s">
        <v>527</v>
      </c>
      <c r="B583" s="45" t="s">
        <v>19</v>
      </c>
      <c r="C583" s="46">
        <v>12</v>
      </c>
      <c r="D583" s="47" t="s">
        <v>162</v>
      </c>
      <c r="E583" s="48"/>
      <c r="F583" s="49">
        <v>8</v>
      </c>
      <c r="G583" s="50" t="s">
        <v>34</v>
      </c>
      <c r="H583" s="49">
        <v>6</v>
      </c>
      <c r="I583" s="50" t="s">
        <v>162</v>
      </c>
      <c r="J583" s="51">
        <v>34500</v>
      </c>
      <c r="K583" s="47" t="s">
        <v>162</v>
      </c>
      <c r="L583" s="52">
        <v>0.125</v>
      </c>
      <c r="M583" s="52">
        <v>0.05</v>
      </c>
      <c r="N583" s="46"/>
      <c r="O583" s="50" t="s">
        <v>162</v>
      </c>
      <c r="P583" s="46">
        <f t="shared" si="185"/>
        <v>12</v>
      </c>
      <c r="Q583" s="50" t="s">
        <v>162</v>
      </c>
      <c r="R583" s="51">
        <f t="shared" si="186"/>
        <v>344137.5</v>
      </c>
      <c r="S583" s="32">
        <f t="shared" si="164"/>
        <v>310033.78378378373</v>
      </c>
    </row>
    <row r="584" spans="1:19" s="26" customFormat="1">
      <c r="A584" s="25" t="s">
        <v>528</v>
      </c>
      <c r="B584" s="26" t="s">
        <v>19</v>
      </c>
      <c r="C584" s="27">
        <v>1296</v>
      </c>
      <c r="D584" s="28" t="s">
        <v>162</v>
      </c>
      <c r="E584" s="29"/>
      <c r="F584" s="30">
        <v>12</v>
      </c>
      <c r="G584" s="31" t="s">
        <v>34</v>
      </c>
      <c r="H584" s="30">
        <v>12</v>
      </c>
      <c r="I584" s="31" t="s">
        <v>162</v>
      </c>
      <c r="J584" s="32">
        <v>9500</v>
      </c>
      <c r="K584" s="28" t="s">
        <v>162</v>
      </c>
      <c r="L584" s="33">
        <v>0.125</v>
      </c>
      <c r="M584" s="33">
        <v>0.05</v>
      </c>
      <c r="N584" s="27">
        <f>576+288+144</f>
        <v>1008</v>
      </c>
      <c r="O584" s="31" t="s">
        <v>162</v>
      </c>
      <c r="P584" s="27">
        <f t="shared" si="185"/>
        <v>288</v>
      </c>
      <c r="Q584" s="31" t="s">
        <v>162</v>
      </c>
      <c r="R584" s="32">
        <f t="shared" si="186"/>
        <v>2274300</v>
      </c>
      <c r="S584" s="32">
        <f t="shared" si="164"/>
        <v>2048918.9189189188</v>
      </c>
    </row>
    <row r="585" spans="1:19" s="17" customFormat="1">
      <c r="A585" s="16" t="s">
        <v>529</v>
      </c>
      <c r="B585" s="17" t="s">
        <v>19</v>
      </c>
      <c r="C585" s="18"/>
      <c r="D585" s="19" t="s">
        <v>162</v>
      </c>
      <c r="E585" s="20"/>
      <c r="F585" s="21">
        <v>12</v>
      </c>
      <c r="G585" s="22" t="s">
        <v>34</v>
      </c>
      <c r="H585" s="21">
        <v>6</v>
      </c>
      <c r="I585" s="22" t="s">
        <v>162</v>
      </c>
      <c r="J585" s="23">
        <v>19000</v>
      </c>
      <c r="K585" s="19" t="s">
        <v>162</v>
      </c>
      <c r="L585" s="24">
        <v>0.125</v>
      </c>
      <c r="M585" s="24">
        <v>0.05</v>
      </c>
      <c r="N585" s="18"/>
      <c r="O585" s="22" t="s">
        <v>162</v>
      </c>
      <c r="P585" s="18">
        <f t="shared" si="185"/>
        <v>0</v>
      </c>
      <c r="Q585" s="22" t="s">
        <v>162</v>
      </c>
      <c r="R585" s="23">
        <f t="shared" si="186"/>
        <v>0</v>
      </c>
      <c r="S585" s="23">
        <f t="shared" ref="S585:S662" si="193">R585/1.11</f>
        <v>0</v>
      </c>
    </row>
    <row r="586" spans="1:19" s="17" customFormat="1">
      <c r="A586" s="16" t="s">
        <v>530</v>
      </c>
      <c r="B586" s="17" t="s">
        <v>19</v>
      </c>
      <c r="C586" s="18">
        <v>12</v>
      </c>
      <c r="D586" s="19" t="s">
        <v>162</v>
      </c>
      <c r="E586" s="20"/>
      <c r="F586" s="21">
        <v>12</v>
      </c>
      <c r="G586" s="22" t="s">
        <v>34</v>
      </c>
      <c r="H586" s="21">
        <v>24</v>
      </c>
      <c r="I586" s="22" t="s">
        <v>162</v>
      </c>
      <c r="J586" s="23">
        <v>5600</v>
      </c>
      <c r="K586" s="19" t="s">
        <v>162</v>
      </c>
      <c r="L586" s="24">
        <v>0.125</v>
      </c>
      <c r="M586" s="24">
        <v>0.05</v>
      </c>
      <c r="N586" s="18">
        <v>12</v>
      </c>
      <c r="O586" s="22" t="s">
        <v>162</v>
      </c>
      <c r="P586" s="18">
        <f t="shared" si="185"/>
        <v>0</v>
      </c>
      <c r="Q586" s="22" t="s">
        <v>162</v>
      </c>
      <c r="R586" s="23">
        <f t="shared" si="186"/>
        <v>0</v>
      </c>
      <c r="S586" s="23">
        <f t="shared" si="193"/>
        <v>0</v>
      </c>
    </row>
    <row r="587" spans="1:19" s="63" customFormat="1">
      <c r="A587" s="72" t="s">
        <v>531</v>
      </c>
      <c r="B587" s="63" t="s">
        <v>19</v>
      </c>
      <c r="C587" s="64"/>
      <c r="D587" s="65" t="s">
        <v>162</v>
      </c>
      <c r="E587" s="66"/>
      <c r="F587" s="67">
        <v>12</v>
      </c>
      <c r="G587" s="68" t="s">
        <v>34</v>
      </c>
      <c r="H587" s="67">
        <v>12</v>
      </c>
      <c r="I587" s="68" t="s">
        <v>162</v>
      </c>
      <c r="J587" s="69">
        <v>8400</v>
      </c>
      <c r="K587" s="65" t="s">
        <v>162</v>
      </c>
      <c r="L587" s="70">
        <v>0.125</v>
      </c>
      <c r="M587" s="70">
        <v>0.05</v>
      </c>
      <c r="N587" s="64"/>
      <c r="O587" s="68" t="s">
        <v>162</v>
      </c>
      <c r="P587" s="64">
        <f t="shared" si="185"/>
        <v>0</v>
      </c>
      <c r="Q587" s="68" t="s">
        <v>162</v>
      </c>
      <c r="R587" s="69">
        <f t="shared" si="186"/>
        <v>0</v>
      </c>
      <c r="S587" s="23">
        <f t="shared" si="193"/>
        <v>0</v>
      </c>
    </row>
    <row r="588" spans="1:19" s="63" customFormat="1">
      <c r="A588" s="72" t="s">
        <v>532</v>
      </c>
      <c r="B588" s="63" t="s">
        <v>19</v>
      </c>
      <c r="C588" s="64"/>
      <c r="D588" s="65" t="s">
        <v>162</v>
      </c>
      <c r="E588" s="66"/>
      <c r="F588" s="67">
        <v>12</v>
      </c>
      <c r="G588" s="68" t="s">
        <v>34</v>
      </c>
      <c r="H588" s="67">
        <v>6</v>
      </c>
      <c r="I588" s="68" t="s">
        <v>162</v>
      </c>
      <c r="J588" s="69">
        <v>16800</v>
      </c>
      <c r="K588" s="65" t="s">
        <v>162</v>
      </c>
      <c r="L588" s="70">
        <v>0.125</v>
      </c>
      <c r="M588" s="70">
        <v>0.05</v>
      </c>
      <c r="N588" s="64"/>
      <c r="O588" s="68" t="s">
        <v>162</v>
      </c>
      <c r="P588" s="64">
        <f t="shared" si="185"/>
        <v>0</v>
      </c>
      <c r="Q588" s="68" t="s">
        <v>162</v>
      </c>
      <c r="R588" s="69">
        <f t="shared" si="186"/>
        <v>0</v>
      </c>
      <c r="S588" s="23">
        <f t="shared" si="193"/>
        <v>0</v>
      </c>
    </row>
    <row r="589" spans="1:19" s="45" customFormat="1">
      <c r="A589" s="44" t="s">
        <v>533</v>
      </c>
      <c r="B589" s="45" t="s">
        <v>19</v>
      </c>
      <c r="C589" s="46">
        <v>144</v>
      </c>
      <c r="D589" s="47" t="s">
        <v>162</v>
      </c>
      <c r="E589" s="48"/>
      <c r="F589" s="49">
        <v>12</v>
      </c>
      <c r="G589" s="50" t="s">
        <v>34</v>
      </c>
      <c r="H589" s="49">
        <v>12</v>
      </c>
      <c r="I589" s="50" t="s">
        <v>162</v>
      </c>
      <c r="J589" s="51">
        <v>11000</v>
      </c>
      <c r="K589" s="47" t="s">
        <v>162</v>
      </c>
      <c r="L589" s="52">
        <v>0.125</v>
      </c>
      <c r="M589" s="52">
        <v>0.05</v>
      </c>
      <c r="N589" s="46"/>
      <c r="O589" s="50" t="s">
        <v>162</v>
      </c>
      <c r="P589" s="46">
        <f t="shared" si="185"/>
        <v>144</v>
      </c>
      <c r="Q589" s="50" t="s">
        <v>162</v>
      </c>
      <c r="R589" s="51">
        <f t="shared" si="186"/>
        <v>1316700</v>
      </c>
      <c r="S589" s="32">
        <f t="shared" si="193"/>
        <v>1186216.2162162161</v>
      </c>
    </row>
    <row r="590" spans="1:19" s="63" customFormat="1">
      <c r="A590" s="72" t="s">
        <v>534</v>
      </c>
      <c r="B590" s="63" t="s">
        <v>19</v>
      </c>
      <c r="C590" s="64"/>
      <c r="D590" s="65" t="s">
        <v>162</v>
      </c>
      <c r="E590" s="66"/>
      <c r="F590" s="67">
        <v>12</v>
      </c>
      <c r="G590" s="68" t="s">
        <v>34</v>
      </c>
      <c r="H590" s="67">
        <v>24</v>
      </c>
      <c r="I590" s="68" t="s">
        <v>162</v>
      </c>
      <c r="J590" s="69">
        <v>5400</v>
      </c>
      <c r="K590" s="65" t="s">
        <v>162</v>
      </c>
      <c r="L590" s="70">
        <v>0.125</v>
      </c>
      <c r="M590" s="70">
        <v>0.05</v>
      </c>
      <c r="N590" s="64"/>
      <c r="O590" s="68" t="s">
        <v>162</v>
      </c>
      <c r="P590" s="64">
        <f t="shared" si="185"/>
        <v>0</v>
      </c>
      <c r="Q590" s="68" t="s">
        <v>162</v>
      </c>
      <c r="R590" s="69">
        <f t="shared" si="186"/>
        <v>0</v>
      </c>
      <c r="S590" s="23">
        <f t="shared" si="193"/>
        <v>0</v>
      </c>
    </row>
    <row r="591" spans="1:19" s="63" customFormat="1">
      <c r="A591" s="72" t="s">
        <v>535</v>
      </c>
      <c r="B591" s="63" t="s">
        <v>19</v>
      </c>
      <c r="C591" s="64"/>
      <c r="D591" s="65" t="s">
        <v>162</v>
      </c>
      <c r="E591" s="66"/>
      <c r="F591" s="67">
        <v>12</v>
      </c>
      <c r="G591" s="68" t="s">
        <v>34</v>
      </c>
      <c r="H591" s="67">
        <v>12</v>
      </c>
      <c r="I591" s="68" t="s">
        <v>162</v>
      </c>
      <c r="J591" s="69">
        <v>16900</v>
      </c>
      <c r="K591" s="65" t="s">
        <v>162</v>
      </c>
      <c r="L591" s="70">
        <v>0.125</v>
      </c>
      <c r="M591" s="70">
        <v>0.05</v>
      </c>
      <c r="N591" s="64"/>
      <c r="O591" s="68" t="s">
        <v>162</v>
      </c>
      <c r="P591" s="64">
        <f t="shared" si="185"/>
        <v>0</v>
      </c>
      <c r="Q591" s="68" t="s">
        <v>162</v>
      </c>
      <c r="R591" s="69">
        <f t="shared" si="186"/>
        <v>0</v>
      </c>
      <c r="S591" s="23">
        <f t="shared" si="193"/>
        <v>0</v>
      </c>
    </row>
    <row r="592" spans="1:19" s="63" customFormat="1">
      <c r="A592" s="72" t="s">
        <v>536</v>
      </c>
      <c r="B592" s="63" t="s">
        <v>19</v>
      </c>
      <c r="C592" s="64"/>
      <c r="D592" s="65" t="s">
        <v>162</v>
      </c>
      <c r="E592" s="66"/>
      <c r="F592" s="67">
        <v>12</v>
      </c>
      <c r="G592" s="68" t="s">
        <v>34</v>
      </c>
      <c r="H592" s="67">
        <v>6</v>
      </c>
      <c r="I592" s="68" t="s">
        <v>162</v>
      </c>
      <c r="J592" s="69">
        <v>33800</v>
      </c>
      <c r="K592" s="65" t="s">
        <v>162</v>
      </c>
      <c r="L592" s="70">
        <v>0.125</v>
      </c>
      <c r="M592" s="70">
        <v>0.05</v>
      </c>
      <c r="N592" s="64"/>
      <c r="O592" s="68" t="s">
        <v>162</v>
      </c>
      <c r="P592" s="64">
        <f t="shared" si="185"/>
        <v>0</v>
      </c>
      <c r="Q592" s="68" t="s">
        <v>162</v>
      </c>
      <c r="R592" s="69">
        <f t="shared" si="186"/>
        <v>0</v>
      </c>
      <c r="S592" s="23">
        <f t="shared" si="193"/>
        <v>0</v>
      </c>
    </row>
    <row r="593" spans="1:19" s="45" customFormat="1">
      <c r="A593" s="44" t="s">
        <v>537</v>
      </c>
      <c r="B593" s="45" t="s">
        <v>26</v>
      </c>
      <c r="C593" s="46"/>
      <c r="D593" s="47" t="s">
        <v>43</v>
      </c>
      <c r="E593" s="48">
        <f>1+2+2</f>
        <v>5</v>
      </c>
      <c r="F593" s="49">
        <v>24</v>
      </c>
      <c r="G593" s="50" t="s">
        <v>34</v>
      </c>
      <c r="H593" s="49">
        <v>2</v>
      </c>
      <c r="I593" s="50" t="s">
        <v>43</v>
      </c>
      <c r="J593" s="51">
        <f>3801600/24/2</f>
        <v>79200</v>
      </c>
      <c r="K593" s="47" t="s">
        <v>43</v>
      </c>
      <c r="L593" s="52"/>
      <c r="M593" s="52">
        <v>0.17</v>
      </c>
      <c r="N593" s="46">
        <f>48+48+96</f>
        <v>192</v>
      </c>
      <c r="O593" s="50" t="s">
        <v>43</v>
      </c>
      <c r="P593" s="46">
        <f t="shared" si="185"/>
        <v>48</v>
      </c>
      <c r="Q593" s="50" t="s">
        <v>43</v>
      </c>
      <c r="R593" s="51">
        <f t="shared" si="186"/>
        <v>3155328</v>
      </c>
      <c r="S593" s="51">
        <f t="shared" si="193"/>
        <v>2842637.8378378376</v>
      </c>
    </row>
    <row r="594" spans="1:19" s="45" customFormat="1">
      <c r="A594" s="44" t="s">
        <v>538</v>
      </c>
      <c r="B594" s="45" t="s">
        <v>26</v>
      </c>
      <c r="C594" s="46">
        <v>86</v>
      </c>
      <c r="D594" s="47" t="s">
        <v>43</v>
      </c>
      <c r="E594" s="48">
        <f>1+5+1</f>
        <v>7</v>
      </c>
      <c r="F594" s="49">
        <v>1</v>
      </c>
      <c r="G594" s="50" t="s">
        <v>21</v>
      </c>
      <c r="H594" s="49">
        <v>24</v>
      </c>
      <c r="I594" s="50" t="s">
        <v>43</v>
      </c>
      <c r="J594" s="51">
        <f>2980800/24</f>
        <v>124200</v>
      </c>
      <c r="K594" s="47" t="s">
        <v>43</v>
      </c>
      <c r="L594" s="52"/>
      <c r="M594" s="52">
        <v>0.17</v>
      </c>
      <c r="N594" s="46">
        <f>24+24+24+(288/12)+1+72</f>
        <v>169</v>
      </c>
      <c r="O594" s="50" t="s">
        <v>43</v>
      </c>
      <c r="P594" s="46">
        <f t="shared" si="185"/>
        <v>85</v>
      </c>
      <c r="Q594" s="50" t="s">
        <v>43</v>
      </c>
      <c r="R594" s="51">
        <f t="shared" si="186"/>
        <v>8762310</v>
      </c>
      <c r="S594" s="51">
        <f t="shared" si="193"/>
        <v>7893972.9729729723</v>
      </c>
    </row>
    <row r="595" spans="1:19" s="17" customFormat="1">
      <c r="A595" s="16" t="s">
        <v>539</v>
      </c>
      <c r="B595" s="17" t="s">
        <v>26</v>
      </c>
      <c r="C595" s="18"/>
      <c r="D595" s="19" t="s">
        <v>43</v>
      </c>
      <c r="E595" s="20">
        <f>2+2</f>
        <v>4</v>
      </c>
      <c r="F595" s="21">
        <v>1</v>
      </c>
      <c r="G595" s="22" t="s">
        <v>21</v>
      </c>
      <c r="H595" s="21">
        <v>12</v>
      </c>
      <c r="I595" s="22" t="s">
        <v>43</v>
      </c>
      <c r="J595" s="23">
        <f>2980800/12</f>
        <v>248400</v>
      </c>
      <c r="K595" s="19" t="s">
        <v>43</v>
      </c>
      <c r="L595" s="24"/>
      <c r="M595" s="24">
        <v>0.17</v>
      </c>
      <c r="N595" s="18">
        <f>(144/12)+(144/12)+24</f>
        <v>48</v>
      </c>
      <c r="O595" s="22" t="s">
        <v>43</v>
      </c>
      <c r="P595" s="18">
        <f t="shared" si="185"/>
        <v>0</v>
      </c>
      <c r="Q595" s="22" t="s">
        <v>43</v>
      </c>
      <c r="R595" s="23">
        <f t="shared" si="186"/>
        <v>0</v>
      </c>
      <c r="S595" s="23">
        <f t="shared" si="193"/>
        <v>0</v>
      </c>
    </row>
    <row r="596" spans="1:19" s="26" customFormat="1">
      <c r="A596" s="25" t="s">
        <v>754</v>
      </c>
      <c r="B596" s="26" t="s">
        <v>26</v>
      </c>
      <c r="C596" s="27"/>
      <c r="D596" s="28" t="s">
        <v>162</v>
      </c>
      <c r="E596" s="29">
        <v>2</v>
      </c>
      <c r="F596" s="30">
        <v>20</v>
      </c>
      <c r="G596" s="31" t="s">
        <v>34</v>
      </c>
      <c r="H596" s="30">
        <v>4</v>
      </c>
      <c r="I596" s="31" t="s">
        <v>162</v>
      </c>
      <c r="J596" s="32">
        <f>2640000/20/4</f>
        <v>33000</v>
      </c>
      <c r="K596" s="28" t="s">
        <v>162</v>
      </c>
      <c r="L596" s="33"/>
      <c r="M596" s="33">
        <v>0.17</v>
      </c>
      <c r="N596" s="27"/>
      <c r="O596" s="31" t="s">
        <v>162</v>
      </c>
      <c r="P596" s="27">
        <f>(C596+(E596*F596*H596))-N596</f>
        <v>160</v>
      </c>
      <c r="Q596" s="31" t="s">
        <v>162</v>
      </c>
      <c r="R596" s="32">
        <f>P596*(J596-(J596*L596)-((J596-(J596*L596))*M596))</f>
        <v>4382400</v>
      </c>
      <c r="S596" s="32">
        <f>R596/1.11</f>
        <v>3948108.1081081079</v>
      </c>
    </row>
    <row r="597" spans="1:19" s="26" customFormat="1">
      <c r="A597" s="25" t="s">
        <v>540</v>
      </c>
      <c r="B597" s="26" t="s">
        <v>26</v>
      </c>
      <c r="C597" s="27">
        <v>88</v>
      </c>
      <c r="D597" s="28" t="s">
        <v>43</v>
      </c>
      <c r="E597" s="29">
        <f>1+2+5+1+10</f>
        <v>19</v>
      </c>
      <c r="F597" s="30">
        <v>1</v>
      </c>
      <c r="G597" s="31" t="s">
        <v>21</v>
      </c>
      <c r="H597" s="30">
        <v>24</v>
      </c>
      <c r="I597" s="31" t="s">
        <v>43</v>
      </c>
      <c r="J597" s="32">
        <f>2448000/24</f>
        <v>102000</v>
      </c>
      <c r="K597" s="28" t="s">
        <v>43</v>
      </c>
      <c r="L597" s="33"/>
      <c r="M597" s="33">
        <v>0.17</v>
      </c>
      <c r="N597" s="27">
        <f>24+72+48+24+24+24+120+48+48+24</f>
        <v>456</v>
      </c>
      <c r="O597" s="31" t="s">
        <v>43</v>
      </c>
      <c r="P597" s="27">
        <f t="shared" si="185"/>
        <v>88</v>
      </c>
      <c r="Q597" s="31" t="s">
        <v>43</v>
      </c>
      <c r="R597" s="32">
        <f t="shared" si="186"/>
        <v>7450080</v>
      </c>
      <c r="S597" s="32">
        <f t="shared" si="193"/>
        <v>6711783.7837837832</v>
      </c>
    </row>
    <row r="598" spans="1:19" s="17" customFormat="1">
      <c r="A598" s="16" t="s">
        <v>541</v>
      </c>
      <c r="B598" s="17" t="s">
        <v>26</v>
      </c>
      <c r="C598" s="18"/>
      <c r="D598" s="19" t="s">
        <v>43</v>
      </c>
      <c r="E598" s="20"/>
      <c r="F598" s="21">
        <v>1</v>
      </c>
      <c r="G598" s="22" t="s">
        <v>21</v>
      </c>
      <c r="H598" s="21">
        <v>16</v>
      </c>
      <c r="I598" s="22" t="s">
        <v>43</v>
      </c>
      <c r="J598" s="23">
        <f>1824000/16</f>
        <v>114000</v>
      </c>
      <c r="K598" s="19" t="s">
        <v>43</v>
      </c>
      <c r="L598" s="24"/>
      <c r="M598" s="24">
        <v>0.17</v>
      </c>
      <c r="N598" s="18"/>
      <c r="O598" s="22" t="s">
        <v>43</v>
      </c>
      <c r="P598" s="18">
        <f t="shared" si="185"/>
        <v>0</v>
      </c>
      <c r="Q598" s="22" t="s">
        <v>43</v>
      </c>
      <c r="R598" s="23">
        <f t="shared" si="186"/>
        <v>0</v>
      </c>
      <c r="S598" s="23">
        <f t="shared" si="193"/>
        <v>0</v>
      </c>
    </row>
    <row r="599" spans="1:19" s="26" customFormat="1">
      <c r="A599" s="25" t="s">
        <v>758</v>
      </c>
      <c r="B599" s="26" t="s">
        <v>26</v>
      </c>
      <c r="C599" s="27"/>
      <c r="D599" s="28" t="s">
        <v>162</v>
      </c>
      <c r="E599" s="29">
        <v>2</v>
      </c>
      <c r="F599" s="30">
        <v>24</v>
      </c>
      <c r="G599" s="31" t="s">
        <v>34</v>
      </c>
      <c r="H599" s="30">
        <v>6</v>
      </c>
      <c r="I599" s="31" t="s">
        <v>162</v>
      </c>
      <c r="J599" s="32">
        <f>2448000/24/6</f>
        <v>17000</v>
      </c>
      <c r="K599" s="28" t="s">
        <v>162</v>
      </c>
      <c r="L599" s="33"/>
      <c r="M599" s="33">
        <v>0.17</v>
      </c>
      <c r="N599" s="27"/>
      <c r="O599" s="31" t="s">
        <v>162</v>
      </c>
      <c r="P599" s="27">
        <f t="shared" ref="P599" si="194">(C599+(E599*F599*H599))-N599</f>
        <v>288</v>
      </c>
      <c r="Q599" s="31" t="s">
        <v>162</v>
      </c>
      <c r="R599" s="32">
        <f t="shared" ref="R599" si="195">P599*(J599-(J599*L599)-((J599-(J599*L599))*M599))</f>
        <v>4063680</v>
      </c>
      <c r="S599" s="32">
        <f t="shared" ref="S599" si="196">R599/1.11</f>
        <v>3660972.9729729728</v>
      </c>
    </row>
    <row r="600" spans="1:19" s="26" customFormat="1">
      <c r="A600" s="25" t="s">
        <v>542</v>
      </c>
      <c r="B600" s="26" t="s">
        <v>26</v>
      </c>
      <c r="C600" s="27">
        <v>84</v>
      </c>
      <c r="D600" s="28" t="s">
        <v>162</v>
      </c>
      <c r="E600" s="29"/>
      <c r="F600" s="30">
        <v>10</v>
      </c>
      <c r="G600" s="31" t="s">
        <v>43</v>
      </c>
      <c r="H600" s="30">
        <v>12</v>
      </c>
      <c r="I600" s="31" t="s">
        <v>162</v>
      </c>
      <c r="J600" s="32">
        <f>2040000/10/12</f>
        <v>17000</v>
      </c>
      <c r="K600" s="28" t="s">
        <v>162</v>
      </c>
      <c r="L600" s="33"/>
      <c r="M600" s="33">
        <v>0.17</v>
      </c>
      <c r="N600" s="27"/>
      <c r="O600" s="31" t="s">
        <v>162</v>
      </c>
      <c r="P600" s="27">
        <f t="shared" si="185"/>
        <v>84</v>
      </c>
      <c r="Q600" s="31" t="s">
        <v>162</v>
      </c>
      <c r="R600" s="32">
        <f t="shared" si="186"/>
        <v>1185240</v>
      </c>
      <c r="S600" s="32">
        <f t="shared" si="193"/>
        <v>1067783.7837837837</v>
      </c>
    </row>
    <row r="601" spans="1:19" s="26" customFormat="1">
      <c r="A601" s="25" t="s">
        <v>543</v>
      </c>
      <c r="B601" s="26" t="s">
        <v>26</v>
      </c>
      <c r="C601" s="27"/>
      <c r="D601" s="28" t="s">
        <v>162</v>
      </c>
      <c r="E601" s="29">
        <v>1</v>
      </c>
      <c r="F601" s="30">
        <v>10</v>
      </c>
      <c r="G601" s="31" t="s">
        <v>34</v>
      </c>
      <c r="H601" s="30">
        <v>6</v>
      </c>
      <c r="I601" s="31" t="s">
        <v>162</v>
      </c>
      <c r="J601" s="32">
        <f>2040000/10/6</f>
        <v>34000</v>
      </c>
      <c r="K601" s="28" t="s">
        <v>162</v>
      </c>
      <c r="L601" s="33"/>
      <c r="M601" s="33">
        <v>0.17</v>
      </c>
      <c r="N601" s="27">
        <f>(2*12)+(2*12)</f>
        <v>48</v>
      </c>
      <c r="O601" s="31" t="s">
        <v>162</v>
      </c>
      <c r="P601" s="27">
        <f t="shared" si="185"/>
        <v>12</v>
      </c>
      <c r="Q601" s="31" t="s">
        <v>162</v>
      </c>
      <c r="R601" s="32">
        <f t="shared" si="186"/>
        <v>338640</v>
      </c>
      <c r="S601" s="32">
        <f t="shared" si="193"/>
        <v>305081.08108108107</v>
      </c>
    </row>
    <row r="602" spans="1:19" s="63" customFormat="1">
      <c r="A602" s="72" t="s">
        <v>545</v>
      </c>
      <c r="B602" s="63" t="s">
        <v>26</v>
      </c>
      <c r="C602" s="64"/>
      <c r="D602" s="65" t="s">
        <v>162</v>
      </c>
      <c r="E602" s="66"/>
      <c r="F602" s="67">
        <v>24</v>
      </c>
      <c r="G602" s="68" t="s">
        <v>43</v>
      </c>
      <c r="H602" s="67">
        <v>12</v>
      </c>
      <c r="I602" s="68" t="s">
        <v>162</v>
      </c>
      <c r="J602" s="69">
        <f>3571200/24/12</f>
        <v>12400</v>
      </c>
      <c r="K602" s="65" t="s">
        <v>162</v>
      </c>
      <c r="L602" s="70"/>
      <c r="M602" s="70">
        <v>0.17</v>
      </c>
      <c r="N602" s="64"/>
      <c r="O602" s="68" t="s">
        <v>162</v>
      </c>
      <c r="P602" s="64">
        <f t="shared" si="185"/>
        <v>0</v>
      </c>
      <c r="Q602" s="68" t="s">
        <v>162</v>
      </c>
      <c r="R602" s="69">
        <f t="shared" si="186"/>
        <v>0</v>
      </c>
      <c r="S602" s="23">
        <f t="shared" si="193"/>
        <v>0</v>
      </c>
    </row>
    <row r="603" spans="1:19" s="63" customFormat="1">
      <c r="A603" s="72" t="s">
        <v>546</v>
      </c>
      <c r="B603" s="63" t="s">
        <v>26</v>
      </c>
      <c r="C603" s="64">
        <v>192</v>
      </c>
      <c r="D603" s="65" t="s">
        <v>162</v>
      </c>
      <c r="E603" s="66">
        <v>1</v>
      </c>
      <c r="F603" s="67">
        <v>16</v>
      </c>
      <c r="G603" s="68" t="s">
        <v>43</v>
      </c>
      <c r="H603" s="67">
        <v>12</v>
      </c>
      <c r="I603" s="68" t="s">
        <v>162</v>
      </c>
      <c r="J603" s="69">
        <f>3648000/16/12</f>
        <v>19000</v>
      </c>
      <c r="K603" s="65" t="s">
        <v>162</v>
      </c>
      <c r="L603" s="70"/>
      <c r="M603" s="70">
        <v>0.17</v>
      </c>
      <c r="N603" s="64">
        <f>(32*12)</f>
        <v>384</v>
      </c>
      <c r="O603" s="68" t="s">
        <v>162</v>
      </c>
      <c r="P603" s="64">
        <f t="shared" si="185"/>
        <v>0</v>
      </c>
      <c r="Q603" s="68" t="s">
        <v>162</v>
      </c>
      <c r="R603" s="69">
        <f t="shared" si="186"/>
        <v>0</v>
      </c>
      <c r="S603" s="23">
        <f t="shared" si="193"/>
        <v>0</v>
      </c>
    </row>
    <row r="604" spans="1:19" s="17" customFormat="1">
      <c r="A604" s="16" t="s">
        <v>547</v>
      </c>
      <c r="B604" s="17" t="s">
        <v>26</v>
      </c>
      <c r="C604" s="18"/>
      <c r="D604" s="19" t="s">
        <v>162</v>
      </c>
      <c r="E604" s="20"/>
      <c r="F604" s="21">
        <v>24</v>
      </c>
      <c r="G604" s="22" t="s">
        <v>34</v>
      </c>
      <c r="H604" s="21">
        <v>6</v>
      </c>
      <c r="I604" s="22" t="s">
        <v>162</v>
      </c>
      <c r="J604" s="23">
        <v>22000</v>
      </c>
      <c r="K604" s="19" t="s">
        <v>162</v>
      </c>
      <c r="L604" s="24"/>
      <c r="M604" s="24">
        <v>0.17</v>
      </c>
      <c r="N604" s="18"/>
      <c r="O604" s="22" t="s">
        <v>162</v>
      </c>
      <c r="P604" s="18">
        <f t="shared" si="185"/>
        <v>0</v>
      </c>
      <c r="Q604" s="22" t="s">
        <v>162</v>
      </c>
      <c r="R604" s="23">
        <f t="shared" si="186"/>
        <v>0</v>
      </c>
      <c r="S604" s="23">
        <f t="shared" si="193"/>
        <v>0</v>
      </c>
    </row>
    <row r="605" spans="1:19">
      <c r="S605" s="23"/>
    </row>
    <row r="606" spans="1:19" ht="15.75">
      <c r="A606" s="14" t="s">
        <v>548</v>
      </c>
      <c r="S606" s="23"/>
    </row>
    <row r="607" spans="1:19" s="26" customFormat="1">
      <c r="A607" s="25" t="s">
        <v>549</v>
      </c>
      <c r="B607" s="26" t="s">
        <v>19</v>
      </c>
      <c r="C607" s="27">
        <v>372</v>
      </c>
      <c r="D607" s="28" t="s">
        <v>20</v>
      </c>
      <c r="E607" s="29"/>
      <c r="F607" s="30">
        <v>12</v>
      </c>
      <c r="G607" s="31" t="s">
        <v>34</v>
      </c>
      <c r="H607" s="30">
        <v>24</v>
      </c>
      <c r="I607" s="31" t="s">
        <v>20</v>
      </c>
      <c r="J607" s="32">
        <v>3550</v>
      </c>
      <c r="K607" s="28" t="s">
        <v>20</v>
      </c>
      <c r="L607" s="33">
        <v>0.125</v>
      </c>
      <c r="M607" s="33">
        <v>0.05</v>
      </c>
      <c r="N607" s="27"/>
      <c r="O607" s="31" t="s">
        <v>20</v>
      </c>
      <c r="P607" s="27">
        <f t="shared" ref="P607:P608" si="197">(C607+(E607*F607*H607))-N607</f>
        <v>372</v>
      </c>
      <c r="Q607" s="31" t="s">
        <v>20</v>
      </c>
      <c r="R607" s="32">
        <f t="shared" ref="R607:R608" si="198">P607*(J607-(J607*L607)-((J607-(J607*L607))*M607))</f>
        <v>1097748.75</v>
      </c>
      <c r="S607" s="32">
        <f t="shared" si="193"/>
        <v>988962.83783783775</v>
      </c>
    </row>
    <row r="608" spans="1:19" s="26" customFormat="1">
      <c r="A608" s="25" t="s">
        <v>550</v>
      </c>
      <c r="B608" s="26" t="s">
        <v>19</v>
      </c>
      <c r="C608" s="27">
        <v>276</v>
      </c>
      <c r="D608" s="28" t="s">
        <v>20</v>
      </c>
      <c r="E608" s="29"/>
      <c r="F608" s="30">
        <v>1</v>
      </c>
      <c r="G608" s="31" t="s">
        <v>21</v>
      </c>
      <c r="H608" s="30">
        <v>288</v>
      </c>
      <c r="I608" s="31" t="s">
        <v>20</v>
      </c>
      <c r="J608" s="32">
        <v>3550</v>
      </c>
      <c r="K608" s="28" t="s">
        <v>20</v>
      </c>
      <c r="L608" s="33">
        <v>0.125</v>
      </c>
      <c r="M608" s="33">
        <v>0.05</v>
      </c>
      <c r="N608" s="27"/>
      <c r="O608" s="31" t="s">
        <v>20</v>
      </c>
      <c r="P608" s="27">
        <f t="shared" si="197"/>
        <v>276</v>
      </c>
      <c r="Q608" s="31" t="s">
        <v>20</v>
      </c>
      <c r="R608" s="32">
        <f t="shared" si="198"/>
        <v>814458.75</v>
      </c>
      <c r="S608" s="32">
        <f t="shared" si="193"/>
        <v>733746.62162162154</v>
      </c>
    </row>
    <row r="609" spans="1:19" s="45" customFormat="1">
      <c r="A609" s="44" t="s">
        <v>551</v>
      </c>
      <c r="B609" s="45" t="s">
        <v>19</v>
      </c>
      <c r="C609" s="46">
        <v>4248</v>
      </c>
      <c r="D609" s="47" t="s">
        <v>20</v>
      </c>
      <c r="E609" s="48">
        <v>1</v>
      </c>
      <c r="F609" s="49">
        <v>1</v>
      </c>
      <c r="G609" s="50" t="s">
        <v>21</v>
      </c>
      <c r="H609" s="49">
        <v>288</v>
      </c>
      <c r="I609" s="50" t="s">
        <v>20</v>
      </c>
      <c r="J609" s="51">
        <v>4800</v>
      </c>
      <c r="K609" s="47" t="s">
        <v>20</v>
      </c>
      <c r="L609" s="52">
        <v>0.125</v>
      </c>
      <c r="M609" s="52">
        <v>0.05</v>
      </c>
      <c r="N609" s="46">
        <f>2880+(24*12)+576</f>
        <v>3744</v>
      </c>
      <c r="O609" s="50" t="s">
        <v>20</v>
      </c>
      <c r="P609" s="46">
        <f>(C609+(E609*F609*H609))-N609</f>
        <v>792</v>
      </c>
      <c r="Q609" s="50" t="s">
        <v>20</v>
      </c>
      <c r="R609" s="51">
        <f>P609*(J609-(J609*L609)-((J609-(J609*L609))*M609))</f>
        <v>3160080</v>
      </c>
      <c r="S609" s="51">
        <f t="shared" si="193"/>
        <v>2846918.9189189188</v>
      </c>
    </row>
    <row r="610" spans="1:19" s="63" customFormat="1">
      <c r="A610" s="72" t="s">
        <v>552</v>
      </c>
      <c r="B610" s="63" t="s">
        <v>26</v>
      </c>
      <c r="C610" s="64">
        <v>72</v>
      </c>
      <c r="D610" s="65" t="s">
        <v>43</v>
      </c>
      <c r="E610" s="66">
        <v>2</v>
      </c>
      <c r="F610" s="67">
        <v>1</v>
      </c>
      <c r="G610" s="68" t="s">
        <v>21</v>
      </c>
      <c r="H610" s="67">
        <v>24</v>
      </c>
      <c r="I610" s="68" t="s">
        <v>43</v>
      </c>
      <c r="J610" s="69">
        <f>1440000/24</f>
        <v>60000</v>
      </c>
      <c r="K610" s="65" t="s">
        <v>43</v>
      </c>
      <c r="L610" s="70"/>
      <c r="M610" s="70">
        <v>0.17</v>
      </c>
      <c r="N610" s="64">
        <f>24+48+48</f>
        <v>120</v>
      </c>
      <c r="O610" s="68" t="s">
        <v>43</v>
      </c>
      <c r="P610" s="64">
        <f>(C610+(E610*F610*H610))-N610</f>
        <v>0</v>
      </c>
      <c r="Q610" s="68" t="s">
        <v>43</v>
      </c>
      <c r="R610" s="69">
        <f>P610*(J610-(J610*L610)-((J610-(J610*L610))*M610))</f>
        <v>0</v>
      </c>
      <c r="S610" s="23">
        <f t="shared" si="193"/>
        <v>0</v>
      </c>
    </row>
    <row r="611" spans="1:19" s="26" customFormat="1">
      <c r="A611" s="108" t="s">
        <v>553</v>
      </c>
      <c r="B611" s="26" t="s">
        <v>182</v>
      </c>
      <c r="C611" s="27">
        <v>1110</v>
      </c>
      <c r="D611" s="28" t="s">
        <v>20</v>
      </c>
      <c r="E611" s="29"/>
      <c r="F611" s="30">
        <v>1</v>
      </c>
      <c r="G611" s="31" t="s">
        <v>21</v>
      </c>
      <c r="H611" s="30">
        <v>120</v>
      </c>
      <c r="I611" s="31" t="s">
        <v>20</v>
      </c>
      <c r="J611" s="32">
        <v>11500</v>
      </c>
      <c r="K611" s="28" t="s">
        <v>20</v>
      </c>
      <c r="L611" s="33"/>
      <c r="M611" s="33"/>
      <c r="N611" s="27"/>
      <c r="O611" s="31" t="s">
        <v>20</v>
      </c>
      <c r="P611" s="27">
        <f t="shared" ref="P611:P612" si="199">(C611+(E611*F611*H611))-N611</f>
        <v>1110</v>
      </c>
      <c r="Q611" s="31" t="s">
        <v>20</v>
      </c>
      <c r="R611" s="32">
        <f t="shared" ref="R611:R612" si="200">P611*(J611-(J611*L611)-((J611-(J611*L611))*M611))</f>
        <v>12765000</v>
      </c>
      <c r="S611" s="32">
        <f t="shared" si="193"/>
        <v>11499999.999999998</v>
      </c>
    </row>
    <row r="612" spans="1:19" s="26" customFormat="1">
      <c r="A612" s="108" t="s">
        <v>554</v>
      </c>
      <c r="B612" s="26" t="s">
        <v>182</v>
      </c>
      <c r="C612" s="27">
        <v>1254</v>
      </c>
      <c r="D612" s="28" t="s">
        <v>20</v>
      </c>
      <c r="E612" s="29"/>
      <c r="F612" s="30">
        <v>1</v>
      </c>
      <c r="G612" s="31" t="s">
        <v>21</v>
      </c>
      <c r="H612" s="30">
        <v>96</v>
      </c>
      <c r="I612" s="31" t="s">
        <v>20</v>
      </c>
      <c r="J612" s="32">
        <v>21000</v>
      </c>
      <c r="K612" s="28" t="s">
        <v>20</v>
      </c>
      <c r="L612" s="33"/>
      <c r="M612" s="33"/>
      <c r="N612" s="27">
        <f>96+12+12+24+192+12+(8*12)+12+96+192+(1*12)+(1*12)</f>
        <v>768</v>
      </c>
      <c r="O612" s="31" t="s">
        <v>20</v>
      </c>
      <c r="P612" s="27">
        <f t="shared" si="199"/>
        <v>486</v>
      </c>
      <c r="Q612" s="31" t="s">
        <v>20</v>
      </c>
      <c r="R612" s="32">
        <f t="shared" si="200"/>
        <v>10206000</v>
      </c>
      <c r="S612" s="32">
        <f t="shared" si="193"/>
        <v>9194594.5945945941</v>
      </c>
    </row>
    <row r="613" spans="1:19" s="17" customFormat="1">
      <c r="A613" s="109" t="s">
        <v>765</v>
      </c>
      <c r="B613" s="17" t="s">
        <v>182</v>
      </c>
      <c r="C613" s="18">
        <v>96</v>
      </c>
      <c r="D613" s="19" t="s">
        <v>20</v>
      </c>
      <c r="E613" s="20">
        <v>20</v>
      </c>
      <c r="F613" s="21">
        <v>1</v>
      </c>
      <c r="G613" s="22" t="s">
        <v>21</v>
      </c>
      <c r="H613" s="21">
        <v>144</v>
      </c>
      <c r="I613" s="22" t="s">
        <v>20</v>
      </c>
      <c r="J613" s="23">
        <v>8750</v>
      </c>
      <c r="K613" s="19" t="s">
        <v>20</v>
      </c>
      <c r="L613" s="24"/>
      <c r="M613" s="24"/>
      <c r="N613" s="18">
        <f>(24*12)+(24*12)+(12*12)+(12*12)+(12*12)+(12*12)+(12*12)+(12*12)+(5*12)+(2*12)+(36*12)+(12*12)+(1*12)+((12+24)*12)+432</f>
        <v>2976</v>
      </c>
      <c r="O613" s="22" t="s">
        <v>20</v>
      </c>
      <c r="P613" s="18">
        <f t="shared" ref="P613:P615" si="201">(C613+(E613*F613*H613))-N613</f>
        <v>0</v>
      </c>
      <c r="Q613" s="22" t="s">
        <v>20</v>
      </c>
      <c r="R613" s="23">
        <f t="shared" ref="R613:R615" si="202">P613*(J613-(J613*L613)-((J613-(J613*L613))*M613))</f>
        <v>0</v>
      </c>
      <c r="S613" s="23">
        <f t="shared" ref="S613:S615" si="203">R613/1.11</f>
        <v>0</v>
      </c>
    </row>
    <row r="614" spans="1:19" s="26" customFormat="1">
      <c r="A614" s="108" t="s">
        <v>766</v>
      </c>
      <c r="B614" s="26" t="s">
        <v>182</v>
      </c>
      <c r="C614" s="27"/>
      <c r="D614" s="28" t="s">
        <v>20</v>
      </c>
      <c r="E614" s="29">
        <v>20</v>
      </c>
      <c r="F614" s="30">
        <v>1</v>
      </c>
      <c r="G614" s="31" t="s">
        <v>21</v>
      </c>
      <c r="H614" s="30">
        <v>144</v>
      </c>
      <c r="I614" s="31" t="s">
        <v>20</v>
      </c>
      <c r="J614" s="32">
        <v>8750</v>
      </c>
      <c r="K614" s="28" t="s">
        <v>20</v>
      </c>
      <c r="L614" s="33"/>
      <c r="M614" s="33"/>
      <c r="N614" s="27">
        <f>(24*12)+(24*12)+(24*12)+(12*12)+(12*12)+(12*12)+(12*12)+(12*12)+(12*12)+(1*12)+(36*12)+(1*12)+(12*12)+(1*12)+(5*12)+(2*12)+432</f>
        <v>2856</v>
      </c>
      <c r="O614" s="31" t="s">
        <v>20</v>
      </c>
      <c r="P614" s="27">
        <f t="shared" si="201"/>
        <v>24</v>
      </c>
      <c r="Q614" s="31" t="s">
        <v>20</v>
      </c>
      <c r="R614" s="32">
        <f t="shared" si="202"/>
        <v>210000</v>
      </c>
      <c r="S614" s="32">
        <f t="shared" si="203"/>
        <v>189189.18918918917</v>
      </c>
    </row>
    <row r="615" spans="1:19" s="26" customFormat="1">
      <c r="A615" s="108" t="s">
        <v>767</v>
      </c>
      <c r="B615" s="26" t="s">
        <v>182</v>
      </c>
      <c r="C615" s="27"/>
      <c r="D615" s="28" t="s">
        <v>20</v>
      </c>
      <c r="E615" s="29">
        <v>20</v>
      </c>
      <c r="F615" s="30">
        <v>1</v>
      </c>
      <c r="G615" s="31" t="s">
        <v>21</v>
      </c>
      <c r="H615" s="30">
        <v>160</v>
      </c>
      <c r="I615" s="31" t="s">
        <v>20</v>
      </c>
      <c r="J615" s="32">
        <v>8750</v>
      </c>
      <c r="K615" s="28" t="s">
        <v>20</v>
      </c>
      <c r="L615" s="33"/>
      <c r="M615" s="33"/>
      <c r="N615" s="27">
        <f>320+((26*12)+8)+((13*12)+4)+((13*12)+4)+160+((13*12)+4)+((13*12)+4)+((13*12)+4)+(5*12)+((26*12)+8)+(1*12)+(40*12)+(1*12)+((26*12)+8)+(1*12)+((13*12)+4)+(1*12)+(1*12)+160</f>
        <v>3160</v>
      </c>
      <c r="O615" s="31" t="s">
        <v>20</v>
      </c>
      <c r="P615" s="27">
        <f t="shared" si="201"/>
        <v>40</v>
      </c>
      <c r="Q615" s="31" t="s">
        <v>20</v>
      </c>
      <c r="R615" s="32">
        <f t="shared" si="202"/>
        <v>350000</v>
      </c>
      <c r="S615" s="32">
        <f t="shared" si="203"/>
        <v>315315.31531531527</v>
      </c>
    </row>
    <row r="616" spans="1:19" s="26" customFormat="1">
      <c r="A616" s="34" t="s">
        <v>761</v>
      </c>
      <c r="B616" s="26" t="s">
        <v>275</v>
      </c>
      <c r="C616" s="27"/>
      <c r="D616" s="28" t="s">
        <v>20</v>
      </c>
      <c r="E616" s="244">
        <v>5</v>
      </c>
      <c r="F616" s="30">
        <v>1</v>
      </c>
      <c r="G616" s="31" t="s">
        <v>21</v>
      </c>
      <c r="H616" s="245">
        <v>480</v>
      </c>
      <c r="I616" s="31" t="s">
        <v>20</v>
      </c>
      <c r="J616" s="32">
        <v>26000</v>
      </c>
      <c r="K616" s="28" t="s">
        <v>20</v>
      </c>
      <c r="L616" s="227">
        <v>0.2</v>
      </c>
      <c r="M616" s="33"/>
      <c r="N616" s="27"/>
      <c r="O616" s="31" t="s">
        <v>20</v>
      </c>
      <c r="P616" s="27">
        <f>(C616+(E616*F616*H616))-N616</f>
        <v>2400</v>
      </c>
      <c r="Q616" s="31" t="s">
        <v>20</v>
      </c>
      <c r="R616" s="32">
        <f>P616*(J616-(J616*L616)-((J616-(J616*L616))*M616))</f>
        <v>49920000</v>
      </c>
      <c r="S616" s="32">
        <f>R616/1.11</f>
        <v>44972972.972972967</v>
      </c>
    </row>
    <row r="617" spans="1:19" s="26" customFormat="1">
      <c r="A617" s="34" t="s">
        <v>763</v>
      </c>
      <c r="B617" s="26" t="s">
        <v>275</v>
      </c>
      <c r="C617" s="27"/>
      <c r="D617" s="28" t="s">
        <v>20</v>
      </c>
      <c r="E617" s="244">
        <v>5</v>
      </c>
      <c r="F617" s="30">
        <v>1</v>
      </c>
      <c r="G617" s="31" t="s">
        <v>21</v>
      </c>
      <c r="H617" s="245">
        <v>480</v>
      </c>
      <c r="I617" s="31" t="s">
        <v>20</v>
      </c>
      <c r="J617" s="32">
        <v>20800</v>
      </c>
      <c r="K617" s="28" t="s">
        <v>20</v>
      </c>
      <c r="L617" s="227">
        <v>0.3</v>
      </c>
      <c r="M617" s="33"/>
      <c r="N617" s="27"/>
      <c r="O617" s="31" t="s">
        <v>20</v>
      </c>
      <c r="P617" s="27">
        <f>(C617+(E617*F617*H617))-N617</f>
        <v>2400</v>
      </c>
      <c r="Q617" s="31" t="s">
        <v>20</v>
      </c>
      <c r="R617" s="32">
        <f>P617*(J617-(J617*L617)-((J617-(J617*L617))*M617))</f>
        <v>34944000</v>
      </c>
      <c r="S617" s="32">
        <f>R617/1.11</f>
        <v>31481081.081081077</v>
      </c>
    </row>
    <row r="618" spans="1:19" s="26" customFormat="1">
      <c r="A618" s="34" t="s">
        <v>759</v>
      </c>
      <c r="B618" s="26" t="s">
        <v>275</v>
      </c>
      <c r="C618" s="27"/>
      <c r="D618" s="28" t="s">
        <v>20</v>
      </c>
      <c r="E618" s="244">
        <v>5</v>
      </c>
      <c r="F618" s="30">
        <v>1</v>
      </c>
      <c r="G618" s="31" t="s">
        <v>21</v>
      </c>
      <c r="H618" s="245">
        <v>480</v>
      </c>
      <c r="I618" s="31" t="s">
        <v>20</v>
      </c>
      <c r="J618" s="32">
        <v>15000</v>
      </c>
      <c r="K618" s="28" t="s">
        <v>20</v>
      </c>
      <c r="L618" s="227">
        <v>0.2</v>
      </c>
      <c r="M618" s="33"/>
      <c r="N618" s="27"/>
      <c r="O618" s="31" t="s">
        <v>20</v>
      </c>
      <c r="P618" s="27">
        <f>(C618+(E618*F618*H618))-N618</f>
        <v>2400</v>
      </c>
      <c r="Q618" s="31" t="s">
        <v>20</v>
      </c>
      <c r="R618" s="32">
        <f>P618*(J618-(J618*L618)-((J618-(J618*L618))*M618))</f>
        <v>28800000</v>
      </c>
      <c r="S618" s="32">
        <f>R618/1.11</f>
        <v>25945945.945945945</v>
      </c>
    </row>
    <row r="619" spans="1:19" s="26" customFormat="1">
      <c r="A619" s="34" t="s">
        <v>762</v>
      </c>
      <c r="B619" s="26" t="s">
        <v>275</v>
      </c>
      <c r="C619" s="27"/>
      <c r="D619" s="28" t="s">
        <v>20</v>
      </c>
      <c r="E619" s="244">
        <v>5</v>
      </c>
      <c r="F619" s="30">
        <v>1</v>
      </c>
      <c r="G619" s="31" t="s">
        <v>21</v>
      </c>
      <c r="H619" s="245">
        <v>480</v>
      </c>
      <c r="I619" s="31" t="s">
        <v>20</v>
      </c>
      <c r="J619" s="32">
        <v>29900</v>
      </c>
      <c r="K619" s="28" t="s">
        <v>20</v>
      </c>
      <c r="L619" s="227">
        <v>0.25</v>
      </c>
      <c r="M619" s="33"/>
      <c r="N619" s="27"/>
      <c r="O619" s="31" t="s">
        <v>20</v>
      </c>
      <c r="P619" s="27">
        <f>(C619+(E619*F619*H619))-N619</f>
        <v>2400</v>
      </c>
      <c r="Q619" s="31" t="s">
        <v>20</v>
      </c>
      <c r="R619" s="32">
        <f>P619*(J619-(J619*L619)-((J619-(J619*L619))*M619))</f>
        <v>53820000</v>
      </c>
      <c r="S619" s="32">
        <f>R619/1.11</f>
        <v>48486486.48648648</v>
      </c>
    </row>
    <row r="620" spans="1:19" s="26" customFormat="1">
      <c r="A620" s="34" t="s">
        <v>760</v>
      </c>
      <c r="B620" s="26" t="s">
        <v>275</v>
      </c>
      <c r="C620" s="27"/>
      <c r="D620" s="28" t="s">
        <v>20</v>
      </c>
      <c r="E620" s="244">
        <v>4</v>
      </c>
      <c r="F620" s="30">
        <v>1</v>
      </c>
      <c r="G620" s="31" t="s">
        <v>21</v>
      </c>
      <c r="H620" s="245">
        <v>384</v>
      </c>
      <c r="I620" s="31" t="s">
        <v>20</v>
      </c>
      <c r="J620" s="32">
        <v>16000</v>
      </c>
      <c r="K620" s="28" t="s">
        <v>20</v>
      </c>
      <c r="L620" s="227">
        <v>0.25</v>
      </c>
      <c r="M620" s="33"/>
      <c r="N620" s="27"/>
      <c r="O620" s="31" t="s">
        <v>20</v>
      </c>
      <c r="P620" s="27">
        <f>(C620+(E620*F620*H620))-N620</f>
        <v>1536</v>
      </c>
      <c r="Q620" s="31" t="s">
        <v>20</v>
      </c>
      <c r="R620" s="32">
        <f>P620*(J620-(J620*L620)-((J620-(J620*L620))*M620))</f>
        <v>18432000</v>
      </c>
      <c r="S620" s="32">
        <f>R620/1.11</f>
        <v>16605405.405405404</v>
      </c>
    </row>
    <row r="621" spans="1:19">
      <c r="S621" s="23"/>
    </row>
    <row r="622" spans="1:19" ht="15.75">
      <c r="A622" s="14" t="s">
        <v>555</v>
      </c>
      <c r="S622" s="23"/>
    </row>
    <row r="623" spans="1:19">
      <c r="A623" s="15" t="s">
        <v>556</v>
      </c>
      <c r="S623" s="23"/>
    </row>
    <row r="624" spans="1:19" s="26" customFormat="1">
      <c r="A624" s="25" t="s">
        <v>557</v>
      </c>
      <c r="B624" s="26" t="s">
        <v>19</v>
      </c>
      <c r="C624" s="27"/>
      <c r="D624" s="28" t="s">
        <v>34</v>
      </c>
      <c r="E624" s="29">
        <v>1</v>
      </c>
      <c r="F624" s="30">
        <v>1</v>
      </c>
      <c r="G624" s="31" t="s">
        <v>21</v>
      </c>
      <c r="H624" s="30">
        <v>48</v>
      </c>
      <c r="I624" s="31" t="s">
        <v>34</v>
      </c>
      <c r="J624" s="32">
        <v>31200</v>
      </c>
      <c r="K624" s="28" t="s">
        <v>34</v>
      </c>
      <c r="L624" s="33">
        <v>0.125</v>
      </c>
      <c r="M624" s="33">
        <v>0.05</v>
      </c>
      <c r="N624" s="27"/>
      <c r="O624" s="31" t="s">
        <v>34</v>
      </c>
      <c r="P624" s="27">
        <f>(C624+(E624*F624*H624))-N624</f>
        <v>48</v>
      </c>
      <c r="Q624" s="31" t="s">
        <v>34</v>
      </c>
      <c r="R624" s="32">
        <f>P624*(J624-(J624*L624)-((J624-(J624*L624))*M624))</f>
        <v>1244880</v>
      </c>
      <c r="S624" s="32">
        <f t="shared" si="193"/>
        <v>1121513.5135135134</v>
      </c>
    </row>
    <row r="625" spans="1:19" s="26" customFormat="1">
      <c r="A625" s="94" t="s">
        <v>558</v>
      </c>
      <c r="B625" s="26" t="s">
        <v>26</v>
      </c>
      <c r="C625" s="27">
        <v>419</v>
      </c>
      <c r="D625" s="28" t="s">
        <v>43</v>
      </c>
      <c r="E625" s="29"/>
      <c r="F625" s="30">
        <v>1</v>
      </c>
      <c r="G625" s="31" t="s">
        <v>21</v>
      </c>
      <c r="H625" s="30">
        <v>48</v>
      </c>
      <c r="I625" s="31" t="s">
        <v>43</v>
      </c>
      <c r="J625" s="32">
        <f>1497600/48</f>
        <v>31200</v>
      </c>
      <c r="K625" s="28" t="s">
        <v>43</v>
      </c>
      <c r="L625" s="33"/>
      <c r="M625" s="33">
        <v>0.17</v>
      </c>
      <c r="N625" s="27">
        <f>1+48+48</f>
        <v>97</v>
      </c>
      <c r="O625" s="31" t="s">
        <v>43</v>
      </c>
      <c r="P625" s="27">
        <f>(C625+(E625*F625*H625))-N625</f>
        <v>322</v>
      </c>
      <c r="Q625" s="31" t="s">
        <v>43</v>
      </c>
      <c r="R625" s="32">
        <f>P625*(J625-(J625*L625)-((J625-(J625*L625))*M625))</f>
        <v>8338512</v>
      </c>
      <c r="S625" s="32">
        <f t="shared" si="193"/>
        <v>7512172.9729729723</v>
      </c>
    </row>
    <row r="626" spans="1:19">
      <c r="S626" s="23"/>
    </row>
    <row r="627" spans="1:19" ht="15.75">
      <c r="A627" s="14" t="s">
        <v>559</v>
      </c>
      <c r="S627" s="23"/>
    </row>
    <row r="628" spans="1:19" s="45" customFormat="1">
      <c r="A628" s="44" t="s">
        <v>734</v>
      </c>
      <c r="B628" s="45" t="s">
        <v>19</v>
      </c>
      <c r="C628" s="46">
        <v>120</v>
      </c>
      <c r="D628" s="47" t="s">
        <v>20</v>
      </c>
      <c r="E628" s="48"/>
      <c r="F628" s="49">
        <v>10</v>
      </c>
      <c r="G628" s="50" t="s">
        <v>34</v>
      </c>
      <c r="H628" s="49">
        <v>12</v>
      </c>
      <c r="I628" s="50" t="s">
        <v>20</v>
      </c>
      <c r="J628" s="51">
        <v>11200</v>
      </c>
      <c r="K628" s="47" t="s">
        <v>20</v>
      </c>
      <c r="L628" s="52">
        <v>0.125</v>
      </c>
      <c r="M628" s="52">
        <v>0.05</v>
      </c>
      <c r="N628" s="46">
        <f>(3*12)</f>
        <v>36</v>
      </c>
      <c r="O628" s="50" t="s">
        <v>20</v>
      </c>
      <c r="P628" s="46">
        <f t="shared" ref="P628:P644" si="204">(C628+(E628*F628*H628))-N628</f>
        <v>84</v>
      </c>
      <c r="Q628" s="50" t="s">
        <v>20</v>
      </c>
      <c r="R628" s="51">
        <f t="shared" ref="R628:R644" si="205">P628*(J628-(J628*L628)-((J628-(J628*L628))*M628))</f>
        <v>782040</v>
      </c>
      <c r="S628" s="51">
        <f t="shared" ref="S628:S629" si="206">R628/1.11</f>
        <v>704540.54054054047</v>
      </c>
    </row>
    <row r="629" spans="1:19" s="45" customFormat="1">
      <c r="A629" s="44" t="s">
        <v>735</v>
      </c>
      <c r="B629" s="45" t="s">
        <v>19</v>
      </c>
      <c r="C629" s="46">
        <v>120</v>
      </c>
      <c r="D629" s="47" t="s">
        <v>20</v>
      </c>
      <c r="E629" s="48"/>
      <c r="F629" s="49">
        <v>10</v>
      </c>
      <c r="G629" s="50" t="s">
        <v>34</v>
      </c>
      <c r="H629" s="49">
        <v>12</v>
      </c>
      <c r="I629" s="50" t="s">
        <v>20</v>
      </c>
      <c r="J629" s="51">
        <v>12400</v>
      </c>
      <c r="K629" s="47" t="s">
        <v>20</v>
      </c>
      <c r="L629" s="52">
        <v>0.125</v>
      </c>
      <c r="M629" s="52">
        <v>0.05</v>
      </c>
      <c r="N629" s="46">
        <f>(6*12)</f>
        <v>72</v>
      </c>
      <c r="O629" s="50" t="s">
        <v>20</v>
      </c>
      <c r="P629" s="46">
        <f t="shared" si="204"/>
        <v>48</v>
      </c>
      <c r="Q629" s="50" t="s">
        <v>20</v>
      </c>
      <c r="R629" s="51">
        <f t="shared" si="205"/>
        <v>494760</v>
      </c>
      <c r="S629" s="51">
        <f t="shared" si="206"/>
        <v>445729.7297297297</v>
      </c>
    </row>
    <row r="630" spans="1:19" s="45" customFormat="1">
      <c r="A630" s="44" t="s">
        <v>560</v>
      </c>
      <c r="B630" s="45" t="s">
        <v>19</v>
      </c>
      <c r="C630" s="46">
        <v>600</v>
      </c>
      <c r="D630" s="47" t="s">
        <v>20</v>
      </c>
      <c r="E630" s="48"/>
      <c r="F630" s="49">
        <v>10</v>
      </c>
      <c r="G630" s="50" t="s">
        <v>34</v>
      </c>
      <c r="H630" s="49">
        <v>12</v>
      </c>
      <c r="I630" s="50" t="s">
        <v>20</v>
      </c>
      <c r="J630" s="51">
        <v>12400</v>
      </c>
      <c r="K630" s="47" t="s">
        <v>20</v>
      </c>
      <c r="L630" s="52">
        <v>0.125</v>
      </c>
      <c r="M630" s="52">
        <v>0.05</v>
      </c>
      <c r="N630" s="46"/>
      <c r="O630" s="50" t="s">
        <v>20</v>
      </c>
      <c r="P630" s="46">
        <f t="shared" si="204"/>
        <v>600</v>
      </c>
      <c r="Q630" s="50" t="s">
        <v>20</v>
      </c>
      <c r="R630" s="51">
        <f t="shared" si="205"/>
        <v>6184500</v>
      </c>
      <c r="S630" s="51">
        <f t="shared" si="193"/>
        <v>5571621.6216216208</v>
      </c>
    </row>
    <row r="631" spans="1:19" s="17" customFormat="1">
      <c r="A631" s="16" t="s">
        <v>561</v>
      </c>
      <c r="B631" s="17" t="s">
        <v>19</v>
      </c>
      <c r="C631" s="18"/>
      <c r="D631" s="19" t="s">
        <v>20</v>
      </c>
      <c r="E631" s="20"/>
      <c r="F631" s="21">
        <v>5</v>
      </c>
      <c r="G631" s="22" t="s">
        <v>34</v>
      </c>
      <c r="H631" s="21">
        <v>12</v>
      </c>
      <c r="I631" s="22" t="s">
        <v>20</v>
      </c>
      <c r="J631" s="23">
        <v>27000</v>
      </c>
      <c r="K631" s="19" t="s">
        <v>20</v>
      </c>
      <c r="L631" s="24">
        <v>0.125</v>
      </c>
      <c r="M631" s="24">
        <v>0.05</v>
      </c>
      <c r="N631" s="18"/>
      <c r="O631" s="22" t="s">
        <v>20</v>
      </c>
      <c r="P631" s="18">
        <f t="shared" si="204"/>
        <v>0</v>
      </c>
      <c r="Q631" s="22" t="s">
        <v>20</v>
      </c>
      <c r="R631" s="23">
        <f t="shared" si="205"/>
        <v>0</v>
      </c>
      <c r="S631" s="23">
        <f t="shared" si="193"/>
        <v>0</v>
      </c>
    </row>
    <row r="632" spans="1:19" s="17" customFormat="1">
      <c r="A632" s="16" t="s">
        <v>562</v>
      </c>
      <c r="B632" s="17" t="s">
        <v>19</v>
      </c>
      <c r="C632" s="18"/>
      <c r="D632" s="19" t="s">
        <v>20</v>
      </c>
      <c r="E632" s="20"/>
      <c r="F632" s="21">
        <v>1</v>
      </c>
      <c r="G632" s="22" t="s">
        <v>21</v>
      </c>
      <c r="H632" s="21">
        <v>24</v>
      </c>
      <c r="I632" s="22" t="s">
        <v>20</v>
      </c>
      <c r="J632" s="23">
        <v>40000</v>
      </c>
      <c r="K632" s="19" t="s">
        <v>20</v>
      </c>
      <c r="L632" s="24">
        <v>0.125</v>
      </c>
      <c r="M632" s="24">
        <v>0.05</v>
      </c>
      <c r="N632" s="18"/>
      <c r="O632" s="22" t="s">
        <v>20</v>
      </c>
      <c r="P632" s="18">
        <f t="shared" si="204"/>
        <v>0</v>
      </c>
      <c r="Q632" s="22" t="s">
        <v>20</v>
      </c>
      <c r="R632" s="23">
        <f t="shared" si="205"/>
        <v>0</v>
      </c>
      <c r="S632" s="23">
        <f t="shared" si="193"/>
        <v>0</v>
      </c>
    </row>
    <row r="633" spans="1:19" s="26" customFormat="1">
      <c r="A633" s="25" t="s">
        <v>563</v>
      </c>
      <c r="B633" s="26" t="s">
        <v>19</v>
      </c>
      <c r="C633" s="27"/>
      <c r="D633" s="28" t="s">
        <v>20</v>
      </c>
      <c r="E633" s="29">
        <v>2</v>
      </c>
      <c r="F633" s="30">
        <v>1</v>
      </c>
      <c r="G633" s="31" t="s">
        <v>21</v>
      </c>
      <c r="H633" s="30">
        <v>24</v>
      </c>
      <c r="I633" s="31" t="s">
        <v>20</v>
      </c>
      <c r="J633" s="32">
        <v>45500</v>
      </c>
      <c r="K633" s="28" t="s">
        <v>20</v>
      </c>
      <c r="L633" s="33">
        <v>0.125</v>
      </c>
      <c r="M633" s="33">
        <v>0.05</v>
      </c>
      <c r="N633" s="27"/>
      <c r="O633" s="31" t="s">
        <v>20</v>
      </c>
      <c r="P633" s="27">
        <f t="shared" si="204"/>
        <v>48</v>
      </c>
      <c r="Q633" s="31" t="s">
        <v>20</v>
      </c>
      <c r="R633" s="32">
        <f t="shared" si="205"/>
        <v>1815450</v>
      </c>
      <c r="S633" s="32">
        <f t="shared" si="193"/>
        <v>1635540.5405405404</v>
      </c>
    </row>
    <row r="634" spans="1:19" s="17" customFormat="1">
      <c r="A634" s="16" t="s">
        <v>564</v>
      </c>
      <c r="B634" s="17" t="s">
        <v>26</v>
      </c>
      <c r="C634" s="18"/>
      <c r="D634" s="19" t="s">
        <v>20</v>
      </c>
      <c r="E634" s="20"/>
      <c r="F634" s="21">
        <v>10</v>
      </c>
      <c r="G634" s="22" t="s">
        <v>43</v>
      </c>
      <c r="H634" s="21">
        <v>12</v>
      </c>
      <c r="I634" s="22" t="s">
        <v>20</v>
      </c>
      <c r="J634" s="23">
        <f>1500000/10/12</f>
        <v>12500</v>
      </c>
      <c r="K634" s="19" t="s">
        <v>20</v>
      </c>
      <c r="L634" s="24"/>
      <c r="M634" s="24">
        <v>0.17</v>
      </c>
      <c r="N634" s="18"/>
      <c r="O634" s="22" t="s">
        <v>20</v>
      </c>
      <c r="P634" s="18">
        <f t="shared" si="204"/>
        <v>0</v>
      </c>
      <c r="Q634" s="22" t="s">
        <v>20</v>
      </c>
      <c r="R634" s="23">
        <f t="shared" si="205"/>
        <v>0</v>
      </c>
      <c r="S634" s="23">
        <f t="shared" si="193"/>
        <v>0</v>
      </c>
    </row>
    <row r="635" spans="1:19" s="63" customFormat="1">
      <c r="A635" s="95" t="s">
        <v>565</v>
      </c>
      <c r="B635" s="96" t="s">
        <v>26</v>
      </c>
      <c r="C635" s="97">
        <v>4</v>
      </c>
      <c r="D635" s="98" t="s">
        <v>43</v>
      </c>
      <c r="E635" s="105"/>
      <c r="F635" s="100">
        <v>1</v>
      </c>
      <c r="G635" s="101" t="s">
        <v>21</v>
      </c>
      <c r="H635" s="100">
        <v>10</v>
      </c>
      <c r="I635" s="101" t="s">
        <v>43</v>
      </c>
      <c r="J635" s="102">
        <f>1500000/10</f>
        <v>150000</v>
      </c>
      <c r="K635" s="98" t="s">
        <v>43</v>
      </c>
      <c r="L635" s="103"/>
      <c r="M635" s="103">
        <v>0.17</v>
      </c>
      <c r="N635" s="97">
        <f>3+2-1</f>
        <v>4</v>
      </c>
      <c r="O635" s="101" t="s">
        <v>43</v>
      </c>
      <c r="P635" s="97">
        <f t="shared" si="204"/>
        <v>0</v>
      </c>
      <c r="Q635" s="101" t="s">
        <v>43</v>
      </c>
      <c r="R635" s="102">
        <f t="shared" si="205"/>
        <v>0</v>
      </c>
      <c r="S635" s="102">
        <f t="shared" si="193"/>
        <v>0</v>
      </c>
    </row>
    <row r="636" spans="1:19" s="63" customFormat="1">
      <c r="A636" s="95" t="s">
        <v>565</v>
      </c>
      <c r="B636" s="96" t="s">
        <v>26</v>
      </c>
      <c r="C636" s="97">
        <v>5.5</v>
      </c>
      <c r="D636" s="98" t="s">
        <v>43</v>
      </c>
      <c r="E636" s="105">
        <v>1</v>
      </c>
      <c r="F636" s="100">
        <v>1</v>
      </c>
      <c r="G636" s="101" t="s">
        <v>21</v>
      </c>
      <c r="H636" s="100">
        <v>10</v>
      </c>
      <c r="I636" s="101" t="s">
        <v>43</v>
      </c>
      <c r="J636" s="102">
        <f>1560000/10</f>
        <v>156000</v>
      </c>
      <c r="K636" s="98" t="s">
        <v>43</v>
      </c>
      <c r="L636" s="103"/>
      <c r="M636" s="103">
        <v>0.17</v>
      </c>
      <c r="N636" s="97">
        <f>(2-1)+2+1+10+1.5</f>
        <v>15.5</v>
      </c>
      <c r="O636" s="101" t="s">
        <v>43</v>
      </c>
      <c r="P636" s="97">
        <f t="shared" ref="P636" si="207">(C636+(E636*F636*H636))-N636</f>
        <v>0</v>
      </c>
      <c r="Q636" s="101" t="s">
        <v>43</v>
      </c>
      <c r="R636" s="102">
        <f t="shared" ref="R636" si="208">P636*(J636-(J636*L636)-((J636-(J636*L636))*M636))</f>
        <v>0</v>
      </c>
      <c r="S636" s="102">
        <f t="shared" ref="S636" si="209">R636/1.11</f>
        <v>0</v>
      </c>
    </row>
    <row r="637" spans="1:19" s="63" customFormat="1">
      <c r="A637" s="72" t="s">
        <v>566</v>
      </c>
      <c r="B637" s="63" t="s">
        <v>26</v>
      </c>
      <c r="C637" s="64"/>
      <c r="D637" s="65" t="s">
        <v>20</v>
      </c>
      <c r="E637" s="66"/>
      <c r="F637" s="67">
        <v>10</v>
      </c>
      <c r="G637" s="68" t="s">
        <v>43</v>
      </c>
      <c r="H637" s="67">
        <v>12</v>
      </c>
      <c r="I637" s="68" t="s">
        <v>20</v>
      </c>
      <c r="J637" s="69">
        <f>13000</f>
        <v>13000</v>
      </c>
      <c r="K637" s="65" t="s">
        <v>20</v>
      </c>
      <c r="L637" s="70"/>
      <c r="M637" s="70">
        <v>0.17</v>
      </c>
      <c r="N637" s="64"/>
      <c r="O637" s="68" t="s">
        <v>20</v>
      </c>
      <c r="P637" s="64">
        <f t="shared" si="204"/>
        <v>0</v>
      </c>
      <c r="Q637" s="68" t="s">
        <v>20</v>
      </c>
      <c r="R637" s="69">
        <f t="shared" si="205"/>
        <v>0</v>
      </c>
      <c r="S637" s="23">
        <f t="shared" si="193"/>
        <v>0</v>
      </c>
    </row>
    <row r="638" spans="1:19" s="45" customFormat="1">
      <c r="A638" s="44" t="s">
        <v>567</v>
      </c>
      <c r="B638" s="45" t="s">
        <v>26</v>
      </c>
      <c r="C638" s="46"/>
      <c r="D638" s="47" t="s">
        <v>43</v>
      </c>
      <c r="E638" s="48">
        <v>2</v>
      </c>
      <c r="F638" s="49">
        <v>4</v>
      </c>
      <c r="G638" s="50" t="s">
        <v>34</v>
      </c>
      <c r="H638" s="49">
        <v>2</v>
      </c>
      <c r="I638" s="50" t="s">
        <v>43</v>
      </c>
      <c r="J638" s="51">
        <f>1440000/4/2</f>
        <v>180000</v>
      </c>
      <c r="K638" s="47" t="s">
        <v>43</v>
      </c>
      <c r="L638" s="52"/>
      <c r="M638" s="52">
        <v>0.17</v>
      </c>
      <c r="N638" s="46">
        <f>1+2+3</f>
        <v>6</v>
      </c>
      <c r="O638" s="50" t="s">
        <v>43</v>
      </c>
      <c r="P638" s="46">
        <f>(C638+(E638*F638*H638))-N638</f>
        <v>10</v>
      </c>
      <c r="Q638" s="50" t="s">
        <v>43</v>
      </c>
      <c r="R638" s="51">
        <f>P638*(J638-(J638*L638)-((J638-(J638*L638))*M638))</f>
        <v>1494000</v>
      </c>
      <c r="S638" s="51">
        <f t="shared" si="193"/>
        <v>1345945.9459459458</v>
      </c>
    </row>
    <row r="639" spans="1:19" s="45" customFormat="1">
      <c r="A639" s="35" t="s">
        <v>568</v>
      </c>
      <c r="B639" s="36" t="s">
        <v>26</v>
      </c>
      <c r="C639" s="37">
        <v>8</v>
      </c>
      <c r="D639" s="38" t="s">
        <v>43</v>
      </c>
      <c r="E639" s="39">
        <v>5</v>
      </c>
      <c r="F639" s="40">
        <v>1</v>
      </c>
      <c r="G639" s="41" t="s">
        <v>21</v>
      </c>
      <c r="H639" s="40">
        <v>5</v>
      </c>
      <c r="I639" s="41" t="s">
        <v>43</v>
      </c>
      <c r="J639" s="42">
        <f>1320000/5</f>
        <v>264000</v>
      </c>
      <c r="K639" s="38" t="s">
        <v>20</v>
      </c>
      <c r="L639" s="43"/>
      <c r="M639" s="43">
        <v>0.17</v>
      </c>
      <c r="N639" s="37">
        <f>1+2+1+1+(120/12)</f>
        <v>15</v>
      </c>
      <c r="O639" s="41" t="s">
        <v>43</v>
      </c>
      <c r="P639" s="37">
        <f t="shared" si="204"/>
        <v>18</v>
      </c>
      <c r="Q639" s="41" t="s">
        <v>43</v>
      </c>
      <c r="R639" s="42">
        <f t="shared" si="205"/>
        <v>3944160</v>
      </c>
      <c r="S639" s="42">
        <f t="shared" si="193"/>
        <v>3553297.297297297</v>
      </c>
    </row>
    <row r="640" spans="1:19" s="45" customFormat="1">
      <c r="A640" s="35" t="s">
        <v>568</v>
      </c>
      <c r="B640" s="36" t="s">
        <v>26</v>
      </c>
      <c r="C640" s="37"/>
      <c r="D640" s="38" t="s">
        <v>43</v>
      </c>
      <c r="E640" s="39">
        <v>1</v>
      </c>
      <c r="F640" s="40">
        <v>1</v>
      </c>
      <c r="G640" s="41" t="s">
        <v>21</v>
      </c>
      <c r="H640" s="40">
        <v>5</v>
      </c>
      <c r="I640" s="41" t="s">
        <v>43</v>
      </c>
      <c r="J640" s="42">
        <f>1410000/5</f>
        <v>282000</v>
      </c>
      <c r="K640" s="38" t="s">
        <v>20</v>
      </c>
      <c r="L640" s="43"/>
      <c r="M640" s="43">
        <v>0.17</v>
      </c>
      <c r="N640" s="37"/>
      <c r="O640" s="41" t="s">
        <v>43</v>
      </c>
      <c r="P640" s="37">
        <f t="shared" ref="P640" si="210">(C640+(E640*F640*H640))-N640</f>
        <v>5</v>
      </c>
      <c r="Q640" s="41" t="s">
        <v>43</v>
      </c>
      <c r="R640" s="42">
        <f t="shared" ref="R640" si="211">P640*(J640-(J640*L640)-((J640-(J640*L640))*M640))</f>
        <v>1170300</v>
      </c>
      <c r="S640" s="42">
        <f t="shared" ref="S640" si="212">R640/1.11</f>
        <v>1054324.3243243243</v>
      </c>
    </row>
    <row r="641" spans="1:19" s="45" customFormat="1">
      <c r="A641" s="44" t="s">
        <v>569</v>
      </c>
      <c r="B641" s="45" t="s">
        <v>26</v>
      </c>
      <c r="C641" s="46"/>
      <c r="D641" s="47" t="s">
        <v>43</v>
      </c>
      <c r="E641" s="48">
        <v>2</v>
      </c>
      <c r="F641" s="49">
        <v>1</v>
      </c>
      <c r="G641" s="50" t="s">
        <v>21</v>
      </c>
      <c r="H641" s="49">
        <v>4</v>
      </c>
      <c r="I641" s="50" t="s">
        <v>43</v>
      </c>
      <c r="J641" s="51">
        <f>1536000/4</f>
        <v>384000</v>
      </c>
      <c r="K641" s="47" t="s">
        <v>43</v>
      </c>
      <c r="L641" s="52"/>
      <c r="M641" s="52">
        <v>0.17</v>
      </c>
      <c r="N641" s="46"/>
      <c r="O641" s="50" t="s">
        <v>43</v>
      </c>
      <c r="P641" s="46">
        <f t="shared" si="204"/>
        <v>8</v>
      </c>
      <c r="Q641" s="50" t="s">
        <v>43</v>
      </c>
      <c r="R641" s="51">
        <f t="shared" si="205"/>
        <v>2549760</v>
      </c>
      <c r="S641" s="51">
        <f t="shared" si="193"/>
        <v>2297081.0810810807</v>
      </c>
    </row>
    <row r="642" spans="1:19" s="17" customFormat="1">
      <c r="A642" s="16" t="s">
        <v>570</v>
      </c>
      <c r="B642" s="17" t="s">
        <v>26</v>
      </c>
      <c r="C642" s="18"/>
      <c r="D642" s="19" t="s">
        <v>20</v>
      </c>
      <c r="E642" s="20"/>
      <c r="F642" s="21">
        <v>1</v>
      </c>
      <c r="G642" s="22" t="s">
        <v>21</v>
      </c>
      <c r="H642" s="21">
        <v>24</v>
      </c>
      <c r="I642" s="22" t="s">
        <v>20</v>
      </c>
      <c r="J642" s="23">
        <f>1164000/24</f>
        <v>48500</v>
      </c>
      <c r="K642" s="19" t="s">
        <v>20</v>
      </c>
      <c r="L642" s="24"/>
      <c r="M642" s="24">
        <v>0.17</v>
      </c>
      <c r="N642" s="18"/>
      <c r="O642" s="22" t="s">
        <v>20</v>
      </c>
      <c r="P642" s="18">
        <f t="shared" si="204"/>
        <v>0</v>
      </c>
      <c r="Q642" s="22" t="s">
        <v>20</v>
      </c>
      <c r="R642" s="23">
        <f t="shared" si="205"/>
        <v>0</v>
      </c>
      <c r="S642" s="23">
        <f t="shared" si="193"/>
        <v>0</v>
      </c>
    </row>
    <row r="643" spans="1:19" s="17" customFormat="1">
      <c r="A643" s="16" t="s">
        <v>571</v>
      </c>
      <c r="B643" s="17" t="s">
        <v>26</v>
      </c>
      <c r="C643" s="18"/>
      <c r="D643" s="19" t="s">
        <v>20</v>
      </c>
      <c r="E643" s="20">
        <v>1</v>
      </c>
      <c r="F643" s="21">
        <v>1</v>
      </c>
      <c r="G643" s="22" t="s">
        <v>21</v>
      </c>
      <c r="H643" s="21">
        <v>24</v>
      </c>
      <c r="I643" s="22" t="s">
        <v>20</v>
      </c>
      <c r="J643" s="23">
        <f>1020000/24</f>
        <v>42500</v>
      </c>
      <c r="K643" s="19" t="s">
        <v>20</v>
      </c>
      <c r="L643" s="24"/>
      <c r="M643" s="24">
        <v>0.17</v>
      </c>
      <c r="N643" s="18">
        <v>24</v>
      </c>
      <c r="O643" s="22" t="s">
        <v>20</v>
      </c>
      <c r="P643" s="18">
        <f t="shared" si="204"/>
        <v>0</v>
      </c>
      <c r="Q643" s="22" t="s">
        <v>20</v>
      </c>
      <c r="R643" s="23">
        <f t="shared" si="205"/>
        <v>0</v>
      </c>
      <c r="S643" s="23">
        <f t="shared" si="193"/>
        <v>0</v>
      </c>
    </row>
    <row r="644" spans="1:19" s="26" customFormat="1">
      <c r="A644" s="25" t="s">
        <v>572</v>
      </c>
      <c r="B644" s="26" t="s">
        <v>26</v>
      </c>
      <c r="C644" s="27">
        <v>18</v>
      </c>
      <c r="D644" s="28" t="s">
        <v>20</v>
      </c>
      <c r="E644" s="29"/>
      <c r="F644" s="30">
        <v>1</v>
      </c>
      <c r="G644" s="31" t="s">
        <v>21</v>
      </c>
      <c r="H644" s="30">
        <v>24</v>
      </c>
      <c r="I644" s="31" t="s">
        <v>20</v>
      </c>
      <c r="J644" s="32">
        <f>1416000/24</f>
        <v>59000</v>
      </c>
      <c r="K644" s="28" t="s">
        <v>20</v>
      </c>
      <c r="L644" s="33"/>
      <c r="M644" s="33">
        <v>0.17</v>
      </c>
      <c r="N644" s="27"/>
      <c r="O644" s="31" t="s">
        <v>20</v>
      </c>
      <c r="P644" s="27">
        <f t="shared" si="204"/>
        <v>18</v>
      </c>
      <c r="Q644" s="31" t="s">
        <v>20</v>
      </c>
      <c r="R644" s="32">
        <f t="shared" si="205"/>
        <v>881460</v>
      </c>
      <c r="S644" s="32">
        <f t="shared" si="193"/>
        <v>794108.10810810805</v>
      </c>
    </row>
    <row r="645" spans="1:19">
      <c r="S645" s="23"/>
    </row>
    <row r="646" spans="1:19" ht="15.75">
      <c r="A646" s="14" t="s">
        <v>573</v>
      </c>
      <c r="S646" s="23"/>
    </row>
    <row r="647" spans="1:19">
      <c r="A647" s="15" t="s">
        <v>574</v>
      </c>
      <c r="S647" s="23"/>
    </row>
    <row r="648" spans="1:19" s="26" customFormat="1">
      <c r="A648" s="107" t="s">
        <v>575</v>
      </c>
      <c r="B648" s="26" t="s">
        <v>26</v>
      </c>
      <c r="C648" s="27">
        <v>60</v>
      </c>
      <c r="D648" s="28" t="s">
        <v>43</v>
      </c>
      <c r="E648" s="29">
        <v>2</v>
      </c>
      <c r="F648" s="30">
        <v>1</v>
      </c>
      <c r="G648" s="31" t="s">
        <v>21</v>
      </c>
      <c r="H648" s="30">
        <v>60</v>
      </c>
      <c r="I648" s="31" t="s">
        <v>43</v>
      </c>
      <c r="J648" s="32">
        <f>2160000/60</f>
        <v>36000</v>
      </c>
      <c r="K648" s="28" t="s">
        <v>43</v>
      </c>
      <c r="L648" s="33"/>
      <c r="M648" s="33">
        <v>0.17</v>
      </c>
      <c r="N648" s="27">
        <v>120</v>
      </c>
      <c r="O648" s="31" t="s">
        <v>43</v>
      </c>
      <c r="P648" s="27">
        <f>(C648+(E648*F648*H648))-N648</f>
        <v>60</v>
      </c>
      <c r="Q648" s="31" t="s">
        <v>43</v>
      </c>
      <c r="R648" s="32">
        <f>P648*(J648-(J648*L648)-((J648-(J648*L648))*M648))</f>
        <v>1792800</v>
      </c>
      <c r="S648" s="32">
        <f t="shared" si="193"/>
        <v>1615135.1351351349</v>
      </c>
    </row>
    <row r="649" spans="1:19" s="26" customFormat="1">
      <c r="A649" s="107" t="s">
        <v>576</v>
      </c>
      <c r="B649" s="26" t="s">
        <v>26</v>
      </c>
      <c r="C649" s="27">
        <v>196</v>
      </c>
      <c r="D649" s="28" t="s">
        <v>43</v>
      </c>
      <c r="E649" s="29"/>
      <c r="F649" s="30">
        <v>12</v>
      </c>
      <c r="G649" s="31" t="s">
        <v>88</v>
      </c>
      <c r="H649" s="30">
        <v>12</v>
      </c>
      <c r="I649" s="31" t="s">
        <v>43</v>
      </c>
      <c r="J649" s="32">
        <f>1555200/144</f>
        <v>10800</v>
      </c>
      <c r="K649" s="28" t="s">
        <v>43</v>
      </c>
      <c r="L649" s="33">
        <v>0.05</v>
      </c>
      <c r="M649" s="33">
        <v>0.17</v>
      </c>
      <c r="N649" s="27"/>
      <c r="O649" s="31" t="s">
        <v>43</v>
      </c>
      <c r="P649" s="27">
        <f>(C649+(E649*F649*H649))-N649</f>
        <v>196</v>
      </c>
      <c r="Q649" s="31" t="s">
        <v>43</v>
      </c>
      <c r="R649" s="32">
        <f>P649*(J649-(J649*L649)-((J649-(J649*L649))*M649))</f>
        <v>1669096.7999999998</v>
      </c>
      <c r="S649" s="32">
        <f t="shared" si="193"/>
        <v>1503690.8108108104</v>
      </c>
    </row>
    <row r="650" spans="1:19">
      <c r="A650" s="15" t="s">
        <v>577</v>
      </c>
      <c r="S650" s="23"/>
    </row>
    <row r="651" spans="1:19" s="26" customFormat="1">
      <c r="A651" s="107" t="s">
        <v>578</v>
      </c>
      <c r="B651" s="26" t="s">
        <v>26</v>
      </c>
      <c r="C651" s="27"/>
      <c r="D651" s="28" t="s">
        <v>43</v>
      </c>
      <c r="E651" s="29">
        <v>1</v>
      </c>
      <c r="F651" s="30">
        <v>1</v>
      </c>
      <c r="G651" s="31" t="s">
        <v>21</v>
      </c>
      <c r="H651" s="30">
        <v>60</v>
      </c>
      <c r="I651" s="31" t="s">
        <v>43</v>
      </c>
      <c r="J651" s="32">
        <f>2268000/60</f>
        <v>37800</v>
      </c>
      <c r="K651" s="28" t="s">
        <v>43</v>
      </c>
      <c r="L651" s="33"/>
      <c r="M651" s="33">
        <v>0.17</v>
      </c>
      <c r="N651" s="27">
        <v>5</v>
      </c>
      <c r="O651" s="31" t="s">
        <v>43</v>
      </c>
      <c r="P651" s="27">
        <f>(C651+(E651*F651*H651))-N651</f>
        <v>55</v>
      </c>
      <c r="Q651" s="31" t="s">
        <v>43</v>
      </c>
      <c r="R651" s="32">
        <f>P651*(J651-(J651*L651)-((J651-(J651*L651))*M651))</f>
        <v>1725570</v>
      </c>
      <c r="S651" s="32">
        <f t="shared" si="193"/>
        <v>1554567.5675675673</v>
      </c>
    </row>
    <row r="652" spans="1:19">
      <c r="A652" s="15" t="s">
        <v>579</v>
      </c>
      <c r="S652" s="23"/>
    </row>
    <row r="653" spans="1:19" s="45" customFormat="1">
      <c r="A653" s="44" t="s">
        <v>580</v>
      </c>
      <c r="B653" s="45" t="s">
        <v>19</v>
      </c>
      <c r="C653" s="46">
        <v>18</v>
      </c>
      <c r="D653" s="47" t="s">
        <v>162</v>
      </c>
      <c r="E653" s="48"/>
      <c r="F653" s="49">
        <v>8</v>
      </c>
      <c r="G653" s="50" t="s">
        <v>34</v>
      </c>
      <c r="H653" s="49">
        <v>12</v>
      </c>
      <c r="I653" s="50" t="s">
        <v>162</v>
      </c>
      <c r="J653" s="51">
        <v>17000</v>
      </c>
      <c r="K653" s="47" t="s">
        <v>162</v>
      </c>
      <c r="L653" s="52">
        <v>0.125</v>
      </c>
      <c r="M653" s="52">
        <v>0.05</v>
      </c>
      <c r="N653" s="46">
        <f>12+3</f>
        <v>15</v>
      </c>
      <c r="O653" s="50" t="s">
        <v>162</v>
      </c>
      <c r="P653" s="46">
        <f t="shared" ref="P653:P657" si="213">(C653+(E653*F653*H653))-N653</f>
        <v>3</v>
      </c>
      <c r="Q653" s="50" t="s">
        <v>162</v>
      </c>
      <c r="R653" s="51">
        <f t="shared" ref="R653:R657" si="214">P653*(J653-(J653*L653)-((J653-(J653*L653))*M653))</f>
        <v>42393.75</v>
      </c>
      <c r="S653" s="32">
        <f t="shared" si="193"/>
        <v>38192.567567567567</v>
      </c>
    </row>
    <row r="654" spans="1:19" s="45" customFormat="1">
      <c r="A654" s="44" t="s">
        <v>581</v>
      </c>
      <c r="B654" s="45" t="s">
        <v>19</v>
      </c>
      <c r="C654" s="46">
        <v>3</v>
      </c>
      <c r="D654" s="47" t="s">
        <v>162</v>
      </c>
      <c r="E654" s="48"/>
      <c r="F654" s="49">
        <v>8</v>
      </c>
      <c r="G654" s="50" t="s">
        <v>34</v>
      </c>
      <c r="H654" s="49">
        <v>6</v>
      </c>
      <c r="I654" s="50" t="s">
        <v>162</v>
      </c>
      <c r="J654" s="51">
        <v>34000</v>
      </c>
      <c r="K654" s="47" t="s">
        <v>162</v>
      </c>
      <c r="L654" s="52">
        <v>0.125</v>
      </c>
      <c r="M654" s="52">
        <v>0.05</v>
      </c>
      <c r="N654" s="46"/>
      <c r="O654" s="50" t="s">
        <v>162</v>
      </c>
      <c r="P654" s="46">
        <f t="shared" si="213"/>
        <v>3</v>
      </c>
      <c r="Q654" s="50" t="s">
        <v>162</v>
      </c>
      <c r="R654" s="51">
        <f t="shared" si="214"/>
        <v>84787.5</v>
      </c>
      <c r="S654" s="32">
        <f t="shared" si="193"/>
        <v>76385.135135135133</v>
      </c>
    </row>
    <row r="655" spans="1:19" s="45" customFormat="1">
      <c r="A655" s="44" t="s">
        <v>582</v>
      </c>
      <c r="B655" s="45" t="s">
        <v>19</v>
      </c>
      <c r="C655" s="46">
        <v>62</v>
      </c>
      <c r="D655" s="47" t="s">
        <v>162</v>
      </c>
      <c r="E655" s="48"/>
      <c r="F655" s="49">
        <v>6</v>
      </c>
      <c r="G655" s="50" t="s">
        <v>34</v>
      </c>
      <c r="H655" s="49">
        <v>24</v>
      </c>
      <c r="I655" s="50" t="s">
        <v>162</v>
      </c>
      <c r="J655" s="51">
        <v>31500</v>
      </c>
      <c r="K655" s="47" t="s">
        <v>162</v>
      </c>
      <c r="L655" s="52">
        <v>0.125</v>
      </c>
      <c r="M655" s="52">
        <v>0.05</v>
      </c>
      <c r="N655" s="46"/>
      <c r="O655" s="50" t="s">
        <v>162</v>
      </c>
      <c r="P655" s="46">
        <f t="shared" si="213"/>
        <v>62</v>
      </c>
      <c r="Q655" s="50" t="s">
        <v>162</v>
      </c>
      <c r="R655" s="51">
        <f t="shared" si="214"/>
        <v>1623431.25</v>
      </c>
      <c r="S655" s="32">
        <f t="shared" si="193"/>
        <v>1462550.6756756755</v>
      </c>
    </row>
    <row r="656" spans="1:19" s="45" customFormat="1">
      <c r="A656" s="44" t="s">
        <v>583</v>
      </c>
      <c r="B656" s="45" t="s">
        <v>19</v>
      </c>
      <c r="C656" s="46">
        <v>1</v>
      </c>
      <c r="D656" s="47" t="s">
        <v>162</v>
      </c>
      <c r="E656" s="48"/>
      <c r="F656" s="49">
        <v>6</v>
      </c>
      <c r="G656" s="50" t="s">
        <v>34</v>
      </c>
      <c r="H656" s="49">
        <v>12</v>
      </c>
      <c r="I656" s="50" t="s">
        <v>162</v>
      </c>
      <c r="J656" s="51">
        <v>63000</v>
      </c>
      <c r="K656" s="47" t="s">
        <v>162</v>
      </c>
      <c r="L656" s="52">
        <v>0.125</v>
      </c>
      <c r="M656" s="52">
        <v>0.05</v>
      </c>
      <c r="N656" s="46"/>
      <c r="O656" s="50" t="s">
        <v>162</v>
      </c>
      <c r="P656" s="46">
        <f t="shared" si="213"/>
        <v>1</v>
      </c>
      <c r="Q656" s="50" t="s">
        <v>162</v>
      </c>
      <c r="R656" s="51">
        <f t="shared" si="214"/>
        <v>52368.75</v>
      </c>
      <c r="S656" s="32">
        <f t="shared" si="193"/>
        <v>47179.054054054053</v>
      </c>
    </row>
    <row r="657" spans="1:19" s="63" customFormat="1">
      <c r="A657" s="72" t="s">
        <v>584</v>
      </c>
      <c r="B657" s="63" t="s">
        <v>19</v>
      </c>
      <c r="C657" s="64"/>
      <c r="D657" s="65" t="s">
        <v>162</v>
      </c>
      <c r="E657" s="66"/>
      <c r="F657" s="67">
        <v>6</v>
      </c>
      <c r="G657" s="68" t="s">
        <v>34</v>
      </c>
      <c r="H657" s="67">
        <v>24</v>
      </c>
      <c r="I657" s="68" t="s">
        <v>162</v>
      </c>
      <c r="J657" s="69"/>
      <c r="K657" s="65" t="s">
        <v>162</v>
      </c>
      <c r="L657" s="70">
        <v>0.1</v>
      </c>
      <c r="M657" s="70">
        <v>0.05</v>
      </c>
      <c r="N657" s="64"/>
      <c r="O657" s="68" t="s">
        <v>162</v>
      </c>
      <c r="P657" s="64">
        <f t="shared" si="213"/>
        <v>0</v>
      </c>
      <c r="Q657" s="68" t="s">
        <v>162</v>
      </c>
      <c r="R657" s="69">
        <f t="shared" si="214"/>
        <v>0</v>
      </c>
      <c r="S657" s="23">
        <f t="shared" si="193"/>
        <v>0</v>
      </c>
    </row>
    <row r="658" spans="1:19">
      <c r="S658" s="23"/>
    </row>
    <row r="659" spans="1:19" ht="15.75">
      <c r="A659" s="14" t="s">
        <v>585</v>
      </c>
      <c r="S659" s="23"/>
    </row>
    <row r="660" spans="1:19" s="45" customFormat="1">
      <c r="A660" s="44" t="s">
        <v>586</v>
      </c>
      <c r="B660" s="45" t="s">
        <v>19</v>
      </c>
      <c r="C660" s="46">
        <v>530</v>
      </c>
      <c r="D660" s="47" t="s">
        <v>20</v>
      </c>
      <c r="E660" s="48">
        <v>1</v>
      </c>
      <c r="F660" s="49">
        <v>72</v>
      </c>
      <c r="G660" s="50" t="s">
        <v>34</v>
      </c>
      <c r="H660" s="49">
        <v>10</v>
      </c>
      <c r="I660" s="50" t="s">
        <v>20</v>
      </c>
      <c r="J660" s="51">
        <v>3600</v>
      </c>
      <c r="K660" s="47" t="s">
        <v>20</v>
      </c>
      <c r="L660" s="52">
        <v>0.125</v>
      </c>
      <c r="M660" s="52">
        <v>0.05</v>
      </c>
      <c r="N660" s="46">
        <f>120+60+720</f>
        <v>900</v>
      </c>
      <c r="O660" s="50" t="s">
        <v>20</v>
      </c>
      <c r="P660" s="46">
        <f t="shared" ref="P660:P667" si="215">(C660+(E660*F660*H660))-N660</f>
        <v>350</v>
      </c>
      <c r="Q660" s="50" t="s">
        <v>20</v>
      </c>
      <c r="R660" s="51">
        <f t="shared" ref="R660:R667" si="216">P660*(J660-(J660*L660)-((J660-(J660*L660))*M660))</f>
        <v>1047375</v>
      </c>
      <c r="S660" s="51">
        <f t="shared" si="193"/>
        <v>943581.08108108095</v>
      </c>
    </row>
    <row r="661" spans="1:19" s="63" customFormat="1">
      <c r="A661" s="72" t="s">
        <v>587</v>
      </c>
      <c r="B661" s="63" t="s">
        <v>19</v>
      </c>
      <c r="C661" s="64"/>
      <c r="D661" s="65" t="s">
        <v>162</v>
      </c>
      <c r="E661" s="66"/>
      <c r="F661" s="67">
        <v>12</v>
      </c>
      <c r="G661" s="68" t="s">
        <v>34</v>
      </c>
      <c r="H661" s="67">
        <v>24</v>
      </c>
      <c r="I661" s="68" t="s">
        <v>162</v>
      </c>
      <c r="J661" s="69">
        <v>16500</v>
      </c>
      <c r="K661" s="65" t="s">
        <v>162</v>
      </c>
      <c r="L661" s="70">
        <v>0.125</v>
      </c>
      <c r="M661" s="70">
        <v>0.05</v>
      </c>
      <c r="N661" s="64"/>
      <c r="O661" s="68" t="s">
        <v>162</v>
      </c>
      <c r="P661" s="64">
        <f t="shared" si="215"/>
        <v>0</v>
      </c>
      <c r="Q661" s="68" t="s">
        <v>162</v>
      </c>
      <c r="R661" s="69">
        <f t="shared" si="216"/>
        <v>0</v>
      </c>
      <c r="S661" s="23">
        <f t="shared" si="193"/>
        <v>0</v>
      </c>
    </row>
    <row r="662" spans="1:19" s="26" customFormat="1">
      <c r="A662" s="25" t="s">
        <v>588</v>
      </c>
      <c r="B662" s="26" t="s">
        <v>26</v>
      </c>
      <c r="C662" s="27">
        <v>240</v>
      </c>
      <c r="D662" s="28" t="s">
        <v>20</v>
      </c>
      <c r="E662" s="29"/>
      <c r="F662" s="30">
        <v>48</v>
      </c>
      <c r="G662" s="31" t="s">
        <v>34</v>
      </c>
      <c r="H662" s="30">
        <v>10</v>
      </c>
      <c r="I662" s="31" t="s">
        <v>20</v>
      </c>
      <c r="J662" s="32">
        <f>30500/10</f>
        <v>3050</v>
      </c>
      <c r="K662" s="28" t="s">
        <v>20</v>
      </c>
      <c r="L662" s="33"/>
      <c r="M662" s="33">
        <v>0.17</v>
      </c>
      <c r="N662" s="27">
        <f>60+(2*10)</f>
        <v>80</v>
      </c>
      <c r="O662" s="31" t="s">
        <v>20</v>
      </c>
      <c r="P662" s="27">
        <f t="shared" si="215"/>
        <v>160</v>
      </c>
      <c r="Q662" s="31" t="s">
        <v>20</v>
      </c>
      <c r="R662" s="32">
        <f t="shared" si="216"/>
        <v>405040</v>
      </c>
      <c r="S662" s="32">
        <f t="shared" si="193"/>
        <v>364900.90090090089</v>
      </c>
    </row>
    <row r="663" spans="1:19" s="17" customFormat="1">
      <c r="A663" s="16" t="s">
        <v>589</v>
      </c>
      <c r="B663" s="17" t="s">
        <v>26</v>
      </c>
      <c r="C663" s="18"/>
      <c r="D663" s="19" t="s">
        <v>20</v>
      </c>
      <c r="E663" s="20"/>
      <c r="F663" s="21">
        <v>48</v>
      </c>
      <c r="G663" s="22" t="s">
        <v>34</v>
      </c>
      <c r="H663" s="21">
        <v>10</v>
      </c>
      <c r="I663" s="22" t="s">
        <v>20</v>
      </c>
      <c r="J663" s="23">
        <f>30500/10</f>
        <v>3050</v>
      </c>
      <c r="K663" s="19" t="s">
        <v>20</v>
      </c>
      <c r="L663" s="24"/>
      <c r="M663" s="24">
        <v>0.17</v>
      </c>
      <c r="N663" s="18"/>
      <c r="O663" s="22" t="s">
        <v>20</v>
      </c>
      <c r="P663" s="18">
        <f t="shared" si="215"/>
        <v>0</v>
      </c>
      <c r="Q663" s="22" t="s">
        <v>20</v>
      </c>
      <c r="R663" s="23">
        <f t="shared" si="216"/>
        <v>0</v>
      </c>
      <c r="S663" s="23">
        <f t="shared" ref="S663:S731" si="217">R663/1.11</f>
        <v>0</v>
      </c>
    </row>
    <row r="664" spans="1:19" s="17" customFormat="1">
      <c r="A664" s="16" t="s">
        <v>590</v>
      </c>
      <c r="B664" s="17" t="s">
        <v>26</v>
      </c>
      <c r="C664" s="18">
        <v>8</v>
      </c>
      <c r="D664" s="19" t="s">
        <v>43</v>
      </c>
      <c r="E664" s="20"/>
      <c r="F664" s="21">
        <v>12</v>
      </c>
      <c r="G664" s="22" t="s">
        <v>34</v>
      </c>
      <c r="H664" s="21">
        <v>12</v>
      </c>
      <c r="I664" s="22" t="s">
        <v>43</v>
      </c>
      <c r="J664" s="23">
        <v>25800</v>
      </c>
      <c r="K664" s="19" t="s">
        <v>43</v>
      </c>
      <c r="L664" s="24"/>
      <c r="M664" s="24">
        <v>0.17</v>
      </c>
      <c r="N664" s="18">
        <f>(24/12)+6</f>
        <v>8</v>
      </c>
      <c r="O664" s="22" t="s">
        <v>43</v>
      </c>
      <c r="P664" s="18">
        <f t="shared" si="215"/>
        <v>0</v>
      </c>
      <c r="Q664" s="22" t="s">
        <v>43</v>
      </c>
      <c r="R664" s="23">
        <f t="shared" si="216"/>
        <v>0</v>
      </c>
      <c r="S664" s="23">
        <f t="shared" si="217"/>
        <v>0</v>
      </c>
    </row>
    <row r="665" spans="1:19" s="63" customFormat="1">
      <c r="A665" s="72" t="s">
        <v>591</v>
      </c>
      <c r="B665" s="63" t="s">
        <v>275</v>
      </c>
      <c r="C665" s="64"/>
      <c r="D665" s="65" t="s">
        <v>104</v>
      </c>
      <c r="E665" s="66"/>
      <c r="F665" s="67">
        <v>1</v>
      </c>
      <c r="G665" s="68" t="s">
        <v>21</v>
      </c>
      <c r="H665" s="67">
        <v>24</v>
      </c>
      <c r="I665" s="68" t="s">
        <v>104</v>
      </c>
      <c r="J665" s="69">
        <v>94000</v>
      </c>
      <c r="K665" s="65" t="s">
        <v>104</v>
      </c>
      <c r="L665" s="70"/>
      <c r="M665" s="70"/>
      <c r="N665" s="64"/>
      <c r="O665" s="68" t="s">
        <v>104</v>
      </c>
      <c r="P665" s="64">
        <f t="shared" si="215"/>
        <v>0</v>
      </c>
      <c r="Q665" s="68" t="s">
        <v>104</v>
      </c>
      <c r="R665" s="69">
        <f t="shared" si="216"/>
        <v>0</v>
      </c>
      <c r="S665" s="23">
        <f t="shared" si="217"/>
        <v>0</v>
      </c>
    </row>
    <row r="666" spans="1:19" s="26" customFormat="1">
      <c r="A666" s="25" t="s">
        <v>592</v>
      </c>
      <c r="B666" s="26" t="s">
        <v>182</v>
      </c>
      <c r="C666" s="27">
        <v>1675</v>
      </c>
      <c r="D666" s="28" t="s">
        <v>43</v>
      </c>
      <c r="E666" s="29"/>
      <c r="F666" s="30">
        <v>1</v>
      </c>
      <c r="G666" s="31" t="s">
        <v>21</v>
      </c>
      <c r="H666" s="30">
        <v>108</v>
      </c>
      <c r="I666" s="31" t="s">
        <v>43</v>
      </c>
      <c r="J666" s="32">
        <v>18000</v>
      </c>
      <c r="K666" s="28" t="s">
        <v>43</v>
      </c>
      <c r="L666" s="33">
        <v>0.05</v>
      </c>
      <c r="M666" s="33"/>
      <c r="N666" s="27">
        <f>3+3+(72/12)+3+3+3+108</f>
        <v>129</v>
      </c>
      <c r="O666" s="31" t="s">
        <v>43</v>
      </c>
      <c r="P666" s="27">
        <f t="shared" si="215"/>
        <v>1546</v>
      </c>
      <c r="Q666" s="31" t="s">
        <v>43</v>
      </c>
      <c r="R666" s="32">
        <f t="shared" si="216"/>
        <v>26436600</v>
      </c>
      <c r="S666" s="32">
        <f t="shared" si="217"/>
        <v>23816756.756756756</v>
      </c>
    </row>
    <row r="667" spans="1:19" s="26" customFormat="1">
      <c r="A667" s="25" t="s">
        <v>738</v>
      </c>
      <c r="B667" s="26" t="s">
        <v>659</v>
      </c>
      <c r="C667" s="27">
        <v>3600</v>
      </c>
      <c r="D667" s="28" t="s">
        <v>20</v>
      </c>
      <c r="E667" s="29"/>
      <c r="F667" s="30">
        <v>1</v>
      </c>
      <c r="G667" s="31" t="s">
        <v>21</v>
      </c>
      <c r="H667" s="30">
        <v>600</v>
      </c>
      <c r="I667" s="31" t="s">
        <v>20</v>
      </c>
      <c r="J667" s="32">
        <v>2700</v>
      </c>
      <c r="K667" s="28" t="s">
        <v>20</v>
      </c>
      <c r="L667" s="33">
        <v>0.35</v>
      </c>
      <c r="M667" s="33"/>
      <c r="N667" s="27">
        <v>60</v>
      </c>
      <c r="O667" s="31" t="s">
        <v>20</v>
      </c>
      <c r="P667" s="27">
        <f t="shared" si="215"/>
        <v>3540</v>
      </c>
      <c r="Q667" s="31" t="s">
        <v>20</v>
      </c>
      <c r="R667" s="32">
        <f t="shared" si="216"/>
        <v>6212700</v>
      </c>
      <c r="S667" s="32">
        <f t="shared" si="217"/>
        <v>5597027.0270270268</v>
      </c>
    </row>
    <row r="668" spans="1:19">
      <c r="S668" s="23"/>
    </row>
    <row r="669" spans="1:19" ht="15.75">
      <c r="A669" s="14" t="s">
        <v>593</v>
      </c>
      <c r="S669" s="23"/>
    </row>
    <row r="670" spans="1:19">
      <c r="A670" s="15" t="s">
        <v>594</v>
      </c>
      <c r="S670" s="23"/>
    </row>
    <row r="671" spans="1:19" s="63" customFormat="1">
      <c r="A671" s="72" t="s">
        <v>595</v>
      </c>
      <c r="B671" s="63" t="s">
        <v>19</v>
      </c>
      <c r="C671" s="64"/>
      <c r="D671" s="65" t="s">
        <v>20</v>
      </c>
      <c r="E671" s="66"/>
      <c r="F671" s="67">
        <v>40</v>
      </c>
      <c r="G671" s="68" t="s">
        <v>104</v>
      </c>
      <c r="H671" s="67">
        <v>12</v>
      </c>
      <c r="I671" s="68" t="s">
        <v>20</v>
      </c>
      <c r="J671" s="69">
        <v>6700</v>
      </c>
      <c r="K671" s="65" t="s">
        <v>20</v>
      </c>
      <c r="L671" s="70">
        <v>0.125</v>
      </c>
      <c r="M671" s="70">
        <v>0.05</v>
      </c>
      <c r="N671" s="64"/>
      <c r="O671" s="68" t="s">
        <v>20</v>
      </c>
      <c r="P671" s="64">
        <f t="shared" ref="P671" si="218">(C671+(E671*F671*H671))-N671</f>
        <v>0</v>
      </c>
      <c r="Q671" s="68" t="s">
        <v>20</v>
      </c>
      <c r="R671" s="69">
        <f t="shared" ref="R671" si="219">P671*(J671-(J671*L671)-((J671-(J671*L671))*M671))</f>
        <v>0</v>
      </c>
      <c r="S671" s="23">
        <f t="shared" si="217"/>
        <v>0</v>
      </c>
    </row>
    <row r="672" spans="1:19" s="63" customFormat="1">
      <c r="A672" s="72" t="s">
        <v>596</v>
      </c>
      <c r="B672" s="63" t="s">
        <v>19</v>
      </c>
      <c r="C672" s="64"/>
      <c r="D672" s="65" t="s">
        <v>20</v>
      </c>
      <c r="E672" s="66"/>
      <c r="F672" s="67">
        <v>20</v>
      </c>
      <c r="G672" s="68" t="s">
        <v>104</v>
      </c>
      <c r="H672" s="67">
        <v>12</v>
      </c>
      <c r="I672" s="68" t="s">
        <v>20</v>
      </c>
      <c r="J672" s="69">
        <v>8400</v>
      </c>
      <c r="K672" s="65" t="s">
        <v>20</v>
      </c>
      <c r="L672" s="70">
        <v>0.125</v>
      </c>
      <c r="M672" s="70">
        <v>0.05</v>
      </c>
      <c r="N672" s="64"/>
      <c r="O672" s="68" t="s">
        <v>20</v>
      </c>
      <c r="P672" s="64">
        <f>(C672+(E672*F672*H672))-N672</f>
        <v>0</v>
      </c>
      <c r="Q672" s="68" t="s">
        <v>20</v>
      </c>
      <c r="R672" s="69">
        <f>P672*(J672-(J672*L672)-((J672-(J672*L672))*M672))</f>
        <v>0</v>
      </c>
      <c r="S672" s="23">
        <f t="shared" si="217"/>
        <v>0</v>
      </c>
    </row>
    <row r="673" spans="1:19" s="17" customFormat="1">
      <c r="A673" s="93" t="s">
        <v>597</v>
      </c>
      <c r="B673" s="17" t="s">
        <v>26</v>
      </c>
      <c r="C673" s="18">
        <v>0.5</v>
      </c>
      <c r="D673" s="19" t="s">
        <v>43</v>
      </c>
      <c r="E673" s="20"/>
      <c r="F673" s="21">
        <v>1</v>
      </c>
      <c r="G673" s="22" t="s">
        <v>21</v>
      </c>
      <c r="H673" s="21">
        <v>40</v>
      </c>
      <c r="I673" s="22" t="s">
        <v>43</v>
      </c>
      <c r="J673" s="23">
        <f>3096000/40</f>
        <v>77400</v>
      </c>
      <c r="K673" s="19" t="s">
        <v>43</v>
      </c>
      <c r="L673" s="24"/>
      <c r="M673" s="24">
        <v>0.17</v>
      </c>
      <c r="N673" s="18">
        <v>0.5</v>
      </c>
      <c r="O673" s="22" t="s">
        <v>43</v>
      </c>
      <c r="P673" s="18">
        <f t="shared" ref="P673:P678" si="220">(C673+(E673*F673*H673))-N673</f>
        <v>0</v>
      </c>
      <c r="Q673" s="22" t="s">
        <v>43</v>
      </c>
      <c r="R673" s="23">
        <f t="shared" ref="R673:R678" si="221">P673*(J673-(J673*L673)-((J673-(J673*L673))*M673))</f>
        <v>0</v>
      </c>
      <c r="S673" s="23">
        <f t="shared" si="217"/>
        <v>0</v>
      </c>
    </row>
    <row r="674" spans="1:19" s="26" customFormat="1">
      <c r="A674" s="94" t="s">
        <v>598</v>
      </c>
      <c r="B674" s="26" t="s">
        <v>26</v>
      </c>
      <c r="C674" s="27">
        <v>34</v>
      </c>
      <c r="D674" s="28" t="s">
        <v>43</v>
      </c>
      <c r="E674" s="29">
        <v>1</v>
      </c>
      <c r="F674" s="30">
        <v>1</v>
      </c>
      <c r="G674" s="31" t="s">
        <v>21</v>
      </c>
      <c r="H674" s="30">
        <v>40</v>
      </c>
      <c r="I674" s="31" t="s">
        <v>43</v>
      </c>
      <c r="J674" s="32">
        <f>2976000/40</f>
        <v>74400</v>
      </c>
      <c r="K674" s="28" t="s">
        <v>43</v>
      </c>
      <c r="L674" s="33"/>
      <c r="M674" s="33">
        <v>0.17</v>
      </c>
      <c r="N674" s="27">
        <f>2+3+2+3+1+2+3+5+5</f>
        <v>26</v>
      </c>
      <c r="O674" s="31" t="s">
        <v>43</v>
      </c>
      <c r="P674" s="27">
        <f t="shared" si="220"/>
        <v>48</v>
      </c>
      <c r="Q674" s="31" t="s">
        <v>43</v>
      </c>
      <c r="R674" s="32">
        <f t="shared" si="221"/>
        <v>2964096</v>
      </c>
      <c r="S674" s="32">
        <f t="shared" si="217"/>
        <v>2670356.7567567565</v>
      </c>
    </row>
    <row r="675" spans="1:19" s="17" customFormat="1">
      <c r="A675" s="93" t="s">
        <v>599</v>
      </c>
      <c r="B675" s="17" t="s">
        <v>26</v>
      </c>
      <c r="C675" s="18"/>
      <c r="D675" s="19" t="s">
        <v>20</v>
      </c>
      <c r="E675" s="20"/>
      <c r="F675" s="21">
        <v>1</v>
      </c>
      <c r="G675" s="22" t="s">
        <v>21</v>
      </c>
      <c r="H675" s="21">
        <v>20</v>
      </c>
      <c r="I675" s="22" t="s">
        <v>20</v>
      </c>
      <c r="J675" s="23">
        <v>90000</v>
      </c>
      <c r="K675" s="19" t="s">
        <v>20</v>
      </c>
      <c r="L675" s="24"/>
      <c r="M675" s="24">
        <v>0.17</v>
      </c>
      <c r="N675" s="18"/>
      <c r="O675" s="22" t="s">
        <v>20</v>
      </c>
      <c r="P675" s="18">
        <f t="shared" si="220"/>
        <v>0</v>
      </c>
      <c r="Q675" s="22" t="s">
        <v>20</v>
      </c>
      <c r="R675" s="23">
        <f t="shared" si="221"/>
        <v>0</v>
      </c>
      <c r="S675" s="23">
        <f t="shared" si="217"/>
        <v>0</v>
      </c>
    </row>
    <row r="676" spans="1:19" s="17" customFormat="1">
      <c r="A676" s="93" t="s">
        <v>600</v>
      </c>
      <c r="B676" s="17" t="s">
        <v>26</v>
      </c>
      <c r="C676" s="18"/>
      <c r="D676" s="19" t="s">
        <v>20</v>
      </c>
      <c r="E676" s="20"/>
      <c r="F676" s="21">
        <v>1</v>
      </c>
      <c r="G676" s="22" t="s">
        <v>21</v>
      </c>
      <c r="H676" s="21">
        <v>20</v>
      </c>
      <c r="I676" s="22" t="s">
        <v>20</v>
      </c>
      <c r="J676" s="23">
        <v>87500</v>
      </c>
      <c r="K676" s="19" t="s">
        <v>20</v>
      </c>
      <c r="L676" s="24"/>
      <c r="M676" s="24">
        <v>0.17</v>
      </c>
      <c r="N676" s="18"/>
      <c r="O676" s="22" t="s">
        <v>20</v>
      </c>
      <c r="P676" s="18">
        <f t="shared" si="220"/>
        <v>0</v>
      </c>
      <c r="Q676" s="22" t="s">
        <v>20</v>
      </c>
      <c r="R676" s="23">
        <f t="shared" si="221"/>
        <v>0</v>
      </c>
      <c r="S676" s="23">
        <f t="shared" si="217"/>
        <v>0</v>
      </c>
    </row>
    <row r="677" spans="1:19" s="17" customFormat="1">
      <c r="A677" s="93" t="s">
        <v>601</v>
      </c>
      <c r="B677" s="17" t="s">
        <v>26</v>
      </c>
      <c r="C677" s="18"/>
      <c r="D677" s="19" t="s">
        <v>43</v>
      </c>
      <c r="E677" s="20"/>
      <c r="F677" s="21">
        <v>1</v>
      </c>
      <c r="G677" s="22" t="s">
        <v>21</v>
      </c>
      <c r="H677" s="21">
        <v>40</v>
      </c>
      <c r="I677" s="22" t="s">
        <v>43</v>
      </c>
      <c r="J677" s="23">
        <f>3360000/40</f>
        <v>84000</v>
      </c>
      <c r="K677" s="19" t="s">
        <v>43</v>
      </c>
      <c r="L677" s="24"/>
      <c r="M677" s="24">
        <v>0.17</v>
      </c>
      <c r="N677" s="18"/>
      <c r="O677" s="22" t="s">
        <v>43</v>
      </c>
      <c r="P677" s="18">
        <f t="shared" si="220"/>
        <v>0</v>
      </c>
      <c r="Q677" s="22" t="s">
        <v>43</v>
      </c>
      <c r="R677" s="23">
        <f t="shared" si="221"/>
        <v>0</v>
      </c>
      <c r="S677" s="23">
        <f t="shared" si="217"/>
        <v>0</v>
      </c>
    </row>
    <row r="678" spans="1:19" s="26" customFormat="1">
      <c r="A678" s="94" t="s">
        <v>602</v>
      </c>
      <c r="B678" s="26" t="s">
        <v>26</v>
      </c>
      <c r="C678" s="27">
        <v>3</v>
      </c>
      <c r="D678" s="28" t="s">
        <v>43</v>
      </c>
      <c r="E678" s="29">
        <v>1</v>
      </c>
      <c r="F678" s="30">
        <v>1</v>
      </c>
      <c r="G678" s="31" t="s">
        <v>21</v>
      </c>
      <c r="H678" s="30">
        <v>20</v>
      </c>
      <c r="I678" s="31" t="s">
        <v>43</v>
      </c>
      <c r="J678" s="32">
        <f>1992000/20</f>
        <v>99600</v>
      </c>
      <c r="K678" s="28" t="s">
        <v>43</v>
      </c>
      <c r="L678" s="33"/>
      <c r="M678" s="33">
        <v>0.17</v>
      </c>
      <c r="N678" s="27">
        <v>3</v>
      </c>
      <c r="O678" s="31" t="s">
        <v>43</v>
      </c>
      <c r="P678" s="27">
        <f t="shared" si="220"/>
        <v>20</v>
      </c>
      <c r="Q678" s="31" t="s">
        <v>43</v>
      </c>
      <c r="R678" s="32">
        <f t="shared" si="221"/>
        <v>1653360</v>
      </c>
      <c r="S678" s="32">
        <f t="shared" si="217"/>
        <v>1489513.5135135134</v>
      </c>
    </row>
    <row r="679" spans="1:19">
      <c r="A679" s="15" t="s">
        <v>603</v>
      </c>
      <c r="S679" s="23"/>
    </row>
    <row r="680" spans="1:19" s="45" customFormat="1">
      <c r="A680" s="44" t="s">
        <v>604</v>
      </c>
      <c r="B680" s="45" t="s">
        <v>19</v>
      </c>
      <c r="C680" s="46"/>
      <c r="D680" s="47" t="s">
        <v>43</v>
      </c>
      <c r="E680" s="48">
        <f>1+1</f>
        <v>2</v>
      </c>
      <c r="F680" s="49">
        <v>18</v>
      </c>
      <c r="G680" s="50" t="s">
        <v>104</v>
      </c>
      <c r="H680" s="49">
        <v>1</v>
      </c>
      <c r="I680" s="50" t="s">
        <v>43</v>
      </c>
      <c r="J680" s="51">
        <f>5300*12</f>
        <v>63600</v>
      </c>
      <c r="K680" s="47" t="s">
        <v>43</v>
      </c>
      <c r="L680" s="52">
        <v>0.125</v>
      </c>
      <c r="M680" s="52">
        <v>0.05</v>
      </c>
      <c r="N680" s="46">
        <v>18</v>
      </c>
      <c r="O680" s="50" t="s">
        <v>43</v>
      </c>
      <c r="P680" s="46">
        <f t="shared" ref="P680:P685" si="222">(C680+(E680*F680*H680))-N680</f>
        <v>18</v>
      </c>
      <c r="Q680" s="50" t="s">
        <v>43</v>
      </c>
      <c r="R680" s="51">
        <f t="shared" ref="R680:R685" si="223">P680*(J680-(J680*L680)-((J680-(J680*L680))*M680))</f>
        <v>951615</v>
      </c>
      <c r="S680" s="32">
        <f t="shared" si="217"/>
        <v>857310.81081081077</v>
      </c>
    </row>
    <row r="681" spans="1:19" s="63" customFormat="1">
      <c r="A681" s="72" t="s">
        <v>605</v>
      </c>
      <c r="B681" s="63" t="s">
        <v>19</v>
      </c>
      <c r="C681" s="64"/>
      <c r="D681" s="65" t="s">
        <v>43</v>
      </c>
      <c r="E681" s="66">
        <v>1</v>
      </c>
      <c r="F681" s="67">
        <v>24</v>
      </c>
      <c r="G681" s="68" t="s">
        <v>104</v>
      </c>
      <c r="H681" s="67">
        <v>2</v>
      </c>
      <c r="I681" s="68" t="s">
        <v>43</v>
      </c>
      <c r="J681" s="69">
        <f>4900*12</f>
        <v>58800</v>
      </c>
      <c r="K681" s="65" t="s">
        <v>43</v>
      </c>
      <c r="L681" s="70">
        <v>0.125</v>
      </c>
      <c r="M681" s="70">
        <v>0.05</v>
      </c>
      <c r="N681" s="64">
        <v>48</v>
      </c>
      <c r="O681" s="68" t="s">
        <v>43</v>
      </c>
      <c r="P681" s="64">
        <f t="shared" si="222"/>
        <v>0</v>
      </c>
      <c r="Q681" s="68" t="s">
        <v>43</v>
      </c>
      <c r="R681" s="69">
        <f t="shared" si="223"/>
        <v>0</v>
      </c>
      <c r="S681" s="23">
        <f t="shared" si="217"/>
        <v>0</v>
      </c>
    </row>
    <row r="682" spans="1:19" s="63" customFormat="1">
      <c r="A682" s="72" t="s">
        <v>606</v>
      </c>
      <c r="B682" s="63" t="s">
        <v>19</v>
      </c>
      <c r="C682" s="64"/>
      <c r="D682" s="65" t="s">
        <v>43</v>
      </c>
      <c r="E682" s="66">
        <v>1</v>
      </c>
      <c r="F682" s="67">
        <v>18</v>
      </c>
      <c r="G682" s="68" t="s">
        <v>104</v>
      </c>
      <c r="H682" s="67">
        <v>1</v>
      </c>
      <c r="I682" s="68" t="s">
        <v>43</v>
      </c>
      <c r="J682" s="69">
        <f>6100*12</f>
        <v>73200</v>
      </c>
      <c r="K682" s="65" t="s">
        <v>43</v>
      </c>
      <c r="L682" s="70">
        <v>0.125</v>
      </c>
      <c r="M682" s="70">
        <v>0.05</v>
      </c>
      <c r="N682" s="64">
        <v>18</v>
      </c>
      <c r="O682" s="68" t="s">
        <v>43</v>
      </c>
      <c r="P682" s="64">
        <f t="shared" si="222"/>
        <v>0</v>
      </c>
      <c r="Q682" s="68" t="s">
        <v>43</v>
      </c>
      <c r="R682" s="69">
        <f t="shared" si="223"/>
        <v>0</v>
      </c>
      <c r="S682" s="23">
        <f t="shared" si="217"/>
        <v>0</v>
      </c>
    </row>
    <row r="683" spans="1:19" s="63" customFormat="1">
      <c r="A683" s="72" t="s">
        <v>607</v>
      </c>
      <c r="B683" s="63" t="s">
        <v>19</v>
      </c>
      <c r="C683" s="64"/>
      <c r="D683" s="65" t="s">
        <v>43</v>
      </c>
      <c r="E683" s="66"/>
      <c r="F683" s="67">
        <v>24</v>
      </c>
      <c r="G683" s="68" t="s">
        <v>104</v>
      </c>
      <c r="H683" s="67">
        <v>6</v>
      </c>
      <c r="I683" s="68" t="s">
        <v>20</v>
      </c>
      <c r="J683" s="69">
        <v>12600</v>
      </c>
      <c r="K683" s="65" t="s">
        <v>20</v>
      </c>
      <c r="L683" s="70">
        <v>0.125</v>
      </c>
      <c r="M683" s="70">
        <v>0.05</v>
      </c>
      <c r="N683" s="64"/>
      <c r="O683" s="68" t="s">
        <v>20</v>
      </c>
      <c r="P683" s="64">
        <f t="shared" si="222"/>
        <v>0</v>
      </c>
      <c r="Q683" s="68" t="s">
        <v>20</v>
      </c>
      <c r="R683" s="69">
        <f t="shared" si="223"/>
        <v>0</v>
      </c>
      <c r="S683" s="23">
        <f t="shared" si="217"/>
        <v>0</v>
      </c>
    </row>
    <row r="684" spans="1:19" s="45" customFormat="1">
      <c r="A684" s="44" t="s">
        <v>608</v>
      </c>
      <c r="B684" s="45" t="s">
        <v>26</v>
      </c>
      <c r="C684" s="46">
        <v>38</v>
      </c>
      <c r="D684" s="47" t="s">
        <v>43</v>
      </c>
      <c r="E684" s="48"/>
      <c r="F684" s="49">
        <v>1</v>
      </c>
      <c r="G684" s="50" t="s">
        <v>21</v>
      </c>
      <c r="H684" s="49">
        <v>18</v>
      </c>
      <c r="I684" s="50" t="s">
        <v>43</v>
      </c>
      <c r="J684" s="51">
        <f>1069200/18</f>
        <v>59400</v>
      </c>
      <c r="K684" s="47" t="s">
        <v>43</v>
      </c>
      <c r="L684" s="52"/>
      <c r="M684" s="52">
        <v>0.17</v>
      </c>
      <c r="N684" s="46"/>
      <c r="O684" s="50" t="s">
        <v>43</v>
      </c>
      <c r="P684" s="46">
        <f t="shared" si="222"/>
        <v>38</v>
      </c>
      <c r="Q684" s="50" t="s">
        <v>43</v>
      </c>
      <c r="R684" s="51">
        <f t="shared" si="223"/>
        <v>1873476</v>
      </c>
      <c r="S684" s="51">
        <f t="shared" si="217"/>
        <v>1687816.2162162161</v>
      </c>
    </row>
    <row r="685" spans="1:19" s="26" customFormat="1">
      <c r="A685" s="25" t="s">
        <v>609</v>
      </c>
      <c r="B685" s="26" t="s">
        <v>26</v>
      </c>
      <c r="C685" s="27">
        <v>7</v>
      </c>
      <c r="D685" s="28" t="s">
        <v>43</v>
      </c>
      <c r="E685" s="29"/>
      <c r="F685" s="30">
        <v>1</v>
      </c>
      <c r="G685" s="31" t="s">
        <v>21</v>
      </c>
      <c r="H685" s="30">
        <v>18</v>
      </c>
      <c r="I685" s="31" t="s">
        <v>43</v>
      </c>
      <c r="J685" s="32">
        <f>1274400/18</f>
        <v>70800</v>
      </c>
      <c r="K685" s="28" t="s">
        <v>43</v>
      </c>
      <c r="L685" s="33"/>
      <c r="M685" s="33">
        <v>0.17</v>
      </c>
      <c r="N685" s="27"/>
      <c r="O685" s="31" t="s">
        <v>43</v>
      </c>
      <c r="P685" s="27">
        <f t="shared" si="222"/>
        <v>7</v>
      </c>
      <c r="Q685" s="31" t="s">
        <v>43</v>
      </c>
      <c r="R685" s="32">
        <f t="shared" si="223"/>
        <v>411348</v>
      </c>
      <c r="S685" s="32">
        <f t="shared" si="217"/>
        <v>370583.78378378373</v>
      </c>
    </row>
    <row r="686" spans="1:19">
      <c r="S686" s="23"/>
    </row>
    <row r="687" spans="1:19" ht="15.75">
      <c r="A687" s="14" t="s">
        <v>610</v>
      </c>
      <c r="S687" s="23"/>
    </row>
    <row r="688" spans="1:19">
      <c r="A688" s="15" t="s">
        <v>611</v>
      </c>
      <c r="S688" s="23"/>
    </row>
    <row r="689" spans="1:19" s="17" customFormat="1">
      <c r="A689" s="16" t="s">
        <v>782</v>
      </c>
      <c r="B689" s="63" t="s">
        <v>19</v>
      </c>
      <c r="C689" s="18"/>
      <c r="D689" s="19" t="s">
        <v>20</v>
      </c>
      <c r="E689" s="20">
        <v>1</v>
      </c>
      <c r="F689" s="21">
        <v>1</v>
      </c>
      <c r="G689" s="22" t="s">
        <v>21</v>
      </c>
      <c r="H689" s="21">
        <v>72</v>
      </c>
      <c r="I689" s="22" t="s">
        <v>20</v>
      </c>
      <c r="J689" s="23">
        <v>34500</v>
      </c>
      <c r="K689" s="19" t="s">
        <v>20</v>
      </c>
      <c r="L689" s="24">
        <v>0.125</v>
      </c>
      <c r="M689" s="24">
        <v>0.05</v>
      </c>
      <c r="N689" s="18">
        <v>72</v>
      </c>
      <c r="O689" s="22" t="s">
        <v>20</v>
      </c>
      <c r="P689" s="18">
        <f>(C689+(E689*F689*H689))-N689</f>
        <v>0</v>
      </c>
      <c r="Q689" s="22" t="s">
        <v>20</v>
      </c>
      <c r="R689" s="23">
        <f>P689*(J689-(J689*L689)-((J689-(J689*L689))*M689))</f>
        <v>0</v>
      </c>
      <c r="S689" s="23">
        <f t="shared" ref="S689" si="224">R689/1.11</f>
        <v>0</v>
      </c>
    </row>
    <row r="690" spans="1:19" s="17" customFormat="1">
      <c r="A690" s="16" t="s">
        <v>612</v>
      </c>
      <c r="B690" s="63" t="s">
        <v>19</v>
      </c>
      <c r="C690" s="18"/>
      <c r="D690" s="19" t="s">
        <v>20</v>
      </c>
      <c r="E690" s="20">
        <v>1</v>
      </c>
      <c r="F690" s="21">
        <v>1</v>
      </c>
      <c r="G690" s="22" t="s">
        <v>21</v>
      </c>
      <c r="H690" s="21">
        <v>24</v>
      </c>
      <c r="I690" s="22" t="s">
        <v>20</v>
      </c>
      <c r="J690" s="23">
        <v>97000</v>
      </c>
      <c r="K690" s="19" t="s">
        <v>20</v>
      </c>
      <c r="L690" s="24">
        <v>0.125</v>
      </c>
      <c r="M690" s="24">
        <v>0.05</v>
      </c>
      <c r="N690" s="18">
        <v>24</v>
      </c>
      <c r="O690" s="22" t="s">
        <v>20</v>
      </c>
      <c r="P690" s="18">
        <f>(C690+(E690*F690*H690))-N690</f>
        <v>0</v>
      </c>
      <c r="Q690" s="22" t="s">
        <v>20</v>
      </c>
      <c r="R690" s="23">
        <f>P690*(J690-(J690*L690)-((J690-(J690*L690))*M690))</f>
        <v>0</v>
      </c>
      <c r="S690" s="23">
        <f t="shared" si="217"/>
        <v>0</v>
      </c>
    </row>
    <row r="691" spans="1:19" s="17" customFormat="1">
      <c r="A691" s="16" t="s">
        <v>613</v>
      </c>
      <c r="B691" s="17" t="s">
        <v>26</v>
      </c>
      <c r="C691" s="18"/>
      <c r="D691" s="19" t="s">
        <v>43</v>
      </c>
      <c r="E691" s="20"/>
      <c r="F691" s="21">
        <v>1</v>
      </c>
      <c r="G691" s="22" t="s">
        <v>21</v>
      </c>
      <c r="H691" s="21">
        <v>48</v>
      </c>
      <c r="I691" s="22" t="s">
        <v>20</v>
      </c>
      <c r="J691" s="23">
        <f>2400000/48</f>
        <v>50000</v>
      </c>
      <c r="K691" s="19" t="s">
        <v>20</v>
      </c>
      <c r="L691" s="24"/>
      <c r="M691" s="24">
        <v>0.17</v>
      </c>
      <c r="N691" s="18"/>
      <c r="O691" s="22" t="s">
        <v>20</v>
      </c>
      <c r="P691" s="18">
        <f>(C691+(E691*F691*H691))-N691</f>
        <v>0</v>
      </c>
      <c r="Q691" s="22" t="s">
        <v>20</v>
      </c>
      <c r="R691" s="23">
        <f>P691*(J691-(J691*L691)-((J691-(J691*L691))*M691))</f>
        <v>0</v>
      </c>
      <c r="S691" s="23">
        <f t="shared" si="217"/>
        <v>0</v>
      </c>
    </row>
    <row r="692" spans="1:19">
      <c r="A692" s="15" t="s">
        <v>614</v>
      </c>
      <c r="S692" s="23"/>
    </row>
    <row r="693" spans="1:19" s="45" customFormat="1">
      <c r="A693" s="44" t="s">
        <v>615</v>
      </c>
      <c r="B693" s="45" t="s">
        <v>19</v>
      </c>
      <c r="C693" s="46">
        <v>6</v>
      </c>
      <c r="D693" s="47" t="s">
        <v>43</v>
      </c>
      <c r="E693" s="48"/>
      <c r="F693" s="49">
        <v>1</v>
      </c>
      <c r="G693" s="50" t="s">
        <v>21</v>
      </c>
      <c r="H693" s="49">
        <v>20</v>
      </c>
      <c r="I693" s="50" t="s">
        <v>43</v>
      </c>
      <c r="J693" s="51">
        <v>82800</v>
      </c>
      <c r="K693" s="47" t="s">
        <v>43</v>
      </c>
      <c r="L693" s="52">
        <v>0.125</v>
      </c>
      <c r="M693" s="52">
        <v>0.05</v>
      </c>
      <c r="N693" s="46"/>
      <c r="O693" s="50" t="s">
        <v>43</v>
      </c>
      <c r="P693" s="46">
        <f t="shared" ref="P693:P731" si="225">(C693+(E693*F693*H693))-N693</f>
        <v>6</v>
      </c>
      <c r="Q693" s="50" t="s">
        <v>43</v>
      </c>
      <c r="R693" s="51">
        <f t="shared" ref="R693:R731" si="226">P693*(J693-(J693*L693)-((J693-(J693*L693))*M693))</f>
        <v>412965</v>
      </c>
      <c r="S693" s="51">
        <f t="shared" si="217"/>
        <v>372040.54054054053</v>
      </c>
    </row>
    <row r="694" spans="1:19" s="17" customFormat="1">
      <c r="A694" s="16" t="s">
        <v>616</v>
      </c>
      <c r="B694" s="17" t="s">
        <v>19</v>
      </c>
      <c r="C694" s="18"/>
      <c r="D694" s="19" t="s">
        <v>20</v>
      </c>
      <c r="E694" s="20"/>
      <c r="F694" s="21">
        <v>24</v>
      </c>
      <c r="G694" s="22" t="s">
        <v>34</v>
      </c>
      <c r="H694" s="21">
        <v>10</v>
      </c>
      <c r="I694" s="22" t="s">
        <v>20</v>
      </c>
      <c r="J694" s="23">
        <v>9400</v>
      </c>
      <c r="K694" s="19" t="s">
        <v>20</v>
      </c>
      <c r="L694" s="24">
        <v>0.125</v>
      </c>
      <c r="M694" s="24">
        <v>0.05</v>
      </c>
      <c r="N694" s="18"/>
      <c r="O694" s="22" t="s">
        <v>20</v>
      </c>
      <c r="P694" s="18">
        <f t="shared" si="225"/>
        <v>0</v>
      </c>
      <c r="Q694" s="22" t="s">
        <v>20</v>
      </c>
      <c r="R694" s="23">
        <f t="shared" si="226"/>
        <v>0</v>
      </c>
      <c r="S694" s="23">
        <f t="shared" si="217"/>
        <v>0</v>
      </c>
    </row>
    <row r="695" spans="1:19" s="17" customFormat="1">
      <c r="A695" s="16" t="s">
        <v>617</v>
      </c>
      <c r="B695" s="17" t="s">
        <v>19</v>
      </c>
      <c r="C695" s="18"/>
      <c r="D695" s="19" t="s">
        <v>43</v>
      </c>
      <c r="E695" s="20"/>
      <c r="F695" s="21">
        <v>1</v>
      </c>
      <c r="G695" s="22" t="s">
        <v>21</v>
      </c>
      <c r="H695" s="21">
        <v>25</v>
      </c>
      <c r="I695" s="22" t="s">
        <v>43</v>
      </c>
      <c r="J695" s="23">
        <v>70800</v>
      </c>
      <c r="K695" s="19" t="s">
        <v>43</v>
      </c>
      <c r="L695" s="24">
        <v>0.125</v>
      </c>
      <c r="M695" s="24">
        <v>0.05</v>
      </c>
      <c r="N695" s="18"/>
      <c r="O695" s="22" t="s">
        <v>43</v>
      </c>
      <c r="P695" s="18">
        <f t="shared" si="225"/>
        <v>0</v>
      </c>
      <c r="Q695" s="22" t="s">
        <v>43</v>
      </c>
      <c r="R695" s="23">
        <f t="shared" si="226"/>
        <v>0</v>
      </c>
      <c r="S695" s="23">
        <f t="shared" si="217"/>
        <v>0</v>
      </c>
    </row>
    <row r="696" spans="1:19" s="45" customFormat="1">
      <c r="A696" s="44" t="s">
        <v>618</v>
      </c>
      <c r="B696" s="45" t="s">
        <v>19</v>
      </c>
      <c r="C696" s="46">
        <v>200</v>
      </c>
      <c r="D696" s="47" t="s">
        <v>43</v>
      </c>
      <c r="E696" s="48">
        <v>3</v>
      </c>
      <c r="F696" s="49">
        <v>20</v>
      </c>
      <c r="G696" s="50" t="s">
        <v>34</v>
      </c>
      <c r="H696" s="49">
        <v>1</v>
      </c>
      <c r="I696" s="50" t="s">
        <v>43</v>
      </c>
      <c r="J696" s="51">
        <f>6600*12</f>
        <v>79200</v>
      </c>
      <c r="K696" s="47" t="s">
        <v>43</v>
      </c>
      <c r="L696" s="52">
        <v>0.125</v>
      </c>
      <c r="M696" s="52">
        <v>0.05</v>
      </c>
      <c r="N696" s="46"/>
      <c r="O696" s="50" t="s">
        <v>43</v>
      </c>
      <c r="P696" s="46">
        <f t="shared" si="225"/>
        <v>260</v>
      </c>
      <c r="Q696" s="50" t="s">
        <v>43</v>
      </c>
      <c r="R696" s="51">
        <f t="shared" si="226"/>
        <v>17117100</v>
      </c>
      <c r="S696" s="51">
        <f t="shared" si="217"/>
        <v>15420810.81081081</v>
      </c>
    </row>
    <row r="697" spans="1:19">
      <c r="A697" s="159" t="s">
        <v>619</v>
      </c>
      <c r="B697" s="160" t="s">
        <v>19</v>
      </c>
      <c r="C697" s="161">
        <v>90</v>
      </c>
      <c r="D697" s="162" t="s">
        <v>20</v>
      </c>
      <c r="E697" s="163"/>
      <c r="F697" s="164">
        <v>20</v>
      </c>
      <c r="G697" s="165" t="s">
        <v>34</v>
      </c>
      <c r="H697" s="164">
        <v>6</v>
      </c>
      <c r="I697" s="165" t="s">
        <v>20</v>
      </c>
      <c r="J697" s="166">
        <v>16700</v>
      </c>
      <c r="K697" s="162" t="s">
        <v>20</v>
      </c>
      <c r="L697" s="167">
        <v>0.125</v>
      </c>
      <c r="M697" s="167">
        <v>0.05</v>
      </c>
      <c r="N697" s="161"/>
      <c r="O697" s="165" t="s">
        <v>20</v>
      </c>
      <c r="P697" s="161">
        <f t="shared" si="225"/>
        <v>90</v>
      </c>
      <c r="Q697" s="165" t="s">
        <v>20</v>
      </c>
      <c r="R697" s="166">
        <f t="shared" si="226"/>
        <v>1249368.75</v>
      </c>
      <c r="S697" s="42">
        <f t="shared" si="217"/>
        <v>1125557.4324324324</v>
      </c>
    </row>
    <row r="698" spans="1:19">
      <c r="A698" s="159" t="s">
        <v>619</v>
      </c>
      <c r="B698" s="160" t="s">
        <v>19</v>
      </c>
      <c r="C698" s="161">
        <v>240</v>
      </c>
      <c r="D698" s="162" t="s">
        <v>20</v>
      </c>
      <c r="E698" s="163"/>
      <c r="F698" s="164">
        <v>20</v>
      </c>
      <c r="G698" s="165" t="s">
        <v>34</v>
      </c>
      <c r="H698" s="164">
        <v>6</v>
      </c>
      <c r="I698" s="165" t="s">
        <v>20</v>
      </c>
      <c r="J698" s="166">
        <v>18000</v>
      </c>
      <c r="K698" s="162" t="s">
        <v>20</v>
      </c>
      <c r="L698" s="167">
        <v>0.125</v>
      </c>
      <c r="M698" s="167">
        <v>0.05</v>
      </c>
      <c r="N698" s="161"/>
      <c r="O698" s="165" t="s">
        <v>20</v>
      </c>
      <c r="P698" s="161">
        <f t="shared" si="225"/>
        <v>240</v>
      </c>
      <c r="Q698" s="165" t="s">
        <v>20</v>
      </c>
      <c r="R698" s="166">
        <f t="shared" si="226"/>
        <v>3591000</v>
      </c>
      <c r="S698" s="42">
        <f t="shared" si="217"/>
        <v>3235135.1351351347</v>
      </c>
    </row>
    <row r="699" spans="1:19" s="17" customFormat="1">
      <c r="A699" s="16" t="s">
        <v>620</v>
      </c>
      <c r="B699" s="17" t="s">
        <v>19</v>
      </c>
      <c r="C699" s="18"/>
      <c r="D699" s="19" t="s">
        <v>20</v>
      </c>
      <c r="E699" s="20"/>
      <c r="F699" s="21">
        <v>20</v>
      </c>
      <c r="G699" s="22" t="s">
        <v>34</v>
      </c>
      <c r="H699" s="21">
        <v>6</v>
      </c>
      <c r="I699" s="22" t="s">
        <v>20</v>
      </c>
      <c r="J699" s="23">
        <v>14800</v>
      </c>
      <c r="K699" s="19" t="s">
        <v>20</v>
      </c>
      <c r="L699" s="24">
        <v>0.125</v>
      </c>
      <c r="M699" s="24">
        <v>0.05</v>
      </c>
      <c r="N699" s="18"/>
      <c r="O699" s="22" t="s">
        <v>20</v>
      </c>
      <c r="P699" s="18">
        <f t="shared" si="225"/>
        <v>0</v>
      </c>
      <c r="Q699" s="22" t="s">
        <v>20</v>
      </c>
      <c r="R699" s="23">
        <f t="shared" si="226"/>
        <v>0</v>
      </c>
      <c r="S699" s="23">
        <f t="shared" si="217"/>
        <v>0</v>
      </c>
    </row>
    <row r="700" spans="1:19" s="17" customFormat="1">
      <c r="A700" s="16" t="s">
        <v>621</v>
      </c>
      <c r="B700" s="17" t="s">
        <v>19</v>
      </c>
      <c r="C700" s="18"/>
      <c r="D700" s="19" t="s">
        <v>20</v>
      </c>
      <c r="E700" s="20"/>
      <c r="F700" s="21">
        <v>1</v>
      </c>
      <c r="G700" s="22" t="s">
        <v>21</v>
      </c>
      <c r="H700" s="21">
        <v>12</v>
      </c>
      <c r="I700" s="22" t="s">
        <v>20</v>
      </c>
      <c r="J700" s="23">
        <v>162000</v>
      </c>
      <c r="K700" s="19" t="s">
        <v>20</v>
      </c>
      <c r="L700" s="24">
        <v>0.125</v>
      </c>
      <c r="M700" s="24">
        <v>0.05</v>
      </c>
      <c r="N700" s="18"/>
      <c r="O700" s="22" t="s">
        <v>20</v>
      </c>
      <c r="P700" s="18">
        <f t="shared" si="225"/>
        <v>0</v>
      </c>
      <c r="Q700" s="22" t="s">
        <v>20</v>
      </c>
      <c r="R700" s="23">
        <f t="shared" si="226"/>
        <v>0</v>
      </c>
      <c r="S700" s="23">
        <f t="shared" si="217"/>
        <v>0</v>
      </c>
    </row>
    <row r="701" spans="1:19" s="17" customFormat="1">
      <c r="A701" s="16" t="s">
        <v>622</v>
      </c>
      <c r="B701" s="17" t="s">
        <v>19</v>
      </c>
      <c r="C701" s="18"/>
      <c r="D701" s="19" t="s">
        <v>20</v>
      </c>
      <c r="E701" s="20"/>
      <c r="F701" s="21">
        <v>1</v>
      </c>
      <c r="G701" s="22" t="s">
        <v>21</v>
      </c>
      <c r="H701" s="21">
        <v>36</v>
      </c>
      <c r="I701" s="22" t="s">
        <v>20</v>
      </c>
      <c r="J701" s="23">
        <v>58000</v>
      </c>
      <c r="K701" s="19" t="s">
        <v>20</v>
      </c>
      <c r="L701" s="24">
        <v>0.125</v>
      </c>
      <c r="M701" s="24">
        <v>0.05</v>
      </c>
      <c r="N701" s="18"/>
      <c r="O701" s="22" t="s">
        <v>20</v>
      </c>
      <c r="P701" s="18">
        <f t="shared" si="225"/>
        <v>0</v>
      </c>
      <c r="Q701" s="22" t="s">
        <v>20</v>
      </c>
      <c r="R701" s="23">
        <f t="shared" si="226"/>
        <v>0</v>
      </c>
      <c r="S701" s="23">
        <f t="shared" si="217"/>
        <v>0</v>
      </c>
    </row>
    <row r="702" spans="1:19" s="26" customFormat="1">
      <c r="A702" s="25" t="s">
        <v>623</v>
      </c>
      <c r="B702" s="26" t="s">
        <v>19</v>
      </c>
      <c r="C702" s="27">
        <v>12</v>
      </c>
      <c r="D702" s="28" t="s">
        <v>20</v>
      </c>
      <c r="E702" s="29"/>
      <c r="F702" s="30">
        <v>1</v>
      </c>
      <c r="G702" s="31" t="s">
        <v>21</v>
      </c>
      <c r="H702" s="30">
        <v>12</v>
      </c>
      <c r="I702" s="31" t="s">
        <v>20</v>
      </c>
      <c r="J702" s="32">
        <v>97000</v>
      </c>
      <c r="K702" s="28" t="s">
        <v>20</v>
      </c>
      <c r="L702" s="33">
        <v>0.125</v>
      </c>
      <c r="M702" s="33">
        <v>0.05</v>
      </c>
      <c r="N702" s="27"/>
      <c r="O702" s="31" t="s">
        <v>20</v>
      </c>
      <c r="P702" s="27">
        <f t="shared" si="225"/>
        <v>12</v>
      </c>
      <c r="Q702" s="31" t="s">
        <v>20</v>
      </c>
      <c r="R702" s="32">
        <f t="shared" si="226"/>
        <v>967575</v>
      </c>
      <c r="S702" s="32">
        <f t="shared" si="217"/>
        <v>871689.18918918911</v>
      </c>
    </row>
    <row r="703" spans="1:19" s="26" customFormat="1">
      <c r="A703" s="25" t="s">
        <v>624</v>
      </c>
      <c r="B703" s="26" t="s">
        <v>19</v>
      </c>
      <c r="C703" s="27"/>
      <c r="D703" s="28" t="s">
        <v>20</v>
      </c>
      <c r="E703" s="29">
        <f>2+1</f>
        <v>3</v>
      </c>
      <c r="F703" s="30">
        <v>1</v>
      </c>
      <c r="G703" s="31" t="s">
        <v>21</v>
      </c>
      <c r="H703" s="30">
        <v>12</v>
      </c>
      <c r="I703" s="31" t="s">
        <v>20</v>
      </c>
      <c r="J703" s="32">
        <v>95000</v>
      </c>
      <c r="K703" s="28" t="s">
        <v>20</v>
      </c>
      <c r="L703" s="33">
        <v>0.125</v>
      </c>
      <c r="M703" s="33">
        <v>0.05</v>
      </c>
      <c r="N703" s="27">
        <f>24+6</f>
        <v>30</v>
      </c>
      <c r="O703" s="31" t="s">
        <v>20</v>
      </c>
      <c r="P703" s="27">
        <f t="shared" si="225"/>
        <v>6</v>
      </c>
      <c r="Q703" s="31" t="s">
        <v>20</v>
      </c>
      <c r="R703" s="32">
        <f t="shared" si="226"/>
        <v>473812.5</v>
      </c>
      <c r="S703" s="32">
        <f t="shared" si="217"/>
        <v>426858.10810810805</v>
      </c>
    </row>
    <row r="704" spans="1:19" s="17" customFormat="1">
      <c r="A704" s="16" t="s">
        <v>625</v>
      </c>
      <c r="B704" s="17" t="s">
        <v>19</v>
      </c>
      <c r="C704" s="18"/>
      <c r="D704" s="19" t="s">
        <v>20</v>
      </c>
      <c r="E704" s="20"/>
      <c r="F704" s="21">
        <v>1</v>
      </c>
      <c r="G704" s="22" t="s">
        <v>21</v>
      </c>
      <c r="H704" s="21">
        <v>6</v>
      </c>
      <c r="I704" s="22" t="s">
        <v>20</v>
      </c>
      <c r="J704" s="23">
        <v>187000</v>
      </c>
      <c r="K704" s="19" t="s">
        <v>20</v>
      </c>
      <c r="L704" s="24">
        <v>0.125</v>
      </c>
      <c r="M704" s="24">
        <v>0.05</v>
      </c>
      <c r="N704" s="18"/>
      <c r="O704" s="22" t="s">
        <v>20</v>
      </c>
      <c r="P704" s="18">
        <f t="shared" si="225"/>
        <v>0</v>
      </c>
      <c r="Q704" s="22" t="s">
        <v>20</v>
      </c>
      <c r="R704" s="23">
        <f t="shared" si="226"/>
        <v>0</v>
      </c>
      <c r="S704" s="23">
        <f t="shared" si="217"/>
        <v>0</v>
      </c>
    </row>
    <row r="705" spans="1:19" s="26" customFormat="1">
      <c r="A705" s="25" t="s">
        <v>626</v>
      </c>
      <c r="B705" s="26" t="s">
        <v>19</v>
      </c>
      <c r="C705" s="27"/>
      <c r="D705" s="28" t="s">
        <v>20</v>
      </c>
      <c r="E705" s="29">
        <v>1</v>
      </c>
      <c r="F705" s="30">
        <v>1</v>
      </c>
      <c r="G705" s="31" t="s">
        <v>21</v>
      </c>
      <c r="H705" s="30">
        <v>6</v>
      </c>
      <c r="I705" s="31" t="s">
        <v>20</v>
      </c>
      <c r="J705" s="32">
        <v>420000</v>
      </c>
      <c r="K705" s="28" t="s">
        <v>20</v>
      </c>
      <c r="L705" s="33">
        <v>0.125</v>
      </c>
      <c r="M705" s="33">
        <v>0.05</v>
      </c>
      <c r="N705" s="27"/>
      <c r="O705" s="31" t="s">
        <v>20</v>
      </c>
      <c r="P705" s="27">
        <f t="shared" si="225"/>
        <v>6</v>
      </c>
      <c r="Q705" s="31" t="s">
        <v>20</v>
      </c>
      <c r="R705" s="32">
        <f t="shared" si="226"/>
        <v>2094750</v>
      </c>
      <c r="S705" s="32">
        <f t="shared" si="217"/>
        <v>1887162.1621621619</v>
      </c>
    </row>
    <row r="706" spans="1:19" s="63" customFormat="1">
      <c r="A706" s="72" t="s">
        <v>627</v>
      </c>
      <c r="B706" s="63" t="s">
        <v>26</v>
      </c>
      <c r="C706" s="64">
        <v>106</v>
      </c>
      <c r="D706" s="65" t="s">
        <v>43</v>
      </c>
      <c r="E706" s="66">
        <v>1</v>
      </c>
      <c r="F706" s="67">
        <v>1</v>
      </c>
      <c r="G706" s="68" t="s">
        <v>21</v>
      </c>
      <c r="H706" s="67">
        <v>20</v>
      </c>
      <c r="I706" s="68" t="s">
        <v>43</v>
      </c>
      <c r="J706" s="69">
        <f>1740000/20</f>
        <v>87000</v>
      </c>
      <c r="K706" s="65" t="s">
        <v>43</v>
      </c>
      <c r="L706" s="70"/>
      <c r="M706" s="70">
        <v>0.17</v>
      </c>
      <c r="N706" s="64">
        <f>40+2+20+3+1+1+20+1+40-2</f>
        <v>126</v>
      </c>
      <c r="O706" s="68" t="s">
        <v>43</v>
      </c>
      <c r="P706" s="64">
        <f t="shared" si="225"/>
        <v>0</v>
      </c>
      <c r="Q706" s="68" t="s">
        <v>43</v>
      </c>
      <c r="R706" s="69">
        <f t="shared" si="226"/>
        <v>0</v>
      </c>
      <c r="S706" s="69">
        <f t="shared" si="217"/>
        <v>0</v>
      </c>
    </row>
    <row r="707" spans="1:19">
      <c r="A707" s="34" t="s">
        <v>628</v>
      </c>
      <c r="B707" s="2" t="s">
        <v>26</v>
      </c>
      <c r="C707" s="3">
        <v>180</v>
      </c>
      <c r="D707" s="4" t="s">
        <v>43</v>
      </c>
      <c r="F707" s="6">
        <v>1</v>
      </c>
      <c r="G707" s="7" t="s">
        <v>21</v>
      </c>
      <c r="H707" s="6">
        <v>20</v>
      </c>
      <c r="I707" s="7" t="s">
        <v>43</v>
      </c>
      <c r="J707" s="8">
        <f>1680000/20</f>
        <v>84000</v>
      </c>
      <c r="K707" s="4" t="s">
        <v>43</v>
      </c>
      <c r="M707" s="9">
        <v>0.17</v>
      </c>
      <c r="O707" s="7" t="s">
        <v>43</v>
      </c>
      <c r="P707" s="3">
        <f t="shared" si="225"/>
        <v>180</v>
      </c>
      <c r="Q707" s="7" t="s">
        <v>43</v>
      </c>
      <c r="R707" s="8">
        <f t="shared" si="226"/>
        <v>12549600</v>
      </c>
      <c r="S707" s="32">
        <f t="shared" si="217"/>
        <v>11305945.945945945</v>
      </c>
    </row>
    <row r="708" spans="1:19">
      <c r="A708" s="159" t="s">
        <v>629</v>
      </c>
      <c r="B708" s="160" t="s">
        <v>26</v>
      </c>
      <c r="C708" s="161">
        <v>100</v>
      </c>
      <c r="D708" s="162" t="s">
        <v>43</v>
      </c>
      <c r="E708" s="163"/>
      <c r="F708" s="164">
        <v>1</v>
      </c>
      <c r="G708" s="165" t="s">
        <v>21</v>
      </c>
      <c r="H708" s="164">
        <v>20</v>
      </c>
      <c r="I708" s="165" t="s">
        <v>43</v>
      </c>
      <c r="J708" s="166">
        <f>1680000/20</f>
        <v>84000</v>
      </c>
      <c r="K708" s="162" t="s">
        <v>43</v>
      </c>
      <c r="L708" s="167"/>
      <c r="M708" s="167">
        <v>0.17</v>
      </c>
      <c r="N708" s="161">
        <f>(40-38)+40</f>
        <v>42</v>
      </c>
      <c r="O708" s="165" t="s">
        <v>43</v>
      </c>
      <c r="P708" s="161">
        <f t="shared" si="225"/>
        <v>58</v>
      </c>
      <c r="Q708" s="165" t="s">
        <v>43</v>
      </c>
      <c r="R708" s="166">
        <f t="shared" si="226"/>
        <v>4043760</v>
      </c>
      <c r="S708" s="42">
        <f t="shared" si="217"/>
        <v>3643027.0270270268</v>
      </c>
    </row>
    <row r="709" spans="1:19">
      <c r="A709" s="159" t="s">
        <v>629</v>
      </c>
      <c r="B709" s="160" t="s">
        <v>26</v>
      </c>
      <c r="C709" s="161"/>
      <c r="D709" s="162" t="s">
        <v>43</v>
      </c>
      <c r="E709" s="163">
        <v>5</v>
      </c>
      <c r="F709" s="164">
        <v>1</v>
      </c>
      <c r="G709" s="165" t="s">
        <v>21</v>
      </c>
      <c r="H709" s="164">
        <v>20</v>
      </c>
      <c r="I709" s="165" t="s">
        <v>43</v>
      </c>
      <c r="J709" s="166">
        <f>1740000/20</f>
        <v>87000</v>
      </c>
      <c r="K709" s="162" t="s">
        <v>43</v>
      </c>
      <c r="L709" s="167"/>
      <c r="M709" s="167">
        <v>0.17</v>
      </c>
      <c r="N709" s="161"/>
      <c r="O709" s="165" t="s">
        <v>43</v>
      </c>
      <c r="P709" s="161">
        <f t="shared" ref="P709" si="227">(C709+(E709*F709*H709))-N709</f>
        <v>100</v>
      </c>
      <c r="Q709" s="165" t="s">
        <v>43</v>
      </c>
      <c r="R709" s="166">
        <f t="shared" ref="R709" si="228">P709*(J709-(J709*L709)-((J709-(J709*L709))*M709))</f>
        <v>7221000</v>
      </c>
      <c r="S709" s="42">
        <f t="shared" ref="S709" si="229">R709/1.11</f>
        <v>6505405.405405405</v>
      </c>
    </row>
    <row r="710" spans="1:19" s="63" customFormat="1">
      <c r="A710" s="72" t="s">
        <v>630</v>
      </c>
      <c r="B710" s="63" t="s">
        <v>26</v>
      </c>
      <c r="C710" s="64">
        <v>15.5</v>
      </c>
      <c r="D710" s="65" t="s">
        <v>43</v>
      </c>
      <c r="E710" s="66"/>
      <c r="F710" s="67">
        <v>1</v>
      </c>
      <c r="G710" s="68" t="s">
        <v>21</v>
      </c>
      <c r="H710" s="67">
        <v>20</v>
      </c>
      <c r="I710" s="68" t="s">
        <v>43</v>
      </c>
      <c r="J710" s="69">
        <f>2352000/20</f>
        <v>117600</v>
      </c>
      <c r="K710" s="65" t="s">
        <v>43</v>
      </c>
      <c r="L710" s="70"/>
      <c r="M710" s="70">
        <v>0.17</v>
      </c>
      <c r="N710" s="64">
        <f>6+20-10.5</f>
        <v>15.5</v>
      </c>
      <c r="O710" s="232" t="s">
        <v>43</v>
      </c>
      <c r="P710" s="64">
        <f t="shared" si="225"/>
        <v>0</v>
      </c>
      <c r="Q710" s="68" t="s">
        <v>43</v>
      </c>
      <c r="R710" s="69">
        <f t="shared" si="226"/>
        <v>0</v>
      </c>
      <c r="S710" s="69">
        <f t="shared" si="217"/>
        <v>0</v>
      </c>
    </row>
    <row r="711" spans="1:19" s="45" customFormat="1">
      <c r="A711" s="44" t="s">
        <v>724</v>
      </c>
      <c r="B711" s="45" t="s">
        <v>26</v>
      </c>
      <c r="C711" s="46"/>
      <c r="D711" s="47" t="s">
        <v>43</v>
      </c>
      <c r="E711" s="48">
        <v>3</v>
      </c>
      <c r="F711" s="49">
        <v>1</v>
      </c>
      <c r="G711" s="50" t="s">
        <v>21</v>
      </c>
      <c r="H711" s="49">
        <v>20</v>
      </c>
      <c r="I711" s="50" t="s">
        <v>43</v>
      </c>
      <c r="J711" s="51">
        <f>2352000/20</f>
        <v>117600</v>
      </c>
      <c r="K711" s="47" t="s">
        <v>43</v>
      </c>
      <c r="L711" s="52"/>
      <c r="M711" s="52">
        <v>0.17</v>
      </c>
      <c r="N711" s="46">
        <v>20</v>
      </c>
      <c r="O711" s="116" t="s">
        <v>43</v>
      </c>
      <c r="P711" s="46">
        <f t="shared" si="225"/>
        <v>40</v>
      </c>
      <c r="Q711" s="50" t="s">
        <v>43</v>
      </c>
      <c r="R711" s="51">
        <f t="shared" si="226"/>
        <v>3904320</v>
      </c>
      <c r="S711" s="51">
        <f t="shared" si="217"/>
        <v>3517405.405405405</v>
      </c>
    </row>
    <row r="712" spans="1:19">
      <c r="A712" s="159" t="s">
        <v>631</v>
      </c>
      <c r="B712" s="160" t="s">
        <v>26</v>
      </c>
      <c r="C712" s="161">
        <v>100</v>
      </c>
      <c r="D712" s="162" t="s">
        <v>43</v>
      </c>
      <c r="E712" s="163"/>
      <c r="F712" s="164">
        <v>1</v>
      </c>
      <c r="G712" s="165" t="s">
        <v>21</v>
      </c>
      <c r="H712" s="164">
        <v>20</v>
      </c>
      <c r="I712" s="165" t="s">
        <v>43</v>
      </c>
      <c r="J712" s="166">
        <f>2280000/20</f>
        <v>114000</v>
      </c>
      <c r="K712" s="162" t="s">
        <v>43</v>
      </c>
      <c r="L712" s="167"/>
      <c r="M712" s="167">
        <v>0.17</v>
      </c>
      <c r="N712" s="161">
        <f>(20-10)+5+20+1+60</f>
        <v>96</v>
      </c>
      <c r="O712" s="165" t="s">
        <v>43</v>
      </c>
      <c r="P712" s="161">
        <f t="shared" si="225"/>
        <v>4</v>
      </c>
      <c r="Q712" s="165" t="s">
        <v>43</v>
      </c>
      <c r="R712" s="166">
        <f t="shared" si="226"/>
        <v>378480</v>
      </c>
      <c r="S712" s="42">
        <f t="shared" si="217"/>
        <v>340972.97297297296</v>
      </c>
    </row>
    <row r="713" spans="1:19">
      <c r="A713" s="159" t="s">
        <v>631</v>
      </c>
      <c r="B713" s="160" t="s">
        <v>26</v>
      </c>
      <c r="C713" s="161"/>
      <c r="D713" s="162" t="s">
        <v>43</v>
      </c>
      <c r="E713" s="163">
        <v>4</v>
      </c>
      <c r="F713" s="164">
        <v>1</v>
      </c>
      <c r="G713" s="165" t="s">
        <v>21</v>
      </c>
      <c r="H713" s="164">
        <v>20</v>
      </c>
      <c r="I713" s="165" t="s">
        <v>43</v>
      </c>
      <c r="J713" s="166">
        <f>2352000/20</f>
        <v>117600</v>
      </c>
      <c r="K713" s="162" t="s">
        <v>43</v>
      </c>
      <c r="L713" s="167"/>
      <c r="M713" s="167">
        <v>0.17</v>
      </c>
      <c r="N713" s="161"/>
      <c r="O713" s="165" t="s">
        <v>43</v>
      </c>
      <c r="P713" s="161">
        <f t="shared" ref="P713" si="230">(C713+(E713*F713*H713))-N713</f>
        <v>80</v>
      </c>
      <c r="Q713" s="165" t="s">
        <v>43</v>
      </c>
      <c r="R713" s="166">
        <f t="shared" ref="R713" si="231">P713*(J713-(J713*L713)-((J713-(J713*L713))*M713))</f>
        <v>7808640</v>
      </c>
      <c r="S713" s="42">
        <f t="shared" ref="S713" si="232">R713/1.11</f>
        <v>7034810.81081081</v>
      </c>
    </row>
    <row r="714" spans="1:19">
      <c r="A714" s="34" t="s">
        <v>632</v>
      </c>
      <c r="B714" s="2" t="s">
        <v>26</v>
      </c>
      <c r="C714" s="3">
        <v>26</v>
      </c>
      <c r="D714" s="4" t="s">
        <v>43</v>
      </c>
      <c r="F714" s="6">
        <v>1</v>
      </c>
      <c r="G714" s="7" t="s">
        <v>21</v>
      </c>
      <c r="H714" s="6">
        <v>40</v>
      </c>
      <c r="I714" s="7" t="s">
        <v>43</v>
      </c>
      <c r="J714" s="8">
        <f>2688000/40</f>
        <v>67200</v>
      </c>
      <c r="K714" s="4" t="s">
        <v>43</v>
      </c>
      <c r="M714" s="9">
        <v>0.17</v>
      </c>
      <c r="O714" s="7" t="s">
        <v>43</v>
      </c>
      <c r="P714" s="3">
        <f t="shared" si="225"/>
        <v>26</v>
      </c>
      <c r="Q714" s="7" t="s">
        <v>43</v>
      </c>
      <c r="R714" s="8">
        <f t="shared" si="226"/>
        <v>1450176</v>
      </c>
      <c r="S714" s="32">
        <f t="shared" si="217"/>
        <v>1306464.8648648649</v>
      </c>
    </row>
    <row r="715" spans="1:19" s="17" customFormat="1">
      <c r="A715" s="16" t="s">
        <v>633</v>
      </c>
      <c r="B715" s="17" t="s">
        <v>26</v>
      </c>
      <c r="C715" s="18"/>
      <c r="D715" s="19" t="s">
        <v>43</v>
      </c>
      <c r="E715" s="20"/>
      <c r="F715" s="21">
        <v>1</v>
      </c>
      <c r="G715" s="22" t="s">
        <v>21</v>
      </c>
      <c r="H715" s="21">
        <v>20</v>
      </c>
      <c r="I715" s="22" t="s">
        <v>43</v>
      </c>
      <c r="J715" s="23">
        <v>120000</v>
      </c>
      <c r="K715" s="19" t="s">
        <v>43</v>
      </c>
      <c r="L715" s="24"/>
      <c r="M715" s="24">
        <v>0.17</v>
      </c>
      <c r="N715" s="18"/>
      <c r="O715" s="22" t="s">
        <v>43</v>
      </c>
      <c r="P715" s="18">
        <f t="shared" si="225"/>
        <v>0</v>
      </c>
      <c r="Q715" s="22" t="s">
        <v>43</v>
      </c>
      <c r="R715" s="23">
        <f t="shared" si="226"/>
        <v>0</v>
      </c>
      <c r="S715" s="23">
        <f t="shared" si="217"/>
        <v>0</v>
      </c>
    </row>
    <row r="716" spans="1:19" s="26" customFormat="1">
      <c r="A716" s="25" t="s">
        <v>634</v>
      </c>
      <c r="B716" s="26" t="s">
        <v>26</v>
      </c>
      <c r="C716" s="27">
        <v>11</v>
      </c>
      <c r="D716" s="28" t="s">
        <v>43</v>
      </c>
      <c r="E716" s="29"/>
      <c r="F716" s="30">
        <v>1</v>
      </c>
      <c r="G716" s="31" t="s">
        <v>21</v>
      </c>
      <c r="H716" s="30">
        <v>25</v>
      </c>
      <c r="I716" s="31" t="s">
        <v>43</v>
      </c>
      <c r="J716" s="32">
        <f>1560000/25</f>
        <v>62400</v>
      </c>
      <c r="K716" s="28" t="s">
        <v>43</v>
      </c>
      <c r="L716" s="33"/>
      <c r="M716" s="33">
        <v>0.17</v>
      </c>
      <c r="N716" s="27"/>
      <c r="O716" s="31" t="s">
        <v>43</v>
      </c>
      <c r="P716" s="27">
        <f t="shared" si="225"/>
        <v>11</v>
      </c>
      <c r="Q716" s="31" t="s">
        <v>43</v>
      </c>
      <c r="R716" s="32">
        <f t="shared" si="226"/>
        <v>569712</v>
      </c>
      <c r="S716" s="32">
        <f t="shared" si="217"/>
        <v>513254.05405405402</v>
      </c>
    </row>
    <row r="717" spans="1:19" s="45" customFormat="1">
      <c r="A717" s="44" t="s">
        <v>635</v>
      </c>
      <c r="B717" s="45" t="s">
        <v>26</v>
      </c>
      <c r="C717" s="46">
        <v>5</v>
      </c>
      <c r="D717" s="47" t="s">
        <v>43</v>
      </c>
      <c r="E717" s="48"/>
      <c r="F717" s="49">
        <v>1</v>
      </c>
      <c r="G717" s="50" t="s">
        <v>21</v>
      </c>
      <c r="H717" s="49">
        <v>10</v>
      </c>
      <c r="I717" s="50" t="s">
        <v>43</v>
      </c>
      <c r="J717" s="51">
        <f>2280000/10</f>
        <v>228000</v>
      </c>
      <c r="K717" s="47" t="s">
        <v>43</v>
      </c>
      <c r="L717" s="52"/>
      <c r="M717" s="52">
        <v>0.17</v>
      </c>
      <c r="N717" s="46"/>
      <c r="O717" s="50" t="s">
        <v>43</v>
      </c>
      <c r="P717" s="46">
        <f t="shared" si="225"/>
        <v>5</v>
      </c>
      <c r="Q717" s="50" t="s">
        <v>43</v>
      </c>
      <c r="R717" s="51">
        <f t="shared" si="226"/>
        <v>946200</v>
      </c>
      <c r="S717" s="32">
        <f t="shared" si="217"/>
        <v>852432.43243243231</v>
      </c>
    </row>
    <row r="718" spans="1:19" s="45" customFormat="1">
      <c r="A718" s="44" t="s">
        <v>636</v>
      </c>
      <c r="B718" s="45" t="s">
        <v>26</v>
      </c>
      <c r="C718" s="46">
        <v>7.5</v>
      </c>
      <c r="D718" s="47" t="s">
        <v>43</v>
      </c>
      <c r="E718" s="48">
        <f>3+2</f>
        <v>5</v>
      </c>
      <c r="F718" s="49">
        <v>1</v>
      </c>
      <c r="G718" s="50" t="s">
        <v>21</v>
      </c>
      <c r="H718" s="49">
        <v>10</v>
      </c>
      <c r="I718" s="50" t="s">
        <v>43</v>
      </c>
      <c r="J718" s="51">
        <f>2280000/10</f>
        <v>228000</v>
      </c>
      <c r="K718" s="47" t="s">
        <v>43</v>
      </c>
      <c r="L718" s="52"/>
      <c r="M718" s="52">
        <v>0.17</v>
      </c>
      <c r="N718" s="46">
        <f>30+1+3+3+10</f>
        <v>47</v>
      </c>
      <c r="O718" s="142" t="s">
        <v>43</v>
      </c>
      <c r="P718" s="46">
        <f t="shared" si="225"/>
        <v>10.5</v>
      </c>
      <c r="Q718" s="50" t="s">
        <v>43</v>
      </c>
      <c r="R718" s="51">
        <f t="shared" si="226"/>
        <v>1987020</v>
      </c>
      <c r="S718" s="32">
        <f t="shared" si="217"/>
        <v>1790108.1081081079</v>
      </c>
    </row>
    <row r="719" spans="1:19" s="45" customFormat="1">
      <c r="A719" s="44" t="s">
        <v>637</v>
      </c>
      <c r="B719" s="45" t="s">
        <v>26</v>
      </c>
      <c r="C719" s="46">
        <v>80</v>
      </c>
      <c r="D719" s="47" t="s">
        <v>43</v>
      </c>
      <c r="E719" s="48"/>
      <c r="F719" s="49">
        <v>1</v>
      </c>
      <c r="G719" s="50" t="s">
        <v>21</v>
      </c>
      <c r="H719" s="49">
        <v>10</v>
      </c>
      <c r="I719" s="50" t="s">
        <v>43</v>
      </c>
      <c r="J719" s="51">
        <f>2040000/10</f>
        <v>204000</v>
      </c>
      <c r="K719" s="47" t="s">
        <v>43</v>
      </c>
      <c r="L719" s="52"/>
      <c r="M719" s="52">
        <v>0.17</v>
      </c>
      <c r="N719" s="46"/>
      <c r="O719" s="50" t="s">
        <v>43</v>
      </c>
      <c r="P719" s="46">
        <f t="shared" si="225"/>
        <v>80</v>
      </c>
      <c r="Q719" s="50" t="s">
        <v>43</v>
      </c>
      <c r="R719" s="51">
        <f t="shared" si="226"/>
        <v>13545600</v>
      </c>
      <c r="S719" s="32">
        <f t="shared" si="217"/>
        <v>12203243.243243242</v>
      </c>
    </row>
    <row r="720" spans="1:19" s="85" customFormat="1">
      <c r="A720" s="84" t="s">
        <v>638</v>
      </c>
      <c r="B720" s="85" t="s">
        <v>26</v>
      </c>
      <c r="C720" s="86">
        <v>45</v>
      </c>
      <c r="D720" s="87" t="s">
        <v>43</v>
      </c>
      <c r="E720" s="92"/>
      <c r="F720" s="88">
        <v>1</v>
      </c>
      <c r="G720" s="89" t="s">
        <v>21</v>
      </c>
      <c r="H720" s="88">
        <v>10</v>
      </c>
      <c r="I720" s="89" t="s">
        <v>43</v>
      </c>
      <c r="J720" s="90">
        <f>2040000/10</f>
        <v>204000</v>
      </c>
      <c r="K720" s="87" t="s">
        <v>43</v>
      </c>
      <c r="L720" s="91"/>
      <c r="M720" s="91">
        <v>0.17</v>
      </c>
      <c r="N720" s="86"/>
      <c r="O720" s="89" t="s">
        <v>43</v>
      </c>
      <c r="P720" s="86">
        <f t="shared" si="225"/>
        <v>45</v>
      </c>
      <c r="Q720" s="89" t="s">
        <v>43</v>
      </c>
      <c r="R720" s="90">
        <f t="shared" si="226"/>
        <v>7619400</v>
      </c>
      <c r="S720" s="32">
        <f t="shared" si="217"/>
        <v>6864324.3243243238</v>
      </c>
    </row>
    <row r="721" spans="1:19" s="17" customFormat="1">
      <c r="A721" s="16" t="s">
        <v>639</v>
      </c>
      <c r="B721" s="17" t="s">
        <v>26</v>
      </c>
      <c r="C721" s="18"/>
      <c r="D721" s="19" t="s">
        <v>20</v>
      </c>
      <c r="E721" s="20"/>
      <c r="F721" s="21">
        <v>20</v>
      </c>
      <c r="G721" s="22" t="s">
        <v>34</v>
      </c>
      <c r="H721" s="21">
        <v>6</v>
      </c>
      <c r="I721" s="22" t="s">
        <v>20</v>
      </c>
      <c r="J721" s="23">
        <v>14500</v>
      </c>
      <c r="K721" s="19" t="s">
        <v>20</v>
      </c>
      <c r="L721" s="24"/>
      <c r="M721" s="24">
        <v>0.17</v>
      </c>
      <c r="N721" s="18"/>
      <c r="O721" s="22" t="s">
        <v>20</v>
      </c>
      <c r="P721" s="18">
        <f t="shared" si="225"/>
        <v>0</v>
      </c>
      <c r="Q721" s="22" t="s">
        <v>20</v>
      </c>
      <c r="R721" s="23">
        <f t="shared" si="226"/>
        <v>0</v>
      </c>
      <c r="S721" s="23">
        <f t="shared" si="217"/>
        <v>0</v>
      </c>
    </row>
    <row r="722" spans="1:19" s="45" customFormat="1">
      <c r="A722" s="44" t="s">
        <v>640</v>
      </c>
      <c r="B722" s="45" t="s">
        <v>26</v>
      </c>
      <c r="C722" s="46">
        <v>20</v>
      </c>
      <c r="D722" s="47" t="s">
        <v>20</v>
      </c>
      <c r="E722" s="48">
        <v>3</v>
      </c>
      <c r="F722" s="49">
        <v>1</v>
      </c>
      <c r="G722" s="50" t="s">
        <v>21</v>
      </c>
      <c r="H722" s="49">
        <v>6</v>
      </c>
      <c r="I722" s="50" t="s">
        <v>20</v>
      </c>
      <c r="J722" s="51">
        <f>2130000/6</f>
        <v>355000</v>
      </c>
      <c r="K722" s="47" t="s">
        <v>20</v>
      </c>
      <c r="L722" s="52"/>
      <c r="M722" s="52">
        <v>0.17</v>
      </c>
      <c r="N722" s="46">
        <f>2+3+6</f>
        <v>11</v>
      </c>
      <c r="O722" s="50" t="s">
        <v>20</v>
      </c>
      <c r="P722" s="46">
        <f t="shared" si="225"/>
        <v>27</v>
      </c>
      <c r="Q722" s="50" t="s">
        <v>20</v>
      </c>
      <c r="R722" s="51">
        <f t="shared" si="226"/>
        <v>7955550</v>
      </c>
      <c r="S722" s="51">
        <f t="shared" si="217"/>
        <v>7167162.1621621614</v>
      </c>
    </row>
    <row r="723" spans="1:19" s="63" customFormat="1">
      <c r="A723" s="72" t="s">
        <v>641</v>
      </c>
      <c r="B723" s="63" t="s">
        <v>26</v>
      </c>
      <c r="C723" s="64"/>
      <c r="D723" s="65" t="s">
        <v>20</v>
      </c>
      <c r="E723" s="66"/>
      <c r="F723" s="67">
        <v>1</v>
      </c>
      <c r="G723" s="68" t="s">
        <v>21</v>
      </c>
      <c r="H723" s="67">
        <v>6</v>
      </c>
      <c r="I723" s="68" t="s">
        <v>20</v>
      </c>
      <c r="J723" s="69">
        <f>930000/6</f>
        <v>155000</v>
      </c>
      <c r="K723" s="65" t="s">
        <v>20</v>
      </c>
      <c r="L723" s="70"/>
      <c r="M723" s="70">
        <v>0.17</v>
      </c>
      <c r="N723" s="64"/>
      <c r="O723" s="68" t="s">
        <v>20</v>
      </c>
      <c r="P723" s="64">
        <f t="shared" si="225"/>
        <v>0</v>
      </c>
      <c r="Q723" s="68" t="s">
        <v>20</v>
      </c>
      <c r="R723" s="69">
        <f t="shared" si="226"/>
        <v>0</v>
      </c>
      <c r="S723" s="69">
        <f t="shared" si="217"/>
        <v>0</v>
      </c>
    </row>
    <row r="724" spans="1:19" s="45" customFormat="1">
      <c r="A724" s="44" t="s">
        <v>642</v>
      </c>
      <c r="B724" s="45" t="s">
        <v>26</v>
      </c>
      <c r="C724" s="46">
        <v>25</v>
      </c>
      <c r="D724" s="47" t="s">
        <v>20</v>
      </c>
      <c r="E724" s="48">
        <v>5</v>
      </c>
      <c r="F724" s="49">
        <v>1</v>
      </c>
      <c r="G724" s="50" t="s">
        <v>21</v>
      </c>
      <c r="H724" s="49">
        <v>6</v>
      </c>
      <c r="I724" s="50" t="s">
        <v>20</v>
      </c>
      <c r="J724" s="51">
        <f>480000/6</f>
        <v>80000</v>
      </c>
      <c r="K724" s="47" t="s">
        <v>20</v>
      </c>
      <c r="L724" s="52"/>
      <c r="M724" s="52">
        <v>0.17</v>
      </c>
      <c r="N724" s="46">
        <f>2+3+6+3+6</f>
        <v>20</v>
      </c>
      <c r="O724" s="50" t="s">
        <v>20</v>
      </c>
      <c r="P724" s="46">
        <f t="shared" si="225"/>
        <v>35</v>
      </c>
      <c r="Q724" s="50" t="s">
        <v>20</v>
      </c>
      <c r="R724" s="51">
        <f t="shared" si="226"/>
        <v>2324000</v>
      </c>
      <c r="S724" s="51">
        <f t="shared" si="217"/>
        <v>2093693.6936936935</v>
      </c>
    </row>
    <row r="725" spans="1:19" s="17" customFormat="1">
      <c r="A725" s="16" t="s">
        <v>643</v>
      </c>
      <c r="B725" s="17" t="s">
        <v>26</v>
      </c>
      <c r="C725" s="18"/>
      <c r="D725" s="19" t="s">
        <v>20</v>
      </c>
      <c r="E725" s="20"/>
      <c r="F725" s="21">
        <v>1</v>
      </c>
      <c r="G725" s="22" t="s">
        <v>21</v>
      </c>
      <c r="H725" s="21">
        <v>6</v>
      </c>
      <c r="I725" s="22" t="s">
        <v>20</v>
      </c>
      <c r="J725" s="23">
        <f>990000/6</f>
        <v>165000</v>
      </c>
      <c r="K725" s="19" t="s">
        <v>20</v>
      </c>
      <c r="L725" s="24"/>
      <c r="M725" s="24">
        <v>0.17</v>
      </c>
      <c r="N725" s="18"/>
      <c r="O725" s="22" t="s">
        <v>20</v>
      </c>
      <c r="P725" s="18">
        <f t="shared" si="225"/>
        <v>0</v>
      </c>
      <c r="Q725" s="22" t="s">
        <v>20</v>
      </c>
      <c r="R725" s="23">
        <f t="shared" si="226"/>
        <v>0</v>
      </c>
      <c r="S725" s="23">
        <f t="shared" si="217"/>
        <v>0</v>
      </c>
    </row>
    <row r="726" spans="1:19" s="26" customFormat="1">
      <c r="A726" s="138" t="s">
        <v>644</v>
      </c>
      <c r="B726" s="26" t="s">
        <v>645</v>
      </c>
      <c r="C726" s="27">
        <v>90</v>
      </c>
      <c r="D726" s="28" t="s">
        <v>43</v>
      </c>
      <c r="E726" s="29"/>
      <c r="F726" s="30">
        <v>1</v>
      </c>
      <c r="G726" s="31" t="s">
        <v>21</v>
      </c>
      <c r="H726" s="30">
        <v>30</v>
      </c>
      <c r="I726" s="31" t="s">
        <v>43</v>
      </c>
      <c r="J726" s="32">
        <v>130000</v>
      </c>
      <c r="K726" s="28" t="s">
        <v>43</v>
      </c>
      <c r="L726" s="33">
        <v>0.17499999999999999</v>
      </c>
      <c r="M726" s="33">
        <v>0.03</v>
      </c>
      <c r="N726" s="27">
        <f>5+10+3</f>
        <v>18</v>
      </c>
      <c r="O726" s="31" t="s">
        <v>43</v>
      </c>
      <c r="P726" s="27">
        <f t="shared" si="225"/>
        <v>72</v>
      </c>
      <c r="Q726" s="31" t="s">
        <v>43</v>
      </c>
      <c r="R726" s="32">
        <f t="shared" si="226"/>
        <v>7490340</v>
      </c>
      <c r="S726" s="32">
        <f t="shared" si="217"/>
        <v>6748054.0540540535</v>
      </c>
    </row>
    <row r="727" spans="1:19" s="17" customFormat="1">
      <c r="A727" s="137" t="s">
        <v>646</v>
      </c>
      <c r="B727" s="17" t="s">
        <v>645</v>
      </c>
      <c r="C727" s="18"/>
      <c r="D727" s="19" t="s">
        <v>43</v>
      </c>
      <c r="E727" s="20"/>
      <c r="F727" s="21">
        <v>1</v>
      </c>
      <c r="G727" s="22" t="s">
        <v>21</v>
      </c>
      <c r="H727" s="21">
        <v>30</v>
      </c>
      <c r="I727" s="22" t="s">
        <v>43</v>
      </c>
      <c r="J727" s="23">
        <v>216000</v>
      </c>
      <c r="K727" s="19" t="s">
        <v>43</v>
      </c>
      <c r="L727" s="24"/>
      <c r="M727" s="24">
        <v>0.15</v>
      </c>
      <c r="N727" s="18"/>
      <c r="O727" s="22" t="s">
        <v>43</v>
      </c>
      <c r="P727" s="18">
        <f t="shared" si="225"/>
        <v>0</v>
      </c>
      <c r="Q727" s="22" t="s">
        <v>43</v>
      </c>
      <c r="R727" s="23">
        <f t="shared" si="226"/>
        <v>0</v>
      </c>
      <c r="S727" s="23">
        <f t="shared" si="217"/>
        <v>0</v>
      </c>
    </row>
    <row r="728" spans="1:19" s="17" customFormat="1">
      <c r="A728" s="137" t="s">
        <v>647</v>
      </c>
      <c r="B728" s="17" t="s">
        <v>645</v>
      </c>
      <c r="C728" s="18"/>
      <c r="D728" s="19" t="s">
        <v>43</v>
      </c>
      <c r="E728" s="20"/>
      <c r="F728" s="21">
        <v>1</v>
      </c>
      <c r="G728" s="22" t="s">
        <v>21</v>
      </c>
      <c r="H728" s="21">
        <v>30</v>
      </c>
      <c r="I728" s="22" t="s">
        <v>43</v>
      </c>
      <c r="J728" s="23">
        <v>216000</v>
      </c>
      <c r="K728" s="19" t="s">
        <v>43</v>
      </c>
      <c r="L728" s="24"/>
      <c r="M728" s="24">
        <v>0.15</v>
      </c>
      <c r="N728" s="18"/>
      <c r="O728" s="22" t="s">
        <v>43</v>
      </c>
      <c r="P728" s="18">
        <f t="shared" si="225"/>
        <v>0</v>
      </c>
      <c r="Q728" s="22" t="s">
        <v>43</v>
      </c>
      <c r="R728" s="23">
        <f t="shared" si="226"/>
        <v>0</v>
      </c>
      <c r="S728" s="23">
        <f t="shared" si="217"/>
        <v>0</v>
      </c>
    </row>
    <row r="729" spans="1:19" s="17" customFormat="1">
      <c r="A729" s="137" t="s">
        <v>648</v>
      </c>
      <c r="B729" s="17" t="s">
        <v>645</v>
      </c>
      <c r="C729" s="18"/>
      <c r="D729" s="19" t="s">
        <v>43</v>
      </c>
      <c r="E729" s="20"/>
      <c r="F729" s="21">
        <v>1</v>
      </c>
      <c r="G729" s="22" t="s">
        <v>21</v>
      </c>
      <c r="H729" s="21">
        <v>30</v>
      </c>
      <c r="I729" s="22" t="s">
        <v>43</v>
      </c>
      <c r="J729" s="23">
        <v>220000</v>
      </c>
      <c r="K729" s="19" t="s">
        <v>43</v>
      </c>
      <c r="L729" s="24"/>
      <c r="M729" s="24">
        <v>0.15</v>
      </c>
      <c r="N729" s="18"/>
      <c r="O729" s="22" t="s">
        <v>43</v>
      </c>
      <c r="P729" s="18">
        <f t="shared" si="225"/>
        <v>0</v>
      </c>
      <c r="Q729" s="22" t="s">
        <v>43</v>
      </c>
      <c r="R729" s="23">
        <f t="shared" si="226"/>
        <v>0</v>
      </c>
      <c r="S729" s="23">
        <f t="shared" si="217"/>
        <v>0</v>
      </c>
    </row>
    <row r="730" spans="1:19" s="26" customFormat="1">
      <c r="A730" s="138" t="s">
        <v>649</v>
      </c>
      <c r="B730" s="26" t="s">
        <v>645</v>
      </c>
      <c r="C730" s="27">
        <v>9</v>
      </c>
      <c r="D730" s="28" t="s">
        <v>43</v>
      </c>
      <c r="E730" s="29"/>
      <c r="F730" s="30">
        <v>1</v>
      </c>
      <c r="G730" s="31" t="s">
        <v>21</v>
      </c>
      <c r="H730" s="30">
        <v>20</v>
      </c>
      <c r="I730" s="31" t="s">
        <v>43</v>
      </c>
      <c r="J730" s="32">
        <v>285600</v>
      </c>
      <c r="K730" s="28" t="s">
        <v>43</v>
      </c>
      <c r="L730" s="33">
        <v>0.17499999999999999</v>
      </c>
      <c r="M730" s="33">
        <v>0.03</v>
      </c>
      <c r="N730" s="27">
        <f>2+3+1</f>
        <v>6</v>
      </c>
      <c r="O730" s="31" t="s">
        <v>43</v>
      </c>
      <c r="P730" s="27">
        <f t="shared" si="225"/>
        <v>3</v>
      </c>
      <c r="Q730" s="31" t="s">
        <v>43</v>
      </c>
      <c r="R730" s="32">
        <f t="shared" si="226"/>
        <v>685654.2</v>
      </c>
      <c r="S730" s="32">
        <f t="shared" si="217"/>
        <v>617706.48648648639</v>
      </c>
    </row>
    <row r="731" spans="1:19" s="26" customFormat="1">
      <c r="A731" s="138" t="s">
        <v>650</v>
      </c>
      <c r="B731" s="45" t="s">
        <v>192</v>
      </c>
      <c r="C731" s="27"/>
      <c r="D731" s="28" t="s">
        <v>43</v>
      </c>
      <c r="E731" s="29">
        <v>20</v>
      </c>
      <c r="F731" s="30">
        <v>1</v>
      </c>
      <c r="G731" s="31" t="s">
        <v>21</v>
      </c>
      <c r="H731" s="30">
        <v>5</v>
      </c>
      <c r="I731" s="31" t="s">
        <v>43</v>
      </c>
      <c r="J731" s="32">
        <v>250000</v>
      </c>
      <c r="K731" s="28" t="s">
        <v>43</v>
      </c>
      <c r="L731" s="33"/>
      <c r="M731" s="33"/>
      <c r="N731" s="27">
        <v>1</v>
      </c>
      <c r="O731" s="228" t="s">
        <v>43</v>
      </c>
      <c r="P731" s="27">
        <f t="shared" si="225"/>
        <v>99</v>
      </c>
      <c r="Q731" s="31" t="s">
        <v>43</v>
      </c>
      <c r="R731" s="32">
        <f t="shared" si="226"/>
        <v>24750000</v>
      </c>
      <c r="S731" s="32">
        <f t="shared" si="217"/>
        <v>22297297.297297295</v>
      </c>
    </row>
    <row r="732" spans="1:19">
      <c r="A732" s="15" t="s">
        <v>651</v>
      </c>
      <c r="S732" s="23"/>
    </row>
    <row r="733" spans="1:19" s="45" customFormat="1">
      <c r="A733" s="44" t="s">
        <v>653</v>
      </c>
      <c r="B733" s="45" t="s">
        <v>645</v>
      </c>
      <c r="C733" s="46">
        <v>2444</v>
      </c>
      <c r="D733" s="47" t="s">
        <v>104</v>
      </c>
      <c r="E733" s="48">
        <v>20</v>
      </c>
      <c r="F733" s="49">
        <v>1</v>
      </c>
      <c r="G733" s="50" t="s">
        <v>21</v>
      </c>
      <c r="H733" s="49">
        <v>100</v>
      </c>
      <c r="I733" s="50" t="s">
        <v>104</v>
      </c>
      <c r="J733" s="51">
        <v>14000</v>
      </c>
      <c r="K733" s="47" t="s">
        <v>104</v>
      </c>
      <c r="L733" s="52">
        <v>0.1</v>
      </c>
      <c r="M733" s="52"/>
      <c r="N733" s="46"/>
      <c r="O733" s="50" t="s">
        <v>104</v>
      </c>
      <c r="P733" s="46">
        <f t="shared" ref="P733:P741" si="233">(C733+(E733*F733*H733))-N733</f>
        <v>4444</v>
      </c>
      <c r="Q733" s="50" t="s">
        <v>104</v>
      </c>
      <c r="R733" s="51">
        <f t="shared" ref="R733:R741" si="234">P733*(J733-(J733*L733)-((J733-(J733*L733))*M733))</f>
        <v>55994400</v>
      </c>
      <c r="S733" s="51">
        <f t="shared" ref="S733:S806" si="235">R733/1.11</f>
        <v>50445405.405405402</v>
      </c>
    </row>
    <row r="734" spans="1:19" s="45" customFormat="1">
      <c r="A734" s="44" t="s">
        <v>654</v>
      </c>
      <c r="B734" s="45" t="s">
        <v>645</v>
      </c>
      <c r="C734" s="46">
        <v>675</v>
      </c>
      <c r="D734" s="47" t="s">
        <v>104</v>
      </c>
      <c r="E734" s="48"/>
      <c r="F734" s="49">
        <v>1</v>
      </c>
      <c r="G734" s="50" t="s">
        <v>21</v>
      </c>
      <c r="H734" s="49">
        <v>50</v>
      </c>
      <c r="I734" s="50" t="s">
        <v>104</v>
      </c>
      <c r="J734" s="51">
        <v>24000</v>
      </c>
      <c r="K734" s="47" t="s">
        <v>104</v>
      </c>
      <c r="L734" s="52"/>
      <c r="M734" s="52"/>
      <c r="N734" s="46">
        <v>100</v>
      </c>
      <c r="O734" s="50" t="s">
        <v>104</v>
      </c>
      <c r="P734" s="46">
        <f t="shared" si="233"/>
        <v>575</v>
      </c>
      <c r="Q734" s="50" t="s">
        <v>104</v>
      </c>
      <c r="R734" s="51">
        <f t="shared" si="234"/>
        <v>13800000</v>
      </c>
      <c r="S734" s="51">
        <f t="shared" si="235"/>
        <v>12432432.432432432</v>
      </c>
    </row>
    <row r="735" spans="1:19" s="26" customFormat="1">
      <c r="A735" s="25" t="s">
        <v>652</v>
      </c>
      <c r="B735" s="26" t="s">
        <v>19</v>
      </c>
      <c r="C735" s="27">
        <v>50</v>
      </c>
      <c r="D735" s="28" t="s">
        <v>34</v>
      </c>
      <c r="E735" s="29"/>
      <c r="F735" s="30">
        <v>1</v>
      </c>
      <c r="G735" s="31" t="s">
        <v>21</v>
      </c>
      <c r="H735" s="30">
        <v>50</v>
      </c>
      <c r="I735" s="31" t="s">
        <v>34</v>
      </c>
      <c r="J735" s="32">
        <v>28000</v>
      </c>
      <c r="K735" s="28" t="s">
        <v>34</v>
      </c>
      <c r="L735" s="33">
        <v>0.125</v>
      </c>
      <c r="M735" s="33">
        <v>0.05</v>
      </c>
      <c r="N735" s="27">
        <v>6</v>
      </c>
      <c r="O735" s="31" t="s">
        <v>34</v>
      </c>
      <c r="P735" s="27">
        <f>(C735+(E735*F735*H735))-N735</f>
        <v>44</v>
      </c>
      <c r="Q735" s="31" t="s">
        <v>34</v>
      </c>
      <c r="R735" s="32">
        <f>P735*(J735-(J735*L735)-((J735-(J735*L735))*M735))</f>
        <v>1024100</v>
      </c>
      <c r="S735" s="32">
        <f>R735/1.11</f>
        <v>922612.61261261255</v>
      </c>
    </row>
    <row r="736" spans="1:19" s="17" customFormat="1">
      <c r="A736" s="109" t="s">
        <v>655</v>
      </c>
      <c r="B736" s="17" t="s">
        <v>26</v>
      </c>
      <c r="C736" s="18"/>
      <c r="D736" s="19" t="s">
        <v>34</v>
      </c>
      <c r="E736" s="20"/>
      <c r="F736" s="21">
        <v>40</v>
      </c>
      <c r="G736" s="22" t="s">
        <v>104</v>
      </c>
      <c r="H736" s="21">
        <v>20</v>
      </c>
      <c r="I736" s="22" t="s">
        <v>34</v>
      </c>
      <c r="J736" s="23">
        <f>20000/20</f>
        <v>1000</v>
      </c>
      <c r="K736" s="19" t="s">
        <v>34</v>
      </c>
      <c r="L736" s="24"/>
      <c r="M736" s="24">
        <v>0.17</v>
      </c>
      <c r="N736" s="18"/>
      <c r="O736" s="22" t="s">
        <v>34</v>
      </c>
      <c r="P736" s="18">
        <f>(C736+(E736*F736*H736))-N736</f>
        <v>0</v>
      </c>
      <c r="Q736" s="22" t="s">
        <v>34</v>
      </c>
      <c r="R736" s="23">
        <f>P736*(J736-(J736*L736)-((J736-(J736*L736))*M736))</f>
        <v>0</v>
      </c>
      <c r="S736" s="23">
        <f t="shared" si="235"/>
        <v>0</v>
      </c>
    </row>
    <row r="737" spans="1:19" s="17" customFormat="1">
      <c r="A737" s="230" t="s">
        <v>656</v>
      </c>
      <c r="B737" s="96" t="s">
        <v>26</v>
      </c>
      <c r="C737" s="97">
        <v>40</v>
      </c>
      <c r="D737" s="98" t="s">
        <v>104</v>
      </c>
      <c r="E737" s="105"/>
      <c r="F737" s="100">
        <v>1</v>
      </c>
      <c r="G737" s="101" t="s">
        <v>21</v>
      </c>
      <c r="H737" s="100">
        <v>20</v>
      </c>
      <c r="I737" s="101" t="s">
        <v>104</v>
      </c>
      <c r="J737" s="102">
        <f>780000/20</f>
        <v>39000</v>
      </c>
      <c r="K737" s="98" t="s">
        <v>104</v>
      </c>
      <c r="L737" s="103"/>
      <c r="M737" s="103">
        <v>0.17</v>
      </c>
      <c r="N737" s="97">
        <f>(1000/10)-60</f>
        <v>40</v>
      </c>
      <c r="O737" s="101" t="s">
        <v>104</v>
      </c>
      <c r="P737" s="97">
        <f>(C737+(E737*F737*H737))-N737</f>
        <v>0</v>
      </c>
      <c r="Q737" s="101" t="s">
        <v>104</v>
      </c>
      <c r="R737" s="102">
        <f>P737*(J737-(J737*L737)-((J737-(J737*L737))*M737))</f>
        <v>0</v>
      </c>
      <c r="S737" s="102">
        <f t="shared" si="235"/>
        <v>0</v>
      </c>
    </row>
    <row r="738" spans="1:19" s="26" customFormat="1">
      <c r="A738" s="226" t="s">
        <v>656</v>
      </c>
      <c r="B738" s="36" t="s">
        <v>26</v>
      </c>
      <c r="C738" s="37"/>
      <c r="D738" s="38" t="s">
        <v>104</v>
      </c>
      <c r="E738" s="39">
        <v>5</v>
      </c>
      <c r="F738" s="40">
        <v>1</v>
      </c>
      <c r="G738" s="41" t="s">
        <v>21</v>
      </c>
      <c r="H738" s="40">
        <v>20</v>
      </c>
      <c r="I738" s="41" t="s">
        <v>104</v>
      </c>
      <c r="J738" s="42">
        <f>840000/20</f>
        <v>42000</v>
      </c>
      <c r="K738" s="38" t="s">
        <v>104</v>
      </c>
      <c r="L738" s="43"/>
      <c r="M738" s="43">
        <v>0.17</v>
      </c>
      <c r="N738" s="37">
        <f>(1000/10-40)</f>
        <v>60</v>
      </c>
      <c r="O738" s="41" t="s">
        <v>104</v>
      </c>
      <c r="P738" s="37">
        <f>(C738+(E738*F738*H738))-N738</f>
        <v>40</v>
      </c>
      <c r="Q738" s="41" t="s">
        <v>104</v>
      </c>
      <c r="R738" s="42">
        <f>P738*(J738-(J738*L738)-((J738-(J738*L738))*M738))</f>
        <v>1394400</v>
      </c>
      <c r="S738" s="42">
        <f t="shared" ref="S738" si="236">R738/1.11</f>
        <v>1256216.2162162161</v>
      </c>
    </row>
    <row r="739" spans="1:19" s="16" customFormat="1">
      <c r="A739" s="72" t="s">
        <v>657</v>
      </c>
      <c r="B739" s="16" t="s">
        <v>26</v>
      </c>
      <c r="C739" s="129"/>
      <c r="D739" s="130" t="s">
        <v>104</v>
      </c>
      <c r="E739" s="131"/>
      <c r="F739" s="132">
        <v>1</v>
      </c>
      <c r="G739" s="133" t="s">
        <v>21</v>
      </c>
      <c r="H739" s="132">
        <v>15</v>
      </c>
      <c r="I739" s="133" t="s">
        <v>104</v>
      </c>
      <c r="J739" s="134">
        <f>525000/15</f>
        <v>35000</v>
      </c>
      <c r="K739" s="130" t="s">
        <v>104</v>
      </c>
      <c r="L739" s="135"/>
      <c r="M739" s="135">
        <v>0.17</v>
      </c>
      <c r="N739" s="129"/>
      <c r="O739" s="133" t="s">
        <v>104</v>
      </c>
      <c r="P739" s="129">
        <f>(C739+(E739*F739*H739))-N739</f>
        <v>0</v>
      </c>
      <c r="Q739" s="133" t="s">
        <v>104</v>
      </c>
      <c r="R739" s="134">
        <f>P739*(J739-(J739*L739)-((J739-(J739*L739))*M739))</f>
        <v>0</v>
      </c>
      <c r="S739" s="134">
        <f t="shared" si="235"/>
        <v>0</v>
      </c>
    </row>
    <row r="740" spans="1:19" s="45" customFormat="1">
      <c r="A740" s="108" t="s">
        <v>658</v>
      </c>
      <c r="B740" s="45" t="s">
        <v>659</v>
      </c>
      <c r="C740" s="46">
        <v>490</v>
      </c>
      <c r="D740" s="47" t="s">
        <v>34</v>
      </c>
      <c r="E740" s="48"/>
      <c r="F740" s="49">
        <v>1</v>
      </c>
      <c r="G740" s="50" t="s">
        <v>21</v>
      </c>
      <c r="H740" s="49">
        <v>200</v>
      </c>
      <c r="I740" s="50" t="s">
        <v>34</v>
      </c>
      <c r="J740" s="51">
        <v>11500</v>
      </c>
      <c r="K740" s="47" t="s">
        <v>104</v>
      </c>
      <c r="L740" s="52">
        <v>0.17499999999999999</v>
      </c>
      <c r="M740" s="52">
        <v>0.03</v>
      </c>
      <c r="N740" s="46">
        <v>50</v>
      </c>
      <c r="O740" s="50" t="s">
        <v>34</v>
      </c>
      <c r="P740" s="46">
        <f t="shared" si="233"/>
        <v>440</v>
      </c>
      <c r="Q740" s="50" t="s">
        <v>34</v>
      </c>
      <c r="R740" s="51">
        <f t="shared" si="234"/>
        <v>4049265</v>
      </c>
      <c r="S740" s="32">
        <f t="shared" si="235"/>
        <v>3647986.4864864862</v>
      </c>
    </row>
    <row r="741" spans="1:19" s="45" customFormat="1">
      <c r="A741" s="108" t="s">
        <v>736</v>
      </c>
      <c r="B741" s="45" t="s">
        <v>659</v>
      </c>
      <c r="C741" s="46">
        <v>400</v>
      </c>
      <c r="D741" s="47" t="s">
        <v>34</v>
      </c>
      <c r="E741" s="48"/>
      <c r="F741" s="49">
        <v>1</v>
      </c>
      <c r="G741" s="50" t="s">
        <v>21</v>
      </c>
      <c r="H741" s="49">
        <v>200</v>
      </c>
      <c r="I741" s="50" t="s">
        <v>34</v>
      </c>
      <c r="J741" s="51">
        <v>13800</v>
      </c>
      <c r="K741" s="47" t="s">
        <v>104</v>
      </c>
      <c r="L741" s="52">
        <v>0.17499999999999999</v>
      </c>
      <c r="M741" s="52">
        <v>0.03</v>
      </c>
      <c r="N741" s="46"/>
      <c r="O741" s="50" t="s">
        <v>34</v>
      </c>
      <c r="P741" s="46">
        <f t="shared" si="233"/>
        <v>400</v>
      </c>
      <c r="Q741" s="50" t="s">
        <v>34</v>
      </c>
      <c r="R741" s="51">
        <f t="shared" si="234"/>
        <v>4417380</v>
      </c>
      <c r="S741" s="32">
        <f t="shared" si="235"/>
        <v>3979621.6216216213</v>
      </c>
    </row>
    <row r="742" spans="1:19">
      <c r="S742" s="23"/>
    </row>
    <row r="743" spans="1:19" ht="15.75">
      <c r="A743" s="14" t="s">
        <v>660</v>
      </c>
      <c r="S743" s="23"/>
    </row>
    <row r="744" spans="1:19" s="26" customFormat="1">
      <c r="A744" s="94" t="s">
        <v>661</v>
      </c>
      <c r="B744" s="26" t="s">
        <v>182</v>
      </c>
      <c r="C744" s="27">
        <v>383</v>
      </c>
      <c r="D744" s="28" t="s">
        <v>104</v>
      </c>
      <c r="E744" s="29"/>
      <c r="F744" s="30">
        <v>1</v>
      </c>
      <c r="G744" s="31" t="s">
        <v>21</v>
      </c>
      <c r="H744" s="30">
        <v>60</v>
      </c>
      <c r="I744" s="31" t="s">
        <v>104</v>
      </c>
      <c r="J744" s="32">
        <v>8600</v>
      </c>
      <c r="K744" s="28" t="s">
        <v>104</v>
      </c>
      <c r="L744" s="33">
        <v>0.05</v>
      </c>
      <c r="M744" s="33"/>
      <c r="N744" s="27"/>
      <c r="O744" s="31" t="s">
        <v>104</v>
      </c>
      <c r="P744" s="27">
        <f t="shared" ref="P744:P761" si="237">(C744+(E744*F744*H744))-N744</f>
        <v>383</v>
      </c>
      <c r="Q744" s="31" t="s">
        <v>104</v>
      </c>
      <c r="R744" s="32">
        <f t="shared" ref="R744:R761" si="238">P744*(J744-(J744*L744)-((J744-(J744*L744))*M744))</f>
        <v>3129110</v>
      </c>
      <c r="S744" s="32">
        <f t="shared" si="235"/>
        <v>2819018.018018018</v>
      </c>
    </row>
    <row r="745" spans="1:19" s="17" customFormat="1">
      <c r="A745" s="93" t="s">
        <v>666</v>
      </c>
      <c r="B745" s="17" t="s">
        <v>19</v>
      </c>
      <c r="C745" s="18"/>
      <c r="D745" s="19" t="s">
        <v>34</v>
      </c>
      <c r="E745" s="20"/>
      <c r="F745" s="21">
        <v>1</v>
      </c>
      <c r="G745" s="22" t="s">
        <v>21</v>
      </c>
      <c r="H745" s="21">
        <v>50</v>
      </c>
      <c r="I745" s="22" t="s">
        <v>34</v>
      </c>
      <c r="J745" s="23">
        <v>31200</v>
      </c>
      <c r="K745" s="19" t="s">
        <v>34</v>
      </c>
      <c r="L745" s="24">
        <v>0.125</v>
      </c>
      <c r="M745" s="24">
        <v>0.05</v>
      </c>
      <c r="N745" s="18"/>
      <c r="O745" s="22" t="s">
        <v>34</v>
      </c>
      <c r="P745" s="18">
        <f>(C745+(E745*F745*H745))-N745</f>
        <v>0</v>
      </c>
      <c r="Q745" s="22" t="s">
        <v>34</v>
      </c>
      <c r="R745" s="23">
        <f>P745*(J745-(J745*L745)-((J745-(J745*L745))*M745))</f>
        <v>0</v>
      </c>
      <c r="S745" s="23">
        <f>R745/1.11</f>
        <v>0</v>
      </c>
    </row>
    <row r="746" spans="1:19" s="17" customFormat="1">
      <c r="A746" s="93" t="s">
        <v>667</v>
      </c>
      <c r="B746" s="17" t="s">
        <v>19</v>
      </c>
      <c r="C746" s="18"/>
      <c r="D746" s="19" t="s">
        <v>34</v>
      </c>
      <c r="E746" s="20"/>
      <c r="F746" s="21">
        <v>1</v>
      </c>
      <c r="G746" s="22" t="s">
        <v>21</v>
      </c>
      <c r="H746" s="21">
        <v>50</v>
      </c>
      <c r="I746" s="22" t="s">
        <v>34</v>
      </c>
      <c r="J746" s="23">
        <v>12000</v>
      </c>
      <c r="K746" s="19" t="s">
        <v>34</v>
      </c>
      <c r="L746" s="24">
        <v>0.125</v>
      </c>
      <c r="M746" s="24">
        <v>0.05</v>
      </c>
      <c r="N746" s="18"/>
      <c r="O746" s="22" t="s">
        <v>34</v>
      </c>
      <c r="P746" s="18">
        <f>(C746+(E746*F746*H746))-N746</f>
        <v>0</v>
      </c>
      <c r="Q746" s="22" t="s">
        <v>34</v>
      </c>
      <c r="R746" s="23">
        <f>P746*(J746-(J746*L746)-((J746-(J746*L746))*M746))</f>
        <v>0</v>
      </c>
      <c r="S746" s="23">
        <f>R746/1.11</f>
        <v>0</v>
      </c>
    </row>
    <row r="747" spans="1:19" s="17" customFormat="1">
      <c r="A747" s="93" t="s">
        <v>668</v>
      </c>
      <c r="B747" s="17" t="s">
        <v>19</v>
      </c>
      <c r="C747" s="18"/>
      <c r="D747" s="19" t="s">
        <v>34</v>
      </c>
      <c r="E747" s="20"/>
      <c r="F747" s="21">
        <v>1</v>
      </c>
      <c r="G747" s="22" t="s">
        <v>21</v>
      </c>
      <c r="H747" s="21">
        <v>50</v>
      </c>
      <c r="I747" s="22" t="s">
        <v>34</v>
      </c>
      <c r="J747" s="23">
        <v>36200</v>
      </c>
      <c r="K747" s="19" t="s">
        <v>34</v>
      </c>
      <c r="L747" s="24">
        <v>0.125</v>
      </c>
      <c r="M747" s="24">
        <v>0.05</v>
      </c>
      <c r="N747" s="18"/>
      <c r="O747" s="22" t="s">
        <v>34</v>
      </c>
      <c r="P747" s="18">
        <f>(C747+(E747*F747*H747))-N747</f>
        <v>0</v>
      </c>
      <c r="Q747" s="22" t="s">
        <v>34</v>
      </c>
      <c r="R747" s="23">
        <f>P747*(J747-(J747*L747)-((J747-(J747*L747))*M747))</f>
        <v>0</v>
      </c>
      <c r="S747" s="23">
        <f>R747/1.11</f>
        <v>0</v>
      </c>
    </row>
    <row r="748" spans="1:19" s="63" customFormat="1">
      <c r="A748" s="93" t="s">
        <v>662</v>
      </c>
      <c r="B748" s="63" t="s">
        <v>19</v>
      </c>
      <c r="C748" s="64">
        <f>144+156</f>
        <v>300</v>
      </c>
      <c r="D748" s="65" t="s">
        <v>34</v>
      </c>
      <c r="E748" s="66"/>
      <c r="F748" s="67">
        <v>1</v>
      </c>
      <c r="G748" s="68" t="s">
        <v>21</v>
      </c>
      <c r="H748" s="67">
        <v>50</v>
      </c>
      <c r="I748" s="68" t="s">
        <v>34</v>
      </c>
      <c r="J748" s="69">
        <v>34100</v>
      </c>
      <c r="K748" s="65" t="s">
        <v>34</v>
      </c>
      <c r="L748" s="70">
        <v>0.125</v>
      </c>
      <c r="M748" s="70">
        <v>0.05</v>
      </c>
      <c r="N748" s="64">
        <f>250+50</f>
        <v>300</v>
      </c>
      <c r="O748" s="68" t="s">
        <v>34</v>
      </c>
      <c r="P748" s="64">
        <f t="shared" si="237"/>
        <v>0</v>
      </c>
      <c r="Q748" s="68" t="s">
        <v>34</v>
      </c>
      <c r="R748" s="69">
        <f t="shared" si="238"/>
        <v>0</v>
      </c>
      <c r="S748" s="23">
        <f t="shared" si="235"/>
        <v>0</v>
      </c>
    </row>
    <row r="749" spans="1:19" s="63" customFormat="1">
      <c r="A749" s="72" t="s">
        <v>663</v>
      </c>
      <c r="B749" s="63" t="s">
        <v>19</v>
      </c>
      <c r="C749" s="64">
        <f>14+2</f>
        <v>16</v>
      </c>
      <c r="D749" s="65" t="s">
        <v>34</v>
      </c>
      <c r="E749" s="66"/>
      <c r="F749" s="67">
        <v>1</v>
      </c>
      <c r="G749" s="68" t="s">
        <v>21</v>
      </c>
      <c r="H749" s="67">
        <v>50</v>
      </c>
      <c r="I749" s="68" t="s">
        <v>34</v>
      </c>
      <c r="J749" s="69">
        <v>34100</v>
      </c>
      <c r="K749" s="65" t="s">
        <v>34</v>
      </c>
      <c r="L749" s="70">
        <v>0.125</v>
      </c>
      <c r="M749" s="70">
        <v>0.05</v>
      </c>
      <c r="N749" s="64">
        <v>16</v>
      </c>
      <c r="O749" s="68" t="s">
        <v>34</v>
      </c>
      <c r="P749" s="64">
        <f t="shared" si="237"/>
        <v>0</v>
      </c>
      <c r="Q749" s="68" t="s">
        <v>34</v>
      </c>
      <c r="R749" s="69">
        <f t="shared" si="238"/>
        <v>0</v>
      </c>
      <c r="S749" s="69">
        <f t="shared" si="235"/>
        <v>0</v>
      </c>
    </row>
    <row r="750" spans="1:19" s="45" customFormat="1">
      <c r="A750" s="44" t="s">
        <v>664</v>
      </c>
      <c r="B750" s="45" t="s">
        <v>19</v>
      </c>
      <c r="C750" s="46">
        <v>73</v>
      </c>
      <c r="D750" s="47" t="s">
        <v>34</v>
      </c>
      <c r="E750" s="48"/>
      <c r="F750" s="49">
        <v>1</v>
      </c>
      <c r="G750" s="50" t="s">
        <v>21</v>
      </c>
      <c r="H750" s="49">
        <v>50</v>
      </c>
      <c r="I750" s="50" t="s">
        <v>34</v>
      </c>
      <c r="J750" s="51">
        <v>32000</v>
      </c>
      <c r="K750" s="47" t="s">
        <v>34</v>
      </c>
      <c r="L750" s="52">
        <v>0.125</v>
      </c>
      <c r="M750" s="52">
        <v>0.05</v>
      </c>
      <c r="N750" s="46">
        <f>20+1</f>
        <v>21</v>
      </c>
      <c r="O750" s="50" t="s">
        <v>34</v>
      </c>
      <c r="P750" s="46">
        <f t="shared" si="237"/>
        <v>52</v>
      </c>
      <c r="Q750" s="50" t="s">
        <v>34</v>
      </c>
      <c r="R750" s="51">
        <f t="shared" si="238"/>
        <v>1383200</v>
      </c>
      <c r="S750" s="51">
        <f t="shared" si="235"/>
        <v>1246126.1261261259</v>
      </c>
    </row>
    <row r="751" spans="1:19" s="85" customFormat="1">
      <c r="A751" s="94" t="s">
        <v>665</v>
      </c>
      <c r="B751" s="85" t="s">
        <v>19</v>
      </c>
      <c r="C751" s="86">
        <v>62</v>
      </c>
      <c r="D751" s="87" t="s">
        <v>34</v>
      </c>
      <c r="E751" s="92"/>
      <c r="F751" s="88">
        <v>1</v>
      </c>
      <c r="G751" s="89" t="s">
        <v>21</v>
      </c>
      <c r="H751" s="88">
        <v>50</v>
      </c>
      <c r="I751" s="89" t="s">
        <v>34</v>
      </c>
      <c r="J751" s="90">
        <v>32000</v>
      </c>
      <c r="K751" s="87" t="s">
        <v>34</v>
      </c>
      <c r="L751" s="91">
        <v>0.125</v>
      </c>
      <c r="M751" s="91">
        <v>0.05</v>
      </c>
      <c r="N751" s="86"/>
      <c r="O751" s="89" t="s">
        <v>34</v>
      </c>
      <c r="P751" s="86">
        <f t="shared" si="237"/>
        <v>62</v>
      </c>
      <c r="Q751" s="89" t="s">
        <v>34</v>
      </c>
      <c r="R751" s="90">
        <f t="shared" si="238"/>
        <v>1649200</v>
      </c>
      <c r="S751" s="32">
        <f t="shared" si="235"/>
        <v>1485765.7657657657</v>
      </c>
    </row>
    <row r="752" spans="1:19" s="45" customFormat="1">
      <c r="A752" s="94" t="s">
        <v>669</v>
      </c>
      <c r="B752" s="45" t="s">
        <v>19</v>
      </c>
      <c r="C752" s="46">
        <v>334</v>
      </c>
      <c r="D752" s="47" t="s">
        <v>34</v>
      </c>
      <c r="E752" s="48">
        <v>8</v>
      </c>
      <c r="F752" s="49">
        <v>1</v>
      </c>
      <c r="G752" s="50" t="s">
        <v>21</v>
      </c>
      <c r="H752" s="49">
        <v>50</v>
      </c>
      <c r="I752" s="50" t="s">
        <v>34</v>
      </c>
      <c r="J752" s="51">
        <v>28300</v>
      </c>
      <c r="K752" s="47" t="s">
        <v>34</v>
      </c>
      <c r="L752" s="52">
        <v>0.125</v>
      </c>
      <c r="M752" s="52">
        <v>0.05</v>
      </c>
      <c r="N752" s="46">
        <f>350+150+50</f>
        <v>550</v>
      </c>
      <c r="O752" s="50" t="s">
        <v>34</v>
      </c>
      <c r="P752" s="46">
        <f t="shared" si="237"/>
        <v>184</v>
      </c>
      <c r="Q752" s="50" t="s">
        <v>34</v>
      </c>
      <c r="R752" s="51">
        <f t="shared" si="238"/>
        <v>4328485</v>
      </c>
      <c r="S752" s="51">
        <f t="shared" si="235"/>
        <v>3899536.0360360355</v>
      </c>
    </row>
    <row r="753" spans="1:19" s="63" customFormat="1">
      <c r="A753" s="93" t="s">
        <v>670</v>
      </c>
      <c r="B753" s="63" t="s">
        <v>19</v>
      </c>
      <c r="C753" s="64">
        <f>6+5</f>
        <v>11</v>
      </c>
      <c r="D753" s="65" t="s">
        <v>34</v>
      </c>
      <c r="E753" s="66">
        <v>2</v>
      </c>
      <c r="F753" s="67">
        <v>1</v>
      </c>
      <c r="G753" s="68" t="s">
        <v>21</v>
      </c>
      <c r="H753" s="67">
        <v>50</v>
      </c>
      <c r="I753" s="68" t="s">
        <v>34</v>
      </c>
      <c r="J753" s="69">
        <v>28300</v>
      </c>
      <c r="K753" s="65" t="s">
        <v>34</v>
      </c>
      <c r="L753" s="70">
        <v>0.125</v>
      </c>
      <c r="M753" s="70">
        <v>0.05</v>
      </c>
      <c r="N753" s="64">
        <f>100+11</f>
        <v>111</v>
      </c>
      <c r="O753" s="68" t="s">
        <v>34</v>
      </c>
      <c r="P753" s="64">
        <f t="shared" si="237"/>
        <v>0</v>
      </c>
      <c r="Q753" s="68" t="s">
        <v>34</v>
      </c>
      <c r="R753" s="69">
        <f t="shared" si="238"/>
        <v>0</v>
      </c>
      <c r="S753" s="69">
        <f t="shared" si="235"/>
        <v>0</v>
      </c>
    </row>
    <row r="754" spans="1:19" s="17" customFormat="1">
      <c r="A754" s="93" t="s">
        <v>671</v>
      </c>
      <c r="B754" s="17" t="s">
        <v>19</v>
      </c>
      <c r="C754" s="18"/>
      <c r="D754" s="19" t="s">
        <v>34</v>
      </c>
      <c r="E754" s="20"/>
      <c r="F754" s="21">
        <v>1</v>
      </c>
      <c r="G754" s="22" t="s">
        <v>21</v>
      </c>
      <c r="H754" s="21">
        <v>50</v>
      </c>
      <c r="I754" s="22" t="s">
        <v>34</v>
      </c>
      <c r="J754" s="23">
        <v>26500</v>
      </c>
      <c r="K754" s="19" t="s">
        <v>34</v>
      </c>
      <c r="L754" s="24">
        <v>0.125</v>
      </c>
      <c r="M754" s="24">
        <v>0.05</v>
      </c>
      <c r="N754" s="18"/>
      <c r="O754" s="22" t="s">
        <v>34</v>
      </c>
      <c r="P754" s="18">
        <f t="shared" si="237"/>
        <v>0</v>
      </c>
      <c r="Q754" s="22" t="s">
        <v>34</v>
      </c>
      <c r="R754" s="23">
        <f t="shared" si="238"/>
        <v>0</v>
      </c>
      <c r="S754" s="23">
        <f t="shared" si="235"/>
        <v>0</v>
      </c>
    </row>
    <row r="755" spans="1:19" s="17" customFormat="1">
      <c r="A755" s="242" t="s">
        <v>672</v>
      </c>
      <c r="B755" s="96" t="s">
        <v>26</v>
      </c>
      <c r="C755" s="97">
        <v>53</v>
      </c>
      <c r="D755" s="98" t="s">
        <v>34</v>
      </c>
      <c r="E755" s="105"/>
      <c r="F755" s="100">
        <v>1</v>
      </c>
      <c r="G755" s="101" t="s">
        <v>21</v>
      </c>
      <c r="H755" s="100">
        <v>50</v>
      </c>
      <c r="I755" s="101" t="s">
        <v>34</v>
      </c>
      <c r="J755" s="102">
        <f>1375000/50</f>
        <v>27500</v>
      </c>
      <c r="K755" s="98" t="s">
        <v>34</v>
      </c>
      <c r="L755" s="103"/>
      <c r="M755" s="103">
        <v>0.17</v>
      </c>
      <c r="N755" s="97">
        <f>50+50-47</f>
        <v>53</v>
      </c>
      <c r="O755" s="101" t="s">
        <v>34</v>
      </c>
      <c r="P755" s="97">
        <f t="shared" si="237"/>
        <v>0</v>
      </c>
      <c r="Q755" s="101" t="s">
        <v>34</v>
      </c>
      <c r="R755" s="102">
        <f t="shared" si="238"/>
        <v>0</v>
      </c>
      <c r="S755" s="102">
        <f t="shared" si="235"/>
        <v>0</v>
      </c>
    </row>
    <row r="756" spans="1:19" s="26" customFormat="1">
      <c r="A756" s="209" t="s">
        <v>672</v>
      </c>
      <c r="B756" s="36" t="s">
        <v>26</v>
      </c>
      <c r="C756" s="37"/>
      <c r="D756" s="38" t="s">
        <v>34</v>
      </c>
      <c r="E756" s="39">
        <f>1+2+1</f>
        <v>4</v>
      </c>
      <c r="F756" s="40">
        <v>1</v>
      </c>
      <c r="G756" s="41" t="s">
        <v>21</v>
      </c>
      <c r="H756" s="40">
        <v>50</v>
      </c>
      <c r="I756" s="41" t="s">
        <v>34</v>
      </c>
      <c r="J756" s="42">
        <f>1500000/50</f>
        <v>30000</v>
      </c>
      <c r="K756" s="38" t="s">
        <v>34</v>
      </c>
      <c r="L756" s="43"/>
      <c r="M756" s="43">
        <v>0.17</v>
      </c>
      <c r="N756" s="37">
        <f>(50-3)+50</f>
        <v>97</v>
      </c>
      <c r="O756" s="41" t="s">
        <v>34</v>
      </c>
      <c r="P756" s="37">
        <f t="shared" ref="P756" si="239">(C756+(E756*F756*H756))-N756</f>
        <v>103</v>
      </c>
      <c r="Q756" s="41" t="s">
        <v>34</v>
      </c>
      <c r="R756" s="42">
        <f t="shared" ref="R756" si="240">P756*(J756-(J756*L756)-((J756-(J756*L756))*M756))</f>
        <v>2564700</v>
      </c>
      <c r="S756" s="42">
        <f t="shared" ref="S756" si="241">R756/1.11</f>
        <v>2310540.5405405401</v>
      </c>
    </row>
    <row r="757" spans="1:19" s="26" customFormat="1">
      <c r="A757" s="107" t="s">
        <v>673</v>
      </c>
      <c r="B757" s="26" t="s">
        <v>26</v>
      </c>
      <c r="C757" s="27">
        <v>263</v>
      </c>
      <c r="D757" s="28" t="s">
        <v>34</v>
      </c>
      <c r="E757" s="29"/>
      <c r="F757" s="30">
        <v>1</v>
      </c>
      <c r="G757" s="31" t="s">
        <v>21</v>
      </c>
      <c r="H757" s="30">
        <v>50</v>
      </c>
      <c r="I757" s="31" t="s">
        <v>34</v>
      </c>
      <c r="J757" s="32">
        <f>1375000/50</f>
        <v>27500</v>
      </c>
      <c r="K757" s="28" t="s">
        <v>34</v>
      </c>
      <c r="L757" s="33"/>
      <c r="M757" s="33">
        <v>0.17</v>
      </c>
      <c r="N757" s="27">
        <f>50+5+50+5+10</f>
        <v>120</v>
      </c>
      <c r="O757" s="31" t="s">
        <v>34</v>
      </c>
      <c r="P757" s="27">
        <f t="shared" si="237"/>
        <v>143</v>
      </c>
      <c r="Q757" s="31" t="s">
        <v>34</v>
      </c>
      <c r="R757" s="32">
        <f t="shared" si="238"/>
        <v>3263975</v>
      </c>
      <c r="S757" s="32">
        <f t="shared" si="235"/>
        <v>2940518.018018018</v>
      </c>
    </row>
    <row r="758" spans="1:19" s="17" customFormat="1">
      <c r="A758" s="93" t="s">
        <v>674</v>
      </c>
      <c r="B758" s="17" t="s">
        <v>26</v>
      </c>
      <c r="C758" s="18"/>
      <c r="D758" s="19" t="s">
        <v>34</v>
      </c>
      <c r="E758" s="20"/>
      <c r="F758" s="21">
        <v>1</v>
      </c>
      <c r="G758" s="22" t="s">
        <v>21</v>
      </c>
      <c r="H758" s="21">
        <v>50</v>
      </c>
      <c r="I758" s="22" t="s">
        <v>34</v>
      </c>
      <c r="J758" s="23">
        <v>28500</v>
      </c>
      <c r="K758" s="19" t="s">
        <v>34</v>
      </c>
      <c r="L758" s="24"/>
      <c r="M758" s="24">
        <v>0.17</v>
      </c>
      <c r="N758" s="18"/>
      <c r="O758" s="22" t="s">
        <v>34</v>
      </c>
      <c r="P758" s="18">
        <f t="shared" si="237"/>
        <v>0</v>
      </c>
      <c r="Q758" s="22" t="s">
        <v>34</v>
      </c>
      <c r="R758" s="23">
        <f t="shared" si="238"/>
        <v>0</v>
      </c>
      <c r="S758" s="23">
        <f t="shared" si="235"/>
        <v>0</v>
      </c>
    </row>
    <row r="759" spans="1:19" s="17" customFormat="1">
      <c r="A759" s="93" t="s">
        <v>675</v>
      </c>
      <c r="B759" s="17" t="s">
        <v>26</v>
      </c>
      <c r="C759" s="18"/>
      <c r="D759" s="19" t="s">
        <v>34</v>
      </c>
      <c r="E759" s="20"/>
      <c r="F759" s="21">
        <v>1</v>
      </c>
      <c r="G759" s="22" t="s">
        <v>21</v>
      </c>
      <c r="H759" s="21">
        <v>50</v>
      </c>
      <c r="I759" s="22" t="s">
        <v>34</v>
      </c>
      <c r="J759" s="23">
        <v>28500</v>
      </c>
      <c r="K759" s="19" t="s">
        <v>34</v>
      </c>
      <c r="L759" s="24"/>
      <c r="M759" s="24">
        <v>0.17</v>
      </c>
      <c r="N759" s="18"/>
      <c r="O759" s="22" t="s">
        <v>34</v>
      </c>
      <c r="P759" s="18">
        <f t="shared" si="237"/>
        <v>0</v>
      </c>
      <c r="Q759" s="22" t="s">
        <v>34</v>
      </c>
      <c r="R759" s="23">
        <f t="shared" si="238"/>
        <v>0</v>
      </c>
      <c r="S759" s="23">
        <f t="shared" si="235"/>
        <v>0</v>
      </c>
    </row>
    <row r="760" spans="1:19" s="45" customFormat="1">
      <c r="A760" s="107" t="s">
        <v>676</v>
      </c>
      <c r="B760" s="45" t="s">
        <v>26</v>
      </c>
      <c r="C760" s="46">
        <v>280</v>
      </c>
      <c r="D760" s="47" t="s">
        <v>34</v>
      </c>
      <c r="E760" s="48">
        <v>2</v>
      </c>
      <c r="F760" s="49">
        <v>1</v>
      </c>
      <c r="G760" s="50" t="s">
        <v>21</v>
      </c>
      <c r="H760" s="49">
        <v>50</v>
      </c>
      <c r="I760" s="50" t="s">
        <v>34</v>
      </c>
      <c r="J760" s="51">
        <f>1375000/50</f>
        <v>27500</v>
      </c>
      <c r="K760" s="47" t="s">
        <v>34</v>
      </c>
      <c r="L760" s="52"/>
      <c r="M760" s="52">
        <v>0.17</v>
      </c>
      <c r="N760" s="46">
        <f>50+50+50</f>
        <v>150</v>
      </c>
      <c r="O760" s="50" t="s">
        <v>34</v>
      </c>
      <c r="P760" s="46">
        <f t="shared" si="237"/>
        <v>230</v>
      </c>
      <c r="Q760" s="50" t="s">
        <v>34</v>
      </c>
      <c r="R760" s="51">
        <f t="shared" si="238"/>
        <v>5249750</v>
      </c>
      <c r="S760" s="51">
        <f t="shared" si="235"/>
        <v>4729504.5045045037</v>
      </c>
    </row>
    <row r="761" spans="1:19" s="45" customFormat="1">
      <c r="A761" s="107" t="s">
        <v>677</v>
      </c>
      <c r="B761" s="45" t="s">
        <v>26</v>
      </c>
      <c r="C761" s="46">
        <v>101</v>
      </c>
      <c r="D761" s="47" t="s">
        <v>34</v>
      </c>
      <c r="E761" s="48">
        <v>2</v>
      </c>
      <c r="F761" s="49">
        <v>1</v>
      </c>
      <c r="G761" s="50" t="s">
        <v>21</v>
      </c>
      <c r="H761" s="49">
        <v>50</v>
      </c>
      <c r="I761" s="50" t="s">
        <v>34</v>
      </c>
      <c r="J761" s="51">
        <f>1375000/50</f>
        <v>27500</v>
      </c>
      <c r="K761" s="47" t="s">
        <v>34</v>
      </c>
      <c r="L761" s="52"/>
      <c r="M761" s="52">
        <v>0.17</v>
      </c>
      <c r="N761" s="46">
        <f>25+50+100+5+1</f>
        <v>181</v>
      </c>
      <c r="O761" s="50" t="s">
        <v>34</v>
      </c>
      <c r="P761" s="46">
        <f t="shared" si="237"/>
        <v>20</v>
      </c>
      <c r="Q761" s="50" t="s">
        <v>34</v>
      </c>
      <c r="R761" s="51">
        <f t="shared" si="238"/>
        <v>456500</v>
      </c>
      <c r="S761" s="51">
        <f t="shared" si="235"/>
        <v>411261.26126126124</v>
      </c>
    </row>
    <row r="762" spans="1:19">
      <c r="S762" s="23"/>
    </row>
    <row r="763" spans="1:19" ht="15.75">
      <c r="A763" s="14" t="s">
        <v>678</v>
      </c>
      <c r="S763" s="23"/>
    </row>
    <row r="764" spans="1:19">
      <c r="A764" s="15" t="s">
        <v>679</v>
      </c>
      <c r="S764" s="23"/>
    </row>
    <row r="765" spans="1:19" s="63" customFormat="1">
      <c r="A765" s="111" t="s">
        <v>680</v>
      </c>
      <c r="B765" s="63" t="s">
        <v>192</v>
      </c>
      <c r="C765" s="64">
        <v>24</v>
      </c>
      <c r="D765" s="65" t="s">
        <v>292</v>
      </c>
      <c r="E765" s="66"/>
      <c r="F765" s="67">
        <v>1</v>
      </c>
      <c r="G765" s="68" t="s">
        <v>21</v>
      </c>
      <c r="H765" s="67">
        <v>720</v>
      </c>
      <c r="I765" s="68" t="s">
        <v>292</v>
      </c>
      <c r="J765" s="69">
        <v>3100</v>
      </c>
      <c r="K765" s="65" t="s">
        <v>292</v>
      </c>
      <c r="L765" s="70"/>
      <c r="M765" s="70">
        <v>0.15</v>
      </c>
      <c r="N765" s="64">
        <f>(1*12)+(1*12)</f>
        <v>24</v>
      </c>
      <c r="O765" s="68" t="s">
        <v>292</v>
      </c>
      <c r="P765" s="64">
        <f t="shared" ref="P765:P773" si="242">(C765+(E765*F765*H765))-N765</f>
        <v>0</v>
      </c>
      <c r="Q765" s="68" t="s">
        <v>292</v>
      </c>
      <c r="R765" s="69">
        <f t="shared" ref="R765:R773" si="243">P765*(J765-(J765*L765)-((J765-(J765*L765))*M765))</f>
        <v>0</v>
      </c>
      <c r="S765" s="23">
        <f t="shared" si="235"/>
        <v>0</v>
      </c>
    </row>
    <row r="766" spans="1:19" s="63" customFormat="1">
      <c r="A766" s="111" t="s">
        <v>681</v>
      </c>
      <c r="B766" s="63" t="s">
        <v>192</v>
      </c>
      <c r="C766" s="64">
        <v>36</v>
      </c>
      <c r="D766" s="65" t="s">
        <v>292</v>
      </c>
      <c r="E766" s="66"/>
      <c r="F766" s="67">
        <v>1</v>
      </c>
      <c r="G766" s="68" t="s">
        <v>21</v>
      </c>
      <c r="H766" s="67">
        <v>480</v>
      </c>
      <c r="I766" s="68" t="s">
        <v>292</v>
      </c>
      <c r="J766" s="69">
        <v>4750</v>
      </c>
      <c r="K766" s="65" t="s">
        <v>292</v>
      </c>
      <c r="L766" s="70"/>
      <c r="M766" s="70">
        <v>0.15</v>
      </c>
      <c r="N766" s="64">
        <f>(1*12)+(1*12)+(1*12)</f>
        <v>36</v>
      </c>
      <c r="O766" s="68" t="s">
        <v>292</v>
      </c>
      <c r="P766" s="64">
        <f t="shared" si="242"/>
        <v>0</v>
      </c>
      <c r="Q766" s="68" t="s">
        <v>292</v>
      </c>
      <c r="R766" s="69">
        <f t="shared" si="243"/>
        <v>0</v>
      </c>
      <c r="S766" s="23">
        <f t="shared" si="235"/>
        <v>0</v>
      </c>
    </row>
    <row r="767" spans="1:19" s="17" customFormat="1">
      <c r="A767" s="111" t="s">
        <v>682</v>
      </c>
      <c r="B767" s="63" t="s">
        <v>192</v>
      </c>
      <c r="C767" s="18">
        <v>24</v>
      </c>
      <c r="D767" s="19" t="s">
        <v>292</v>
      </c>
      <c r="E767" s="20"/>
      <c r="F767" s="21">
        <v>1</v>
      </c>
      <c r="G767" s="22" t="s">
        <v>21</v>
      </c>
      <c r="H767" s="21">
        <v>360</v>
      </c>
      <c r="I767" s="22" t="s">
        <v>292</v>
      </c>
      <c r="J767" s="23">
        <v>6000</v>
      </c>
      <c r="K767" s="19" t="s">
        <v>292</v>
      </c>
      <c r="L767" s="24"/>
      <c r="M767" s="24">
        <v>0.15</v>
      </c>
      <c r="N767" s="64">
        <f>(1*12)+(1*12)</f>
        <v>24</v>
      </c>
      <c r="O767" s="22" t="s">
        <v>292</v>
      </c>
      <c r="P767" s="18">
        <f t="shared" si="242"/>
        <v>0</v>
      </c>
      <c r="Q767" s="22" t="s">
        <v>292</v>
      </c>
      <c r="R767" s="23">
        <f t="shared" si="243"/>
        <v>0</v>
      </c>
      <c r="S767" s="23">
        <f t="shared" si="235"/>
        <v>0</v>
      </c>
    </row>
    <row r="768" spans="1:19" s="17" customFormat="1">
      <c r="A768" s="93" t="s">
        <v>683</v>
      </c>
      <c r="B768" s="17" t="s">
        <v>19</v>
      </c>
      <c r="C768" s="18">
        <v>36</v>
      </c>
      <c r="D768" s="19" t="s">
        <v>292</v>
      </c>
      <c r="E768" s="20"/>
      <c r="F768" s="21">
        <v>10</v>
      </c>
      <c r="G768" s="22" t="s">
        <v>104</v>
      </c>
      <c r="H768" s="21">
        <v>24</v>
      </c>
      <c r="I768" s="22" t="s">
        <v>292</v>
      </c>
      <c r="J768" s="23">
        <v>2300</v>
      </c>
      <c r="K768" s="19" t="s">
        <v>292</v>
      </c>
      <c r="L768" s="24">
        <v>0.125</v>
      </c>
      <c r="M768" s="24">
        <v>0.05</v>
      </c>
      <c r="N768" s="18">
        <v>36</v>
      </c>
      <c r="O768" s="22" t="s">
        <v>292</v>
      </c>
      <c r="P768" s="18">
        <f t="shared" si="242"/>
        <v>0</v>
      </c>
      <c r="Q768" s="22" t="s">
        <v>292</v>
      </c>
      <c r="R768" s="23">
        <f t="shared" si="243"/>
        <v>0</v>
      </c>
      <c r="S768" s="23">
        <f t="shared" si="235"/>
        <v>0</v>
      </c>
    </row>
    <row r="769" spans="1:19" s="17" customFormat="1">
      <c r="A769" s="93" t="s">
        <v>684</v>
      </c>
      <c r="B769" s="17" t="s">
        <v>19</v>
      </c>
      <c r="C769" s="18"/>
      <c r="D769" s="19" t="s">
        <v>292</v>
      </c>
      <c r="E769" s="20"/>
      <c r="F769" s="21">
        <v>10</v>
      </c>
      <c r="G769" s="22" t="s">
        <v>104</v>
      </c>
      <c r="H769" s="21">
        <v>12</v>
      </c>
      <c r="I769" s="22" t="s">
        <v>292</v>
      </c>
      <c r="J769" s="23">
        <v>4600</v>
      </c>
      <c r="K769" s="19" t="s">
        <v>292</v>
      </c>
      <c r="L769" s="24">
        <v>0.125</v>
      </c>
      <c r="M769" s="24">
        <v>0.05</v>
      </c>
      <c r="N769" s="18"/>
      <c r="O769" s="22" t="s">
        <v>292</v>
      </c>
      <c r="P769" s="18">
        <f t="shared" si="242"/>
        <v>0</v>
      </c>
      <c r="Q769" s="22" t="s">
        <v>292</v>
      </c>
      <c r="R769" s="23">
        <f t="shared" si="243"/>
        <v>0</v>
      </c>
      <c r="S769" s="23">
        <f t="shared" si="235"/>
        <v>0</v>
      </c>
    </row>
    <row r="770" spans="1:19" s="17" customFormat="1">
      <c r="A770" s="109" t="s">
        <v>685</v>
      </c>
      <c r="B770" s="17" t="s">
        <v>26</v>
      </c>
      <c r="C770" s="18"/>
      <c r="D770" s="19" t="s">
        <v>292</v>
      </c>
      <c r="E770" s="20"/>
      <c r="F770" s="21">
        <v>1</v>
      </c>
      <c r="G770" s="22" t="s">
        <v>21</v>
      </c>
      <c r="H770" s="21">
        <v>480</v>
      </c>
      <c r="I770" s="22" t="s">
        <v>292</v>
      </c>
      <c r="J770" s="23">
        <f>588000/480</f>
        <v>1225</v>
      </c>
      <c r="K770" s="19" t="s">
        <v>292</v>
      </c>
      <c r="L770" s="24"/>
      <c r="M770" s="24">
        <v>0.17</v>
      </c>
      <c r="N770" s="18"/>
      <c r="O770" s="22" t="s">
        <v>292</v>
      </c>
      <c r="P770" s="18">
        <f t="shared" si="242"/>
        <v>0</v>
      </c>
      <c r="Q770" s="22" t="s">
        <v>292</v>
      </c>
      <c r="R770" s="23">
        <f t="shared" si="243"/>
        <v>0</v>
      </c>
      <c r="S770" s="23">
        <f t="shared" si="235"/>
        <v>0</v>
      </c>
    </row>
    <row r="771" spans="1:19" s="17" customFormat="1">
      <c r="A771" s="109" t="s">
        <v>686</v>
      </c>
      <c r="B771" s="17" t="s">
        <v>26</v>
      </c>
      <c r="C771" s="18"/>
      <c r="D771" s="19" t="s">
        <v>292</v>
      </c>
      <c r="E771" s="20">
        <v>1</v>
      </c>
      <c r="F771" s="21">
        <v>1</v>
      </c>
      <c r="G771" s="22" t="s">
        <v>21</v>
      </c>
      <c r="H771" s="21">
        <v>240</v>
      </c>
      <c r="I771" s="22" t="s">
        <v>292</v>
      </c>
      <c r="J771" s="23">
        <f>588000/240</f>
        <v>2450</v>
      </c>
      <c r="K771" s="19" t="s">
        <v>292</v>
      </c>
      <c r="L771" s="24"/>
      <c r="M771" s="24">
        <v>0.17</v>
      </c>
      <c r="N771" s="18">
        <v>240</v>
      </c>
      <c r="O771" s="22" t="s">
        <v>292</v>
      </c>
      <c r="P771" s="18">
        <f t="shared" si="242"/>
        <v>0</v>
      </c>
      <c r="Q771" s="22" t="s">
        <v>292</v>
      </c>
      <c r="R771" s="23">
        <f t="shared" si="243"/>
        <v>0</v>
      </c>
      <c r="S771" s="23">
        <f t="shared" si="235"/>
        <v>0</v>
      </c>
    </row>
    <row r="772" spans="1:19" s="17" customFormat="1">
      <c r="A772" s="109" t="s">
        <v>687</v>
      </c>
      <c r="B772" s="17" t="s">
        <v>26</v>
      </c>
      <c r="C772" s="18"/>
      <c r="D772" s="19" t="s">
        <v>292</v>
      </c>
      <c r="E772" s="20"/>
      <c r="F772" s="21">
        <v>1</v>
      </c>
      <c r="G772" s="22" t="s">
        <v>21</v>
      </c>
      <c r="H772" s="21">
        <v>120</v>
      </c>
      <c r="I772" s="22" t="s">
        <v>292</v>
      </c>
      <c r="J772" s="23">
        <v>4800</v>
      </c>
      <c r="K772" s="19" t="s">
        <v>292</v>
      </c>
      <c r="L772" s="24"/>
      <c r="M772" s="24">
        <v>0.17</v>
      </c>
      <c r="N772" s="18"/>
      <c r="O772" s="22" t="s">
        <v>292</v>
      </c>
      <c r="P772" s="18">
        <f t="shared" si="242"/>
        <v>0</v>
      </c>
      <c r="Q772" s="22" t="s">
        <v>292</v>
      </c>
      <c r="R772" s="23">
        <f t="shared" si="243"/>
        <v>0</v>
      </c>
      <c r="S772" s="23">
        <f t="shared" si="235"/>
        <v>0</v>
      </c>
    </row>
    <row r="773" spans="1:19" s="17" customFormat="1">
      <c r="A773" s="109" t="s">
        <v>688</v>
      </c>
      <c r="B773" s="17" t="s">
        <v>26</v>
      </c>
      <c r="C773" s="18">
        <v>6</v>
      </c>
      <c r="D773" s="19" t="s">
        <v>292</v>
      </c>
      <c r="E773" s="20"/>
      <c r="F773" s="21">
        <v>1</v>
      </c>
      <c r="G773" s="22" t="s">
        <v>21</v>
      </c>
      <c r="H773" s="21">
        <v>120</v>
      </c>
      <c r="I773" s="22" t="s">
        <v>292</v>
      </c>
      <c r="J773" s="23">
        <v>9500</v>
      </c>
      <c r="K773" s="19" t="s">
        <v>292</v>
      </c>
      <c r="L773" s="24"/>
      <c r="M773" s="24">
        <v>0.17</v>
      </c>
      <c r="N773" s="18">
        <v>6</v>
      </c>
      <c r="O773" s="22" t="s">
        <v>292</v>
      </c>
      <c r="P773" s="18">
        <f t="shared" si="242"/>
        <v>0</v>
      </c>
      <c r="Q773" s="22" t="s">
        <v>292</v>
      </c>
      <c r="R773" s="23">
        <f t="shared" si="243"/>
        <v>0</v>
      </c>
      <c r="S773" s="23">
        <f t="shared" si="235"/>
        <v>0</v>
      </c>
    </row>
    <row r="774" spans="1:19">
      <c r="A774" s="15" t="s">
        <v>689</v>
      </c>
      <c r="S774" s="23"/>
    </row>
    <row r="775" spans="1:19" s="85" customFormat="1">
      <c r="A775" s="159" t="s">
        <v>690</v>
      </c>
      <c r="B775" s="160" t="s">
        <v>26</v>
      </c>
      <c r="C775" s="161">
        <v>144</v>
      </c>
      <c r="D775" s="162" t="s">
        <v>292</v>
      </c>
      <c r="E775" s="163"/>
      <c r="F775" s="164">
        <v>1</v>
      </c>
      <c r="G775" s="165" t="s">
        <v>21</v>
      </c>
      <c r="H775" s="164">
        <v>72</v>
      </c>
      <c r="I775" s="165" t="s">
        <v>292</v>
      </c>
      <c r="J775" s="166">
        <f>900000/72</f>
        <v>12500</v>
      </c>
      <c r="K775" s="162" t="s">
        <v>292</v>
      </c>
      <c r="L775" s="167"/>
      <c r="M775" s="167">
        <v>0.17</v>
      </c>
      <c r="N775" s="161"/>
      <c r="O775" s="165" t="s">
        <v>292</v>
      </c>
      <c r="P775" s="161">
        <f>(C775+(E775*F775*H775))-N775</f>
        <v>144</v>
      </c>
      <c r="Q775" s="165" t="s">
        <v>292</v>
      </c>
      <c r="R775" s="166">
        <f>P775*(J775-(J775*L775)-((J775-(J775*L775))*M775))</f>
        <v>1494000</v>
      </c>
      <c r="S775" s="42">
        <f t="shared" si="235"/>
        <v>1345945.9459459458</v>
      </c>
    </row>
    <row r="776" spans="1:19" s="85" customFormat="1">
      <c r="A776" s="159" t="s">
        <v>690</v>
      </c>
      <c r="B776" s="160" t="s">
        <v>26</v>
      </c>
      <c r="C776" s="161"/>
      <c r="D776" s="162" t="s">
        <v>292</v>
      </c>
      <c r="E776" s="163">
        <v>5</v>
      </c>
      <c r="F776" s="164">
        <v>1</v>
      </c>
      <c r="G776" s="165" t="s">
        <v>21</v>
      </c>
      <c r="H776" s="164">
        <v>72</v>
      </c>
      <c r="I776" s="165" t="s">
        <v>292</v>
      </c>
      <c r="J776" s="166">
        <f>900000/72</f>
        <v>12500</v>
      </c>
      <c r="K776" s="162" t="s">
        <v>292</v>
      </c>
      <c r="L776" s="167">
        <v>0.05</v>
      </c>
      <c r="M776" s="167">
        <v>0.17</v>
      </c>
      <c r="N776" s="161">
        <v>360</v>
      </c>
      <c r="O776" s="165" t="s">
        <v>292</v>
      </c>
      <c r="P776" s="161">
        <f>(C776+(E776*F776*H776))-N776</f>
        <v>0</v>
      </c>
      <c r="Q776" s="165" t="s">
        <v>292</v>
      </c>
      <c r="R776" s="166">
        <f>P776*(J776-(J776*L776)-((J776-(J776*L776))*M776))</f>
        <v>0</v>
      </c>
      <c r="S776" s="42">
        <f t="shared" ref="S776" si="244">R776/1.11</f>
        <v>0</v>
      </c>
    </row>
    <row r="777" spans="1:19" s="26" customFormat="1">
      <c r="A777" s="25" t="s">
        <v>756</v>
      </c>
      <c r="B777" s="26" t="s">
        <v>26</v>
      </c>
      <c r="C777" s="27"/>
      <c r="D777" s="28" t="s">
        <v>292</v>
      </c>
      <c r="E777" s="29">
        <v>5</v>
      </c>
      <c r="F777" s="30">
        <v>1</v>
      </c>
      <c r="G777" s="31" t="s">
        <v>21</v>
      </c>
      <c r="H777" s="30">
        <v>72</v>
      </c>
      <c r="I777" s="31" t="s">
        <v>292</v>
      </c>
      <c r="J777" s="32">
        <f>900000/72</f>
        <v>12500</v>
      </c>
      <c r="K777" s="28" t="s">
        <v>292</v>
      </c>
      <c r="L777" s="33">
        <v>0.05</v>
      </c>
      <c r="M777" s="33">
        <v>0.17</v>
      </c>
      <c r="N777" s="27">
        <v>360</v>
      </c>
      <c r="O777" s="31" t="s">
        <v>292</v>
      </c>
      <c r="P777" s="27">
        <f>(C777+(E777*F777*H777))-N777</f>
        <v>0</v>
      </c>
      <c r="Q777" s="31" t="s">
        <v>292</v>
      </c>
      <c r="R777" s="32">
        <f>P777*(J777-(J777*L777)-((J777-(J777*L777))*M777))</f>
        <v>0</v>
      </c>
      <c r="S777" s="32">
        <f t="shared" si="235"/>
        <v>0</v>
      </c>
    </row>
    <row r="778" spans="1:19" s="26" customFormat="1">
      <c r="A778" s="25" t="s">
        <v>692</v>
      </c>
      <c r="B778" s="26" t="s">
        <v>26</v>
      </c>
      <c r="C778" s="27">
        <v>210</v>
      </c>
      <c r="D778" s="28" t="s">
        <v>292</v>
      </c>
      <c r="E778" s="29"/>
      <c r="F778" s="30">
        <v>1</v>
      </c>
      <c r="G778" s="31" t="s">
        <v>21</v>
      </c>
      <c r="H778" s="30">
        <v>72</v>
      </c>
      <c r="I778" s="31" t="s">
        <v>292</v>
      </c>
      <c r="J778" s="32">
        <f>705600/72</f>
        <v>9800</v>
      </c>
      <c r="K778" s="28" t="s">
        <v>292</v>
      </c>
      <c r="L778" s="33"/>
      <c r="M778" s="33">
        <v>0.17</v>
      </c>
      <c r="N778" s="27"/>
      <c r="O778" s="31" t="s">
        <v>292</v>
      </c>
      <c r="P778" s="27">
        <f>(C778+(E778*F778*H778))-N778</f>
        <v>210</v>
      </c>
      <c r="Q778" s="31" t="s">
        <v>292</v>
      </c>
      <c r="R778" s="32">
        <f>P778*(J778-(J778*L778)-((J778-(J778*L778))*M778))</f>
        <v>1708140</v>
      </c>
      <c r="S778" s="32">
        <f t="shared" si="235"/>
        <v>1538864.8648648646</v>
      </c>
    </row>
    <row r="779" spans="1:19" s="26" customFormat="1">
      <c r="A779" s="25" t="s">
        <v>693</v>
      </c>
      <c r="B779" s="26" t="s">
        <v>26</v>
      </c>
      <c r="C779" s="27">
        <v>36</v>
      </c>
      <c r="D779" s="28" t="s">
        <v>292</v>
      </c>
      <c r="E779" s="29"/>
      <c r="F779" s="30">
        <v>1</v>
      </c>
      <c r="G779" s="31" t="s">
        <v>21</v>
      </c>
      <c r="H779" s="30">
        <v>72</v>
      </c>
      <c r="I779" s="31" t="s">
        <v>292</v>
      </c>
      <c r="J779" s="32">
        <f>705600/72</f>
        <v>9800</v>
      </c>
      <c r="K779" s="28" t="s">
        <v>292</v>
      </c>
      <c r="L779" s="33"/>
      <c r="M779" s="33">
        <v>0.17</v>
      </c>
      <c r="N779" s="27"/>
      <c r="O779" s="31" t="s">
        <v>292</v>
      </c>
      <c r="P779" s="27">
        <f>(C779+(E779*F779*H779))-N779</f>
        <v>36</v>
      </c>
      <c r="Q779" s="31" t="s">
        <v>292</v>
      </c>
      <c r="R779" s="32">
        <f>P779*(J779-(J779*L779)-((J779-(J779*L779))*M779))</f>
        <v>292824</v>
      </c>
      <c r="S779" s="32">
        <f t="shared" si="235"/>
        <v>263805.40540540538</v>
      </c>
    </row>
    <row r="780" spans="1:19">
      <c r="A780" s="15" t="s">
        <v>694</v>
      </c>
      <c r="S780" s="23">
        <f t="shared" si="235"/>
        <v>0</v>
      </c>
    </row>
    <row r="781" spans="1:19">
      <c r="A781" s="34" t="s">
        <v>695</v>
      </c>
      <c r="B781" s="2" t="s">
        <v>26</v>
      </c>
      <c r="C781" s="3">
        <v>108</v>
      </c>
      <c r="D781" s="4" t="s">
        <v>292</v>
      </c>
      <c r="F781" s="6">
        <v>1</v>
      </c>
      <c r="G781" s="7" t="s">
        <v>21</v>
      </c>
      <c r="H781" s="6">
        <v>120</v>
      </c>
      <c r="I781" s="7" t="s">
        <v>292</v>
      </c>
      <c r="J781" s="8">
        <f>762000/120</f>
        <v>6350</v>
      </c>
      <c r="K781" s="4" t="s">
        <v>292</v>
      </c>
      <c r="M781" s="9">
        <v>0.17</v>
      </c>
      <c r="O781" s="7" t="s">
        <v>292</v>
      </c>
      <c r="P781" s="3">
        <f>(C781+(E781*F781*H781))-N781</f>
        <v>108</v>
      </c>
      <c r="Q781" s="7" t="s">
        <v>292</v>
      </c>
      <c r="R781" s="8">
        <f>P781*(J781-(J781*L781)-((J781-(J781*L781))*M781))</f>
        <v>569214</v>
      </c>
      <c r="S781" s="32">
        <f t="shared" si="235"/>
        <v>512805.40540540538</v>
      </c>
    </row>
    <row r="782" spans="1:19" s="17" customFormat="1">
      <c r="A782" s="16" t="s">
        <v>696</v>
      </c>
      <c r="B782" s="17" t="s">
        <v>26</v>
      </c>
      <c r="C782" s="18"/>
      <c r="D782" s="19" t="s">
        <v>292</v>
      </c>
      <c r="E782" s="20"/>
      <c r="F782" s="21">
        <v>1</v>
      </c>
      <c r="G782" s="22" t="s">
        <v>21</v>
      </c>
      <c r="H782" s="21">
        <v>80</v>
      </c>
      <c r="I782" s="22" t="s">
        <v>292</v>
      </c>
      <c r="J782" s="23">
        <f>732000/80</f>
        <v>9150</v>
      </c>
      <c r="K782" s="19" t="s">
        <v>292</v>
      </c>
      <c r="L782" s="24"/>
      <c r="M782" s="24">
        <v>0.17</v>
      </c>
      <c r="N782" s="18"/>
      <c r="O782" s="22" t="s">
        <v>292</v>
      </c>
      <c r="P782" s="18">
        <f>(C782+(E782*F782*H782))-N782</f>
        <v>0</v>
      </c>
      <c r="Q782" s="22" t="s">
        <v>292</v>
      </c>
      <c r="R782" s="23">
        <f>P782*(J782-(J782*L782)-((J782-(J782*L782))*M782))</f>
        <v>0</v>
      </c>
      <c r="S782" s="23">
        <f t="shared" si="235"/>
        <v>0</v>
      </c>
    </row>
    <row r="783" spans="1:19" s="26" customFormat="1">
      <c r="A783" s="25" t="s">
        <v>697</v>
      </c>
      <c r="B783" s="26" t="s">
        <v>26</v>
      </c>
      <c r="C783" s="27">
        <v>234</v>
      </c>
      <c r="D783" s="28" t="s">
        <v>292</v>
      </c>
      <c r="E783" s="29">
        <f>2+2</f>
        <v>4</v>
      </c>
      <c r="F783" s="30">
        <v>1</v>
      </c>
      <c r="G783" s="31" t="s">
        <v>21</v>
      </c>
      <c r="H783" s="30">
        <v>60</v>
      </c>
      <c r="I783" s="31" t="s">
        <v>292</v>
      </c>
      <c r="J783" s="32">
        <f>732000/60</f>
        <v>12200</v>
      </c>
      <c r="K783" s="28" t="s">
        <v>292</v>
      </c>
      <c r="L783" s="33"/>
      <c r="M783" s="33">
        <v>0.17</v>
      </c>
      <c r="N783" s="27">
        <f>120+120</f>
        <v>240</v>
      </c>
      <c r="O783" s="31" t="s">
        <v>292</v>
      </c>
      <c r="P783" s="27">
        <f>(C783+(E783*F783*H783))-N783</f>
        <v>234</v>
      </c>
      <c r="Q783" s="31" t="s">
        <v>292</v>
      </c>
      <c r="R783" s="32">
        <f>P783*(J783-(J783*L783)-((J783-(J783*L783))*M783))</f>
        <v>2369484</v>
      </c>
      <c r="S783" s="32">
        <f t="shared" si="235"/>
        <v>2134670.2702702703</v>
      </c>
    </row>
    <row r="784" spans="1:19" s="17" customFormat="1">
      <c r="A784" s="16" t="s">
        <v>725</v>
      </c>
      <c r="B784" s="17" t="s">
        <v>26</v>
      </c>
      <c r="C784" s="18"/>
      <c r="D784" s="19" t="s">
        <v>292</v>
      </c>
      <c r="E784" s="20"/>
      <c r="F784" s="21">
        <v>1</v>
      </c>
      <c r="G784" s="22" t="s">
        <v>21</v>
      </c>
      <c r="H784" s="21">
        <v>80</v>
      </c>
      <c r="I784" s="22" t="s">
        <v>292</v>
      </c>
      <c r="J784" s="23">
        <f>848000/80</f>
        <v>10600</v>
      </c>
      <c r="K784" s="19" t="s">
        <v>292</v>
      </c>
      <c r="L784" s="24"/>
      <c r="M784" s="24">
        <v>0.17</v>
      </c>
      <c r="N784" s="18"/>
      <c r="O784" s="22" t="s">
        <v>292</v>
      </c>
      <c r="P784" s="18">
        <f>(C784+(E784*F784*H784))-N784</f>
        <v>0</v>
      </c>
      <c r="Q784" s="22" t="s">
        <v>292</v>
      </c>
      <c r="R784" s="23">
        <f>P784*(J784-(J784*L784)-((J784-(J784*L784))*M784))</f>
        <v>0</v>
      </c>
      <c r="S784" s="23">
        <f t="shared" si="235"/>
        <v>0</v>
      </c>
    </row>
    <row r="785" spans="1:19" s="17" customFormat="1">
      <c r="A785" s="16" t="s">
        <v>698</v>
      </c>
      <c r="B785" s="17" t="s">
        <v>26</v>
      </c>
      <c r="C785" s="18"/>
      <c r="D785" s="19" t="s">
        <v>292</v>
      </c>
      <c r="E785" s="20"/>
      <c r="F785" s="21">
        <v>1</v>
      </c>
      <c r="G785" s="22" t="s">
        <v>21</v>
      </c>
      <c r="H785" s="21">
        <v>60</v>
      </c>
      <c r="I785" s="22" t="s">
        <v>292</v>
      </c>
      <c r="J785" s="23">
        <f>852000/60</f>
        <v>14200</v>
      </c>
      <c r="K785" s="19" t="s">
        <v>292</v>
      </c>
      <c r="L785" s="24"/>
      <c r="M785" s="24">
        <v>0.17</v>
      </c>
      <c r="N785" s="18"/>
      <c r="O785" s="22" t="s">
        <v>292</v>
      </c>
      <c r="P785" s="18">
        <f>(C785+(E785*F785*H785))-N785</f>
        <v>0</v>
      </c>
      <c r="Q785" s="22" t="s">
        <v>292</v>
      </c>
      <c r="R785" s="23">
        <f>P785*(J785-(J785*L785)-((J785-(J785*L785))*M785))</f>
        <v>0</v>
      </c>
      <c r="S785" s="23">
        <f t="shared" si="235"/>
        <v>0</v>
      </c>
    </row>
    <row r="786" spans="1:19">
      <c r="S786" s="23"/>
    </row>
    <row r="787" spans="1:19" ht="15.75">
      <c r="A787" s="14" t="s">
        <v>699</v>
      </c>
      <c r="S787" s="23"/>
    </row>
    <row r="788" spans="1:19" s="63" customFormat="1">
      <c r="A788" s="72" t="s">
        <v>719</v>
      </c>
      <c r="B788" s="63" t="s">
        <v>19</v>
      </c>
      <c r="C788" s="64">
        <v>52</v>
      </c>
      <c r="D788" s="65" t="s">
        <v>20</v>
      </c>
      <c r="E788" s="66"/>
      <c r="F788" s="67">
        <v>12</v>
      </c>
      <c r="G788" s="68" t="s">
        <v>34</v>
      </c>
      <c r="H788" s="67">
        <v>20</v>
      </c>
      <c r="I788" s="68" t="s">
        <v>20</v>
      </c>
      <c r="J788" s="69">
        <v>5050</v>
      </c>
      <c r="K788" s="65" t="s">
        <v>20</v>
      </c>
      <c r="L788" s="70">
        <v>0.125</v>
      </c>
      <c r="M788" s="70">
        <v>0.05</v>
      </c>
      <c r="N788" s="64">
        <f>12+24+16</f>
        <v>52</v>
      </c>
      <c r="O788" s="68" t="s">
        <v>20</v>
      </c>
      <c r="P788" s="64">
        <f t="shared" ref="P788:P806" si="245">(C788+(E788*F788*H788))-N788</f>
        <v>0</v>
      </c>
      <c r="Q788" s="68" t="s">
        <v>20</v>
      </c>
      <c r="R788" s="69">
        <f t="shared" ref="R788:R808" si="246">P788*(J788-(J788*L788)-((J788-(J788*L788))*M788))</f>
        <v>0</v>
      </c>
      <c r="S788" s="69">
        <f t="shared" ref="S788" si="247">R788/1.11</f>
        <v>0</v>
      </c>
    </row>
    <row r="789" spans="1:19" s="17" customFormat="1">
      <c r="A789" s="16" t="s">
        <v>700</v>
      </c>
      <c r="B789" s="17" t="s">
        <v>19</v>
      </c>
      <c r="C789" s="18"/>
      <c r="D789" s="19" t="s">
        <v>20</v>
      </c>
      <c r="E789" s="20"/>
      <c r="F789" s="21">
        <v>1</v>
      </c>
      <c r="G789" s="22" t="s">
        <v>21</v>
      </c>
      <c r="H789" s="21">
        <v>24</v>
      </c>
      <c r="I789" s="22" t="s">
        <v>20</v>
      </c>
      <c r="J789" s="23">
        <v>17200</v>
      </c>
      <c r="K789" s="19" t="s">
        <v>20</v>
      </c>
      <c r="L789" s="24">
        <v>0.125</v>
      </c>
      <c r="M789" s="24">
        <v>0.05</v>
      </c>
      <c r="N789" s="18"/>
      <c r="O789" s="22" t="s">
        <v>20</v>
      </c>
      <c r="P789" s="18">
        <f t="shared" si="245"/>
        <v>0</v>
      </c>
      <c r="Q789" s="22" t="s">
        <v>20</v>
      </c>
      <c r="R789" s="23">
        <f t="shared" si="246"/>
        <v>0</v>
      </c>
      <c r="S789" s="23">
        <f t="shared" si="235"/>
        <v>0</v>
      </c>
    </row>
    <row r="790" spans="1:19" s="17" customFormat="1">
      <c r="A790" s="16" t="s">
        <v>701</v>
      </c>
      <c r="B790" s="17" t="s">
        <v>19</v>
      </c>
      <c r="C790" s="18">
        <v>24</v>
      </c>
      <c r="D790" s="19" t="s">
        <v>20</v>
      </c>
      <c r="E790" s="20">
        <v>6</v>
      </c>
      <c r="F790" s="21">
        <v>1</v>
      </c>
      <c r="G790" s="22" t="s">
        <v>21</v>
      </c>
      <c r="H790" s="21">
        <v>24</v>
      </c>
      <c r="I790" s="22" t="s">
        <v>20</v>
      </c>
      <c r="J790" s="23">
        <v>21100</v>
      </c>
      <c r="K790" s="19" t="s">
        <v>20</v>
      </c>
      <c r="L790" s="24">
        <v>0.125</v>
      </c>
      <c r="M790" s="24">
        <v>0.05</v>
      </c>
      <c r="N790" s="18">
        <f>24+144</f>
        <v>168</v>
      </c>
      <c r="O790" s="22" t="s">
        <v>20</v>
      </c>
      <c r="P790" s="18">
        <f t="shared" si="245"/>
        <v>0</v>
      </c>
      <c r="Q790" s="22" t="s">
        <v>20</v>
      </c>
      <c r="R790" s="23">
        <f t="shared" si="246"/>
        <v>0</v>
      </c>
      <c r="S790" s="23">
        <f t="shared" si="235"/>
        <v>0</v>
      </c>
    </row>
    <row r="791" spans="1:19" s="17" customFormat="1">
      <c r="A791" s="16" t="s">
        <v>702</v>
      </c>
      <c r="B791" s="17" t="s">
        <v>19</v>
      </c>
      <c r="C791" s="18">
        <v>24</v>
      </c>
      <c r="D791" s="19" t="s">
        <v>20</v>
      </c>
      <c r="E791" s="20"/>
      <c r="F791" s="21">
        <v>1</v>
      </c>
      <c r="G791" s="22" t="s">
        <v>21</v>
      </c>
      <c r="H791" s="21">
        <v>24</v>
      </c>
      <c r="I791" s="22" t="s">
        <v>20</v>
      </c>
      <c r="J791" s="23">
        <v>23100</v>
      </c>
      <c r="K791" s="19" t="s">
        <v>20</v>
      </c>
      <c r="L791" s="24">
        <v>0.125</v>
      </c>
      <c r="M791" s="24">
        <v>0.05</v>
      </c>
      <c r="N791" s="18">
        <v>24</v>
      </c>
      <c r="O791" s="22" t="s">
        <v>20</v>
      </c>
      <c r="P791" s="18">
        <f t="shared" si="245"/>
        <v>0</v>
      </c>
      <c r="Q791" s="22" t="s">
        <v>20</v>
      </c>
      <c r="R791" s="23">
        <f t="shared" si="246"/>
        <v>0</v>
      </c>
      <c r="S791" s="23">
        <f t="shared" si="235"/>
        <v>0</v>
      </c>
    </row>
    <row r="792" spans="1:19" s="63" customFormat="1">
      <c r="A792" s="95" t="s">
        <v>703</v>
      </c>
      <c r="B792" s="96" t="s">
        <v>19</v>
      </c>
      <c r="C792" s="97"/>
      <c r="D792" s="98" t="s">
        <v>20</v>
      </c>
      <c r="E792" s="105">
        <f>6+2</f>
        <v>8</v>
      </c>
      <c r="F792" s="100">
        <v>1</v>
      </c>
      <c r="G792" s="101" t="s">
        <v>21</v>
      </c>
      <c r="H792" s="100">
        <v>24</v>
      </c>
      <c r="I792" s="101" t="s">
        <v>20</v>
      </c>
      <c r="J792" s="102">
        <v>10450</v>
      </c>
      <c r="K792" s="98" t="s">
        <v>20</v>
      </c>
      <c r="L792" s="103">
        <v>0.125</v>
      </c>
      <c r="M792" s="103">
        <v>0.05</v>
      </c>
      <c r="N792" s="97">
        <f>144+24+24</f>
        <v>192</v>
      </c>
      <c r="O792" s="101" t="s">
        <v>20</v>
      </c>
      <c r="P792" s="97">
        <f t="shared" si="245"/>
        <v>0</v>
      </c>
      <c r="Q792" s="101" t="s">
        <v>20</v>
      </c>
      <c r="R792" s="102">
        <f t="shared" si="246"/>
        <v>0</v>
      </c>
      <c r="S792" s="102">
        <f t="shared" si="235"/>
        <v>0</v>
      </c>
    </row>
    <row r="793" spans="1:19" s="63" customFormat="1">
      <c r="A793" s="95" t="s">
        <v>703</v>
      </c>
      <c r="B793" s="96" t="s">
        <v>19</v>
      </c>
      <c r="C793" s="97"/>
      <c r="D793" s="98" t="s">
        <v>20</v>
      </c>
      <c r="E793" s="105">
        <v>2</v>
      </c>
      <c r="F793" s="100">
        <v>1</v>
      </c>
      <c r="G793" s="101" t="s">
        <v>21</v>
      </c>
      <c r="H793" s="100">
        <v>24</v>
      </c>
      <c r="I793" s="101" t="s">
        <v>20</v>
      </c>
      <c r="J793" s="102">
        <v>10600</v>
      </c>
      <c r="K793" s="98" t="s">
        <v>20</v>
      </c>
      <c r="L793" s="103">
        <v>0.125</v>
      </c>
      <c r="M793" s="103">
        <v>0.05</v>
      </c>
      <c r="N793" s="97">
        <v>48</v>
      </c>
      <c r="O793" s="101" t="s">
        <v>20</v>
      </c>
      <c r="P793" s="97">
        <f t="shared" ref="P793" si="248">(C793+(E793*F793*H793))-N793</f>
        <v>0</v>
      </c>
      <c r="Q793" s="101" t="s">
        <v>20</v>
      </c>
      <c r="R793" s="102">
        <f t="shared" ref="R793" si="249">P793*(J793-(J793*L793)-((J793-(J793*L793))*M793))</f>
        <v>0</v>
      </c>
      <c r="S793" s="102">
        <f t="shared" ref="S793" si="250">R793/1.11</f>
        <v>0</v>
      </c>
    </row>
    <row r="794" spans="1:19" s="63" customFormat="1">
      <c r="A794" s="188" t="s">
        <v>704</v>
      </c>
      <c r="B794" s="189" t="s">
        <v>19</v>
      </c>
      <c r="C794" s="190">
        <v>24</v>
      </c>
      <c r="D794" s="191" t="s">
        <v>20</v>
      </c>
      <c r="E794" s="192">
        <f>6+6</f>
        <v>12</v>
      </c>
      <c r="F794" s="193">
        <v>1</v>
      </c>
      <c r="G794" s="194" t="s">
        <v>21</v>
      </c>
      <c r="H794" s="193">
        <v>24</v>
      </c>
      <c r="I794" s="194" t="s">
        <v>20</v>
      </c>
      <c r="J794" s="195">
        <v>18150</v>
      </c>
      <c r="K794" s="191" t="s">
        <v>20</v>
      </c>
      <c r="L794" s="196">
        <v>0.125</v>
      </c>
      <c r="M794" s="196">
        <v>0.05</v>
      </c>
      <c r="N794" s="190">
        <f>24+144+96+24+24</f>
        <v>312</v>
      </c>
      <c r="O794" s="194" t="s">
        <v>20</v>
      </c>
      <c r="P794" s="190">
        <f t="shared" si="245"/>
        <v>0</v>
      </c>
      <c r="Q794" s="194" t="s">
        <v>20</v>
      </c>
      <c r="R794" s="195">
        <f t="shared" si="246"/>
        <v>0</v>
      </c>
      <c r="S794" s="195">
        <f t="shared" si="235"/>
        <v>0</v>
      </c>
    </row>
    <row r="795" spans="1:19" s="63" customFormat="1">
      <c r="A795" s="188" t="s">
        <v>704</v>
      </c>
      <c r="B795" s="189" t="s">
        <v>19</v>
      </c>
      <c r="C795" s="190"/>
      <c r="D795" s="191" t="s">
        <v>20</v>
      </c>
      <c r="E795" s="192">
        <v>3</v>
      </c>
      <c r="F795" s="193">
        <v>1</v>
      </c>
      <c r="G795" s="194" t="s">
        <v>21</v>
      </c>
      <c r="H795" s="193">
        <v>24</v>
      </c>
      <c r="I795" s="194" t="s">
        <v>20</v>
      </c>
      <c r="J795" s="195">
        <v>18800</v>
      </c>
      <c r="K795" s="191" t="s">
        <v>20</v>
      </c>
      <c r="L795" s="196">
        <v>0.125</v>
      </c>
      <c r="M795" s="196">
        <v>0.05</v>
      </c>
      <c r="N795" s="190">
        <v>72</v>
      </c>
      <c r="O795" s="194" t="s">
        <v>20</v>
      </c>
      <c r="P795" s="190">
        <f t="shared" ref="P795" si="251">(C795+(E795*F795*H795))-N795</f>
        <v>0</v>
      </c>
      <c r="Q795" s="194" t="s">
        <v>20</v>
      </c>
      <c r="R795" s="195">
        <f t="shared" ref="R795" si="252">P795*(J795-(J795*L795)-((J795-(J795*L795))*M795))</f>
        <v>0</v>
      </c>
      <c r="S795" s="195">
        <f t="shared" ref="S795" si="253">R795/1.11</f>
        <v>0</v>
      </c>
    </row>
    <row r="796" spans="1:19" s="63" customFormat="1">
      <c r="A796" s="72" t="s">
        <v>705</v>
      </c>
      <c r="B796" s="63" t="s">
        <v>19</v>
      </c>
      <c r="C796" s="64"/>
      <c r="D796" s="65" t="s">
        <v>20</v>
      </c>
      <c r="E796" s="66"/>
      <c r="F796" s="67">
        <v>1</v>
      </c>
      <c r="G796" s="68" t="s">
        <v>21</v>
      </c>
      <c r="H796" s="67">
        <v>24</v>
      </c>
      <c r="I796" s="68" t="s">
        <v>20</v>
      </c>
      <c r="J796" s="69">
        <v>15000</v>
      </c>
      <c r="K796" s="65" t="s">
        <v>20</v>
      </c>
      <c r="L796" s="70">
        <v>0.125</v>
      </c>
      <c r="M796" s="70">
        <v>0.05</v>
      </c>
      <c r="N796" s="64"/>
      <c r="O796" s="68" t="s">
        <v>20</v>
      </c>
      <c r="P796" s="64">
        <f t="shared" si="245"/>
        <v>0</v>
      </c>
      <c r="Q796" s="68" t="s">
        <v>20</v>
      </c>
      <c r="R796" s="69">
        <f t="shared" si="246"/>
        <v>0</v>
      </c>
      <c r="S796" s="23">
        <f t="shared" si="235"/>
        <v>0</v>
      </c>
    </row>
    <row r="797" spans="1:19" s="45" customFormat="1">
      <c r="A797" s="44" t="s">
        <v>706</v>
      </c>
      <c r="B797" s="45" t="s">
        <v>19</v>
      </c>
      <c r="C797" s="46">
        <v>73</v>
      </c>
      <c r="D797" s="47" t="s">
        <v>20</v>
      </c>
      <c r="E797" s="48"/>
      <c r="F797" s="49">
        <v>1</v>
      </c>
      <c r="G797" s="50" t="s">
        <v>21</v>
      </c>
      <c r="H797" s="49">
        <v>96</v>
      </c>
      <c r="I797" s="50" t="s">
        <v>20</v>
      </c>
      <c r="J797" s="51">
        <v>14000</v>
      </c>
      <c r="K797" s="47" t="s">
        <v>20</v>
      </c>
      <c r="L797" s="52">
        <v>0.125</v>
      </c>
      <c r="M797" s="52">
        <v>0.05</v>
      </c>
      <c r="N797" s="46"/>
      <c r="O797" s="50" t="s">
        <v>20</v>
      </c>
      <c r="P797" s="46">
        <f t="shared" si="245"/>
        <v>73</v>
      </c>
      <c r="Q797" s="50" t="s">
        <v>20</v>
      </c>
      <c r="R797" s="51">
        <f t="shared" si="246"/>
        <v>849537.5</v>
      </c>
      <c r="S797" s="32">
        <f t="shared" si="235"/>
        <v>765349.09909909905</v>
      </c>
    </row>
    <row r="798" spans="1:19" s="17" customFormat="1">
      <c r="A798" s="16" t="s">
        <v>707</v>
      </c>
      <c r="B798" s="17" t="s">
        <v>19</v>
      </c>
      <c r="C798" s="18"/>
      <c r="D798" s="19" t="s">
        <v>20</v>
      </c>
      <c r="E798" s="20">
        <v>6</v>
      </c>
      <c r="F798" s="21">
        <v>1</v>
      </c>
      <c r="G798" s="22" t="s">
        <v>21</v>
      </c>
      <c r="H798" s="21">
        <v>24</v>
      </c>
      <c r="I798" s="22" t="s">
        <v>20</v>
      </c>
      <c r="J798" s="23">
        <v>41000</v>
      </c>
      <c r="K798" s="19" t="s">
        <v>20</v>
      </c>
      <c r="L798" s="24">
        <v>0.125</v>
      </c>
      <c r="M798" s="24">
        <v>0.05</v>
      </c>
      <c r="N798" s="18">
        <v>144</v>
      </c>
      <c r="O798" s="22" t="s">
        <v>20</v>
      </c>
      <c r="P798" s="18">
        <f t="shared" si="245"/>
        <v>0</v>
      </c>
      <c r="Q798" s="22" t="s">
        <v>20</v>
      </c>
      <c r="R798" s="23">
        <f t="shared" si="246"/>
        <v>0</v>
      </c>
      <c r="S798" s="23">
        <f t="shared" si="235"/>
        <v>0</v>
      </c>
    </row>
    <row r="799" spans="1:19" s="26" customFormat="1">
      <c r="A799" s="25" t="s">
        <v>708</v>
      </c>
      <c r="B799" s="26" t="s">
        <v>19</v>
      </c>
      <c r="C799" s="27">
        <v>346</v>
      </c>
      <c r="D799" s="28" t="s">
        <v>20</v>
      </c>
      <c r="E799" s="29"/>
      <c r="F799" s="30">
        <v>1</v>
      </c>
      <c r="G799" s="31" t="s">
        <v>21</v>
      </c>
      <c r="H799" s="30">
        <v>100</v>
      </c>
      <c r="I799" s="31" t="s">
        <v>20</v>
      </c>
      <c r="J799" s="32">
        <v>15500</v>
      </c>
      <c r="K799" s="28" t="s">
        <v>20</v>
      </c>
      <c r="L799" s="33">
        <v>0.125</v>
      </c>
      <c r="M799" s="33">
        <v>0.05</v>
      </c>
      <c r="N799" s="27"/>
      <c r="O799" s="31" t="s">
        <v>20</v>
      </c>
      <c r="P799" s="27">
        <f t="shared" si="245"/>
        <v>346</v>
      </c>
      <c r="Q799" s="31" t="s">
        <v>20</v>
      </c>
      <c r="R799" s="32">
        <f t="shared" si="246"/>
        <v>4457993.75</v>
      </c>
      <c r="S799" s="32">
        <f t="shared" si="235"/>
        <v>4016210.5855855853</v>
      </c>
    </row>
    <row r="800" spans="1:19" s="63" customFormat="1">
      <c r="A800" s="111" t="s">
        <v>753</v>
      </c>
      <c r="B800" s="63" t="s">
        <v>26</v>
      </c>
      <c r="C800" s="64"/>
      <c r="D800" s="65" t="s">
        <v>20</v>
      </c>
      <c r="E800" s="66">
        <v>1</v>
      </c>
      <c r="F800" s="67">
        <v>1</v>
      </c>
      <c r="G800" s="68" t="s">
        <v>21</v>
      </c>
      <c r="H800" s="67">
        <v>24</v>
      </c>
      <c r="I800" s="68" t="s">
        <v>20</v>
      </c>
      <c r="J800" s="69">
        <f>372000/24</f>
        <v>15500</v>
      </c>
      <c r="K800" s="65" t="s">
        <v>20</v>
      </c>
      <c r="L800" s="70"/>
      <c r="M800" s="70">
        <v>0.17</v>
      </c>
      <c r="N800" s="64">
        <v>24</v>
      </c>
      <c r="O800" s="68" t="s">
        <v>20</v>
      </c>
      <c r="P800" s="64">
        <f t="shared" ref="P800" si="254">(C800+(E800*F800*H800))-N800</f>
        <v>0</v>
      </c>
      <c r="Q800" s="68" t="s">
        <v>20</v>
      </c>
      <c r="R800" s="69">
        <f t="shared" ref="R800" si="255">P800*(J800-(J800*L800)-((J800-(J800*L800))*M800))</f>
        <v>0</v>
      </c>
      <c r="S800" s="69">
        <f t="shared" ref="S800" si="256">R800/1.11</f>
        <v>0</v>
      </c>
    </row>
    <row r="801" spans="1:21" s="26" customFormat="1">
      <c r="A801" s="107" t="s">
        <v>710</v>
      </c>
      <c r="B801" s="26" t="s">
        <v>26</v>
      </c>
      <c r="C801" s="27"/>
      <c r="D801" s="28" t="s">
        <v>20</v>
      </c>
      <c r="E801" s="29">
        <f>1+1</f>
        <v>2</v>
      </c>
      <c r="F801" s="30">
        <v>1</v>
      </c>
      <c r="G801" s="31" t="s">
        <v>21</v>
      </c>
      <c r="H801" s="30">
        <v>24</v>
      </c>
      <c r="I801" s="31" t="s">
        <v>20</v>
      </c>
      <c r="J801" s="32">
        <f>444000/24</f>
        <v>18500</v>
      </c>
      <c r="K801" s="28" t="s">
        <v>20</v>
      </c>
      <c r="L801" s="33"/>
      <c r="M801" s="33">
        <v>0.17</v>
      </c>
      <c r="N801" s="27">
        <f>24+24</f>
        <v>48</v>
      </c>
      <c r="O801" s="31" t="s">
        <v>20</v>
      </c>
      <c r="P801" s="27">
        <f t="shared" si="245"/>
        <v>0</v>
      </c>
      <c r="Q801" s="31" t="s">
        <v>20</v>
      </c>
      <c r="R801" s="32">
        <f t="shared" si="246"/>
        <v>0</v>
      </c>
      <c r="S801" s="32">
        <f t="shared" si="235"/>
        <v>0</v>
      </c>
    </row>
    <row r="802" spans="1:21" s="45" customFormat="1">
      <c r="A802" s="107" t="s">
        <v>711</v>
      </c>
      <c r="B802" s="45" t="s">
        <v>26</v>
      </c>
      <c r="C802" s="46"/>
      <c r="D802" s="47" t="s">
        <v>20</v>
      </c>
      <c r="E802" s="48">
        <f>6+4</f>
        <v>10</v>
      </c>
      <c r="F802" s="49">
        <v>1</v>
      </c>
      <c r="G802" s="50" t="s">
        <v>21</v>
      </c>
      <c r="H802" s="49">
        <v>24</v>
      </c>
      <c r="I802" s="50" t="s">
        <v>20</v>
      </c>
      <c r="J802" s="51">
        <f>462000/24</f>
        <v>19250</v>
      </c>
      <c r="K802" s="47" t="s">
        <v>20</v>
      </c>
      <c r="L802" s="52"/>
      <c r="M802" s="52">
        <v>0.17</v>
      </c>
      <c r="N802" s="46">
        <f>24+48+24+72+48</f>
        <v>216</v>
      </c>
      <c r="O802" s="50" t="s">
        <v>20</v>
      </c>
      <c r="P802" s="46">
        <f t="shared" si="245"/>
        <v>24</v>
      </c>
      <c r="Q802" s="50" t="s">
        <v>20</v>
      </c>
      <c r="R802" s="51">
        <f t="shared" si="246"/>
        <v>383460</v>
      </c>
      <c r="S802" s="32">
        <f t="shared" si="235"/>
        <v>345459.45945945941</v>
      </c>
    </row>
    <row r="803" spans="1:21" s="17" customFormat="1">
      <c r="A803" s="111" t="s">
        <v>712</v>
      </c>
      <c r="B803" s="17" t="s">
        <v>26</v>
      </c>
      <c r="C803" s="18"/>
      <c r="D803" s="19" t="s">
        <v>20</v>
      </c>
      <c r="E803" s="20"/>
      <c r="F803" s="21">
        <v>1</v>
      </c>
      <c r="G803" s="22" t="s">
        <v>21</v>
      </c>
      <c r="H803" s="21">
        <v>24</v>
      </c>
      <c r="I803" s="22" t="s">
        <v>20</v>
      </c>
      <c r="J803" s="23">
        <v>17250</v>
      </c>
      <c r="K803" s="19" t="s">
        <v>20</v>
      </c>
      <c r="L803" s="24"/>
      <c r="M803" s="24">
        <v>0.17</v>
      </c>
      <c r="N803" s="18"/>
      <c r="O803" s="22" t="s">
        <v>20</v>
      </c>
      <c r="P803" s="18">
        <f t="shared" si="245"/>
        <v>0</v>
      </c>
      <c r="Q803" s="22" t="s">
        <v>20</v>
      </c>
      <c r="R803" s="23">
        <f t="shared" si="246"/>
        <v>0</v>
      </c>
      <c r="S803" s="23">
        <f t="shared" si="235"/>
        <v>0</v>
      </c>
    </row>
    <row r="804" spans="1:21" s="17" customFormat="1">
      <c r="A804" s="111" t="s">
        <v>713</v>
      </c>
      <c r="B804" s="17" t="s">
        <v>26</v>
      </c>
      <c r="C804" s="18"/>
      <c r="D804" s="19" t="s">
        <v>20</v>
      </c>
      <c r="E804" s="20"/>
      <c r="F804" s="21">
        <v>1</v>
      </c>
      <c r="G804" s="22" t="s">
        <v>21</v>
      </c>
      <c r="H804" s="21">
        <v>12</v>
      </c>
      <c r="I804" s="22" t="s">
        <v>20</v>
      </c>
      <c r="J804" s="23">
        <f>336000/12</f>
        <v>28000</v>
      </c>
      <c r="K804" s="19" t="s">
        <v>20</v>
      </c>
      <c r="L804" s="24"/>
      <c r="M804" s="24">
        <v>0.17</v>
      </c>
      <c r="N804" s="18"/>
      <c r="O804" s="22" t="s">
        <v>20</v>
      </c>
      <c r="P804" s="18">
        <f t="shared" si="245"/>
        <v>0</v>
      </c>
      <c r="Q804" s="22" t="s">
        <v>20</v>
      </c>
      <c r="R804" s="23">
        <f t="shared" si="246"/>
        <v>0</v>
      </c>
      <c r="S804" s="23">
        <f t="shared" si="235"/>
        <v>0</v>
      </c>
    </row>
    <row r="805" spans="1:21" s="17" customFormat="1">
      <c r="A805" s="111" t="s">
        <v>714</v>
      </c>
      <c r="B805" s="17" t="s">
        <v>26</v>
      </c>
      <c r="C805" s="18"/>
      <c r="D805" s="19" t="s">
        <v>20</v>
      </c>
      <c r="E805" s="20"/>
      <c r="F805" s="21">
        <v>1</v>
      </c>
      <c r="G805" s="22" t="s">
        <v>21</v>
      </c>
      <c r="H805" s="21">
        <v>12</v>
      </c>
      <c r="I805" s="22" t="s">
        <v>20</v>
      </c>
      <c r="J805" s="23">
        <f>294000/12</f>
        <v>24500</v>
      </c>
      <c r="K805" s="19" t="s">
        <v>20</v>
      </c>
      <c r="L805" s="24"/>
      <c r="M805" s="24">
        <v>0.17</v>
      </c>
      <c r="N805" s="18"/>
      <c r="O805" s="22" t="s">
        <v>20</v>
      </c>
      <c r="P805" s="18">
        <f t="shared" si="245"/>
        <v>0</v>
      </c>
      <c r="Q805" s="22" t="s">
        <v>20</v>
      </c>
      <c r="R805" s="23">
        <f t="shared" si="246"/>
        <v>0</v>
      </c>
      <c r="S805" s="23">
        <f t="shared" si="235"/>
        <v>0</v>
      </c>
    </row>
    <row r="806" spans="1:21" s="17" customFormat="1">
      <c r="A806" s="111" t="s">
        <v>730</v>
      </c>
      <c r="B806" s="17" t="s">
        <v>26</v>
      </c>
      <c r="C806" s="18"/>
      <c r="D806" s="19" t="s">
        <v>20</v>
      </c>
      <c r="E806" s="20"/>
      <c r="F806" s="21">
        <v>8</v>
      </c>
      <c r="G806" s="22" t="s">
        <v>43</v>
      </c>
      <c r="H806" s="21">
        <v>12</v>
      </c>
      <c r="I806" s="22" t="s">
        <v>20</v>
      </c>
      <c r="J806" s="23">
        <f>2112000/8/12</f>
        <v>22000</v>
      </c>
      <c r="K806" s="19" t="s">
        <v>20</v>
      </c>
      <c r="L806" s="24"/>
      <c r="M806" s="24">
        <v>0.17</v>
      </c>
      <c r="N806" s="18"/>
      <c r="O806" s="22" t="s">
        <v>20</v>
      </c>
      <c r="P806" s="18">
        <f t="shared" si="245"/>
        <v>0</v>
      </c>
      <c r="Q806" s="22" t="s">
        <v>20</v>
      </c>
      <c r="R806" s="23">
        <f t="shared" si="246"/>
        <v>0</v>
      </c>
      <c r="S806" s="23">
        <f t="shared" si="235"/>
        <v>0</v>
      </c>
    </row>
    <row r="807" spans="1:21" s="63" customFormat="1">
      <c r="A807" s="111" t="s">
        <v>715</v>
      </c>
      <c r="B807" s="63" t="s">
        <v>192</v>
      </c>
      <c r="C807" s="64">
        <v>62</v>
      </c>
      <c r="D807" s="65" t="s">
        <v>43</v>
      </c>
      <c r="E807" s="66"/>
      <c r="F807" s="67">
        <v>48</v>
      </c>
      <c r="G807" s="68" t="s">
        <v>34</v>
      </c>
      <c r="H807" s="67">
        <v>1</v>
      </c>
      <c r="I807" s="68" t="s">
        <v>43</v>
      </c>
      <c r="J807" s="69">
        <v>91000</v>
      </c>
      <c r="K807" s="65" t="s">
        <v>43</v>
      </c>
      <c r="L807" s="70"/>
      <c r="M807" s="70"/>
      <c r="N807" s="64">
        <f>1+1+2+1+1+3+48+5</f>
        <v>62</v>
      </c>
      <c r="O807" s="68" t="s">
        <v>43</v>
      </c>
      <c r="P807" s="64">
        <f>(C807+(E807*F807*H807))-N807</f>
        <v>0</v>
      </c>
      <c r="Q807" s="68" t="s">
        <v>43</v>
      </c>
      <c r="R807" s="69">
        <f t="shared" si="246"/>
        <v>0</v>
      </c>
      <c r="S807" s="23">
        <f t="shared" ref="S807:S808" si="257">R807/1.11</f>
        <v>0</v>
      </c>
    </row>
    <row r="808" spans="1:21" s="26" customFormat="1">
      <c r="A808" s="107" t="s">
        <v>716</v>
      </c>
      <c r="B808" s="26" t="s">
        <v>659</v>
      </c>
      <c r="C808" s="27">
        <v>60</v>
      </c>
      <c r="D808" s="28" t="s">
        <v>20</v>
      </c>
      <c r="E808" s="29"/>
      <c r="F808" s="30">
        <v>1</v>
      </c>
      <c r="G808" s="31" t="s">
        <v>21</v>
      </c>
      <c r="H808" s="30">
        <v>24</v>
      </c>
      <c r="I808" s="31" t="s">
        <v>20</v>
      </c>
      <c r="J808" s="32">
        <v>18200</v>
      </c>
      <c r="K808" s="28" t="s">
        <v>20</v>
      </c>
      <c r="L808" s="33">
        <v>0.15</v>
      </c>
      <c r="M808" s="33">
        <v>0.03</v>
      </c>
      <c r="N808" s="27"/>
      <c r="O808" s="31" t="s">
        <v>20</v>
      </c>
      <c r="P808" s="27">
        <f>(C808+(E808*F808*H808))-N808</f>
        <v>60</v>
      </c>
      <c r="Q808" s="31" t="s">
        <v>20</v>
      </c>
      <c r="R808" s="32">
        <f t="shared" si="246"/>
        <v>900354</v>
      </c>
      <c r="S808" s="32">
        <f t="shared" si="257"/>
        <v>811129.7297297297</v>
      </c>
    </row>
    <row r="809" spans="1:21">
      <c r="S809" s="23"/>
    </row>
    <row r="810" spans="1:21" ht="15.75">
      <c r="A810" s="14" t="s">
        <v>722</v>
      </c>
      <c r="S810" s="23"/>
    </row>
    <row r="811" spans="1:21" s="63" customFormat="1">
      <c r="A811" s="72" t="s">
        <v>723</v>
      </c>
      <c r="B811" s="63" t="s">
        <v>19</v>
      </c>
      <c r="C811" s="64"/>
      <c r="D811" s="65" t="s">
        <v>20</v>
      </c>
      <c r="E811" s="66"/>
      <c r="F811" s="67">
        <v>1</v>
      </c>
      <c r="G811" s="68" t="s">
        <v>21</v>
      </c>
      <c r="H811" s="67">
        <v>100</v>
      </c>
      <c r="I811" s="68" t="s">
        <v>20</v>
      </c>
      <c r="J811" s="69">
        <v>8400</v>
      </c>
      <c r="K811" s="65" t="s">
        <v>20</v>
      </c>
      <c r="L811" s="70">
        <v>0.125</v>
      </c>
      <c r="M811" s="70">
        <v>0.05</v>
      </c>
      <c r="N811" s="64"/>
      <c r="O811" s="68" t="s">
        <v>20</v>
      </c>
      <c r="P811" s="64">
        <f t="shared" ref="P811" si="258">(C811+(E811*F811*H811))-N811</f>
        <v>0</v>
      </c>
      <c r="Q811" s="68" t="s">
        <v>20</v>
      </c>
      <c r="R811" s="69">
        <f t="shared" ref="R811" si="259">P811*(J811-(J811*L811)-((J811-(J811*L811))*M811))</f>
        <v>0</v>
      </c>
      <c r="S811" s="69">
        <f t="shared" ref="S811" si="260">R811/1.11</f>
        <v>0</v>
      </c>
    </row>
    <row r="812" spans="1:21">
      <c r="A812" s="2"/>
      <c r="R812" s="23"/>
      <c r="S812" s="23"/>
    </row>
    <row r="814" spans="1:21" ht="16.5">
      <c r="R814" s="146">
        <f>SUM(R6:R812)</f>
        <v>1566366630.7</v>
      </c>
      <c r="S814" s="146">
        <f>SUM(S6:S812)</f>
        <v>1411141108.7387381</v>
      </c>
    </row>
    <row r="815" spans="1:21">
      <c r="R815" s="156"/>
      <c r="S815" s="147"/>
      <c r="U815" s="8"/>
    </row>
    <row r="816" spans="1:21">
      <c r="R816" s="155">
        <f>S816+(S816*11%)</f>
        <v>4572616771.8689003</v>
      </c>
      <c r="S816" s="247">
        <v>4119474569.2512617</v>
      </c>
      <c r="U816" s="246"/>
    </row>
    <row r="817" spans="18:21" ht="15.75">
      <c r="R817" s="208">
        <f>SUM(R814:R816)</f>
        <v>6138983402.5689001</v>
      </c>
      <c r="S817" s="208">
        <f>S814+S815+S816</f>
        <v>5530615677.9899998</v>
      </c>
      <c r="U817" s="246"/>
    </row>
    <row r="818" spans="18:21">
      <c r="R818" s="150"/>
      <c r="S818" s="150"/>
    </row>
    <row r="819" spans="18:21" ht="15.75">
      <c r="R819" s="151"/>
      <c r="S819" s="157"/>
    </row>
    <row r="820" spans="18:21" ht="15.75">
      <c r="R820" s="153"/>
      <c r="S820" s="154"/>
    </row>
  </sheetData>
  <sortState ref="A591:U595">
    <sortCondition ref="A591"/>
  </sortState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3"/>
  <sheetViews>
    <sheetView zoomScaleNormal="100" workbookViewId="0">
      <pane ySplit="3" topLeftCell="A263" activePane="bottomLeft" state="frozen"/>
      <selection pane="bottomLeft"/>
    </sheetView>
  </sheetViews>
  <sheetFormatPr defaultRowHeight="12.75"/>
  <cols>
    <col min="1" max="1" width="53.42578125" style="34" bestFit="1" customWidth="1"/>
    <col min="2" max="2" width="31.7109375" style="2" customWidth="1"/>
    <col min="3" max="3" width="4.85546875" style="3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3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785</v>
      </c>
    </row>
    <row r="2" spans="1:19" s="10" customFormat="1">
      <c r="A2" s="328" t="s">
        <v>0</v>
      </c>
      <c r="B2" s="327" t="s">
        <v>1</v>
      </c>
      <c r="C2" s="322" t="s">
        <v>2</v>
      </c>
      <c r="D2" s="322"/>
      <c r="E2" s="329" t="s">
        <v>720</v>
      </c>
      <c r="F2" s="324" t="s">
        <v>4</v>
      </c>
      <c r="G2" s="324"/>
      <c r="H2" s="324"/>
      <c r="I2" s="324"/>
      <c r="J2" s="325" t="s">
        <v>5</v>
      </c>
      <c r="K2" s="326"/>
      <c r="L2" s="326"/>
      <c r="M2" s="327"/>
      <c r="N2" s="318" t="s">
        <v>6</v>
      </c>
      <c r="O2" s="319"/>
      <c r="P2" s="322" t="s">
        <v>7</v>
      </c>
      <c r="Q2" s="322"/>
      <c r="R2" s="323" t="s">
        <v>8</v>
      </c>
      <c r="S2" s="323" t="s">
        <v>9</v>
      </c>
    </row>
    <row r="3" spans="1:19" s="10" customFormat="1">
      <c r="A3" s="328"/>
      <c r="B3" s="327"/>
      <c r="C3" s="322"/>
      <c r="D3" s="322"/>
      <c r="E3" s="329"/>
      <c r="F3" s="324" t="s">
        <v>10</v>
      </c>
      <c r="G3" s="324"/>
      <c r="H3" s="324" t="s">
        <v>11</v>
      </c>
      <c r="I3" s="324"/>
      <c r="J3" s="11" t="s">
        <v>12</v>
      </c>
      <c r="K3" s="12" t="s">
        <v>13</v>
      </c>
      <c r="L3" s="13" t="s">
        <v>14</v>
      </c>
      <c r="M3" s="13" t="s">
        <v>15</v>
      </c>
      <c r="N3" s="320"/>
      <c r="O3" s="321"/>
      <c r="P3" s="322"/>
      <c r="Q3" s="322"/>
      <c r="R3" s="323"/>
      <c r="S3" s="323"/>
    </row>
    <row r="4" spans="1:19" ht="15.75">
      <c r="A4" s="14" t="s">
        <v>16</v>
      </c>
    </row>
    <row r="5" spans="1:19">
      <c r="A5" s="15" t="s">
        <v>17</v>
      </c>
    </row>
    <row r="6" spans="1:19" s="17" customFormat="1">
      <c r="A6" s="16" t="s">
        <v>18</v>
      </c>
      <c r="B6" s="17" t="s">
        <v>19</v>
      </c>
      <c r="C6" s="18"/>
      <c r="D6" s="19" t="s">
        <v>20</v>
      </c>
      <c r="E6" s="20">
        <v>1</v>
      </c>
      <c r="F6" s="21">
        <v>1</v>
      </c>
      <c r="G6" s="22" t="s">
        <v>21</v>
      </c>
      <c r="H6" s="21">
        <v>60</v>
      </c>
      <c r="I6" s="22" t="s">
        <v>20</v>
      </c>
      <c r="J6" s="23">
        <v>45500</v>
      </c>
      <c r="K6" s="19" t="s">
        <v>20</v>
      </c>
      <c r="L6" s="24">
        <v>0.125</v>
      </c>
      <c r="M6" s="24">
        <v>0.05</v>
      </c>
      <c r="N6" s="18">
        <v>60</v>
      </c>
      <c r="O6" s="22" t="s">
        <v>20</v>
      </c>
      <c r="P6" s="18">
        <f t="shared" ref="P6:P16" si="0">(C6+(E6*F6*H6))-N6</f>
        <v>0</v>
      </c>
      <c r="Q6" s="22" t="s">
        <v>20</v>
      </c>
      <c r="R6" s="23">
        <f t="shared" ref="R6:R16" si="1">P6*(J6-(J6*L6)-((J6-(J6*L6))*M6))</f>
        <v>0</v>
      </c>
      <c r="S6" s="23">
        <f>R6/1.11</f>
        <v>0</v>
      </c>
    </row>
    <row r="7" spans="1:19" s="17" customFormat="1">
      <c r="A7" s="16" t="s">
        <v>22</v>
      </c>
      <c r="B7" s="17" t="s">
        <v>19</v>
      </c>
      <c r="C7" s="18"/>
      <c r="D7" s="19" t="s">
        <v>20</v>
      </c>
      <c r="E7" s="20"/>
      <c r="F7" s="21">
        <v>1</v>
      </c>
      <c r="G7" s="22" t="s">
        <v>21</v>
      </c>
      <c r="H7" s="21">
        <v>48</v>
      </c>
      <c r="I7" s="22" t="s">
        <v>20</v>
      </c>
      <c r="J7" s="23">
        <v>28000</v>
      </c>
      <c r="K7" s="19" t="s">
        <v>20</v>
      </c>
      <c r="L7" s="24">
        <v>0.125</v>
      </c>
      <c r="M7" s="24">
        <v>0.05</v>
      </c>
      <c r="N7" s="18"/>
      <c r="O7" s="22" t="s">
        <v>20</v>
      </c>
      <c r="P7" s="18">
        <f t="shared" si="0"/>
        <v>0</v>
      </c>
      <c r="Q7" s="22" t="s">
        <v>20</v>
      </c>
      <c r="R7" s="23">
        <f t="shared" si="1"/>
        <v>0</v>
      </c>
      <c r="S7" s="23">
        <f t="shared" ref="S7:S78" si="2">R7/1.11</f>
        <v>0</v>
      </c>
    </row>
    <row r="8" spans="1:19" s="17" customFormat="1">
      <c r="A8" s="16" t="s">
        <v>23</v>
      </c>
      <c r="B8" s="17" t="s">
        <v>19</v>
      </c>
      <c r="C8" s="18"/>
      <c r="D8" s="19" t="s">
        <v>20</v>
      </c>
      <c r="E8" s="20"/>
      <c r="F8" s="21">
        <v>1</v>
      </c>
      <c r="G8" s="22" t="s">
        <v>21</v>
      </c>
      <c r="H8" s="21">
        <v>48</v>
      </c>
      <c r="I8" s="22" t="s">
        <v>20</v>
      </c>
      <c r="J8" s="23">
        <v>31700</v>
      </c>
      <c r="K8" s="19" t="s">
        <v>20</v>
      </c>
      <c r="L8" s="24">
        <v>0.125</v>
      </c>
      <c r="M8" s="24">
        <v>0.05</v>
      </c>
      <c r="N8" s="18"/>
      <c r="O8" s="22" t="s">
        <v>20</v>
      </c>
      <c r="P8" s="18">
        <f t="shared" si="0"/>
        <v>0</v>
      </c>
      <c r="Q8" s="22" t="s">
        <v>20</v>
      </c>
      <c r="R8" s="23">
        <f t="shared" si="1"/>
        <v>0</v>
      </c>
      <c r="S8" s="23">
        <f t="shared" si="2"/>
        <v>0</v>
      </c>
    </row>
    <row r="9" spans="1:19" s="17" customFormat="1">
      <c r="A9" s="16" t="s">
        <v>24</v>
      </c>
      <c r="B9" s="17" t="s">
        <v>19</v>
      </c>
      <c r="C9" s="18"/>
      <c r="D9" s="19" t="s">
        <v>20</v>
      </c>
      <c r="E9" s="20"/>
      <c r="F9" s="21">
        <v>1</v>
      </c>
      <c r="G9" s="22" t="s">
        <v>21</v>
      </c>
      <c r="H9" s="21">
        <v>48</v>
      </c>
      <c r="I9" s="22" t="s">
        <v>20</v>
      </c>
      <c r="J9" s="23">
        <v>25000</v>
      </c>
      <c r="K9" s="19" t="s">
        <v>20</v>
      </c>
      <c r="L9" s="24">
        <v>0.125</v>
      </c>
      <c r="M9" s="24">
        <v>0.05</v>
      </c>
      <c r="N9" s="18"/>
      <c r="O9" s="22" t="s">
        <v>20</v>
      </c>
      <c r="P9" s="18">
        <f t="shared" si="0"/>
        <v>0</v>
      </c>
      <c r="Q9" s="22" t="s">
        <v>20</v>
      </c>
      <c r="R9" s="23">
        <f t="shared" si="1"/>
        <v>0</v>
      </c>
      <c r="S9" s="23">
        <f t="shared" si="2"/>
        <v>0</v>
      </c>
    </row>
    <row r="10" spans="1:19" s="17" customFormat="1">
      <c r="A10" s="16" t="s">
        <v>25</v>
      </c>
      <c r="B10" s="17" t="s">
        <v>26</v>
      </c>
      <c r="C10" s="18"/>
      <c r="D10" s="19" t="s">
        <v>20</v>
      </c>
      <c r="E10" s="20"/>
      <c r="F10" s="21">
        <v>1</v>
      </c>
      <c r="G10" s="22" t="s">
        <v>21</v>
      </c>
      <c r="H10" s="21">
        <v>60</v>
      </c>
      <c r="I10" s="22" t="s">
        <v>20</v>
      </c>
      <c r="J10" s="23">
        <v>23800</v>
      </c>
      <c r="K10" s="19" t="s">
        <v>20</v>
      </c>
      <c r="L10" s="24"/>
      <c r="M10" s="24">
        <v>0.17</v>
      </c>
      <c r="N10" s="18"/>
      <c r="O10" s="22" t="s">
        <v>20</v>
      </c>
      <c r="P10" s="18">
        <f t="shared" si="0"/>
        <v>0</v>
      </c>
      <c r="Q10" s="22" t="s">
        <v>20</v>
      </c>
      <c r="R10" s="23">
        <f t="shared" si="1"/>
        <v>0</v>
      </c>
      <c r="S10" s="23">
        <f t="shared" si="2"/>
        <v>0</v>
      </c>
    </row>
    <row r="11" spans="1:19" s="26" customFormat="1">
      <c r="A11" s="25" t="s">
        <v>27</v>
      </c>
      <c r="B11" s="26" t="s">
        <v>26</v>
      </c>
      <c r="C11" s="27">
        <v>60</v>
      </c>
      <c r="D11" s="28" t="s">
        <v>20</v>
      </c>
      <c r="E11" s="29"/>
      <c r="F11" s="30">
        <v>1</v>
      </c>
      <c r="G11" s="31" t="s">
        <v>21</v>
      </c>
      <c r="H11" s="30">
        <v>60</v>
      </c>
      <c r="I11" s="31" t="s">
        <v>20</v>
      </c>
      <c r="J11" s="32">
        <f>1500000/60</f>
        <v>25000</v>
      </c>
      <c r="K11" s="28" t="s">
        <v>20</v>
      </c>
      <c r="L11" s="33"/>
      <c r="M11" s="33">
        <v>0.17</v>
      </c>
      <c r="N11" s="27"/>
      <c r="O11" s="31" t="s">
        <v>20</v>
      </c>
      <c r="P11" s="27">
        <f t="shared" si="0"/>
        <v>60</v>
      </c>
      <c r="Q11" s="31" t="s">
        <v>20</v>
      </c>
      <c r="R11" s="32">
        <f t="shared" si="1"/>
        <v>1245000</v>
      </c>
      <c r="S11" s="32">
        <f t="shared" si="2"/>
        <v>1121621.6216216215</v>
      </c>
    </row>
    <row r="12" spans="1:19" s="17" customFormat="1">
      <c r="A12" s="16" t="s">
        <v>28</v>
      </c>
      <c r="B12" s="17" t="s">
        <v>26</v>
      </c>
      <c r="C12" s="18">
        <v>18</v>
      </c>
      <c r="D12" s="19" t="s">
        <v>20</v>
      </c>
      <c r="E12" s="20"/>
      <c r="F12" s="21">
        <v>1</v>
      </c>
      <c r="G12" s="22" t="s">
        <v>21</v>
      </c>
      <c r="H12" s="21">
        <v>60</v>
      </c>
      <c r="I12" s="22" t="s">
        <v>20</v>
      </c>
      <c r="J12" s="23">
        <v>27500</v>
      </c>
      <c r="K12" s="19" t="s">
        <v>20</v>
      </c>
      <c r="L12" s="24"/>
      <c r="M12" s="24">
        <v>0.17</v>
      </c>
      <c r="N12" s="18">
        <v>18</v>
      </c>
      <c r="O12" s="22" t="s">
        <v>20</v>
      </c>
      <c r="P12" s="18">
        <f t="shared" si="0"/>
        <v>0</v>
      </c>
      <c r="Q12" s="22" t="s">
        <v>20</v>
      </c>
      <c r="R12" s="23">
        <f t="shared" si="1"/>
        <v>0</v>
      </c>
      <c r="S12" s="23">
        <f t="shared" si="2"/>
        <v>0</v>
      </c>
    </row>
    <row r="13" spans="1:19" s="17" customFormat="1">
      <c r="A13" s="16" t="s">
        <v>786</v>
      </c>
      <c r="B13" s="17" t="s">
        <v>26</v>
      </c>
      <c r="C13" s="18"/>
      <c r="D13" s="19" t="s">
        <v>20</v>
      </c>
      <c r="E13" s="20">
        <v>1</v>
      </c>
      <c r="F13" s="21">
        <v>1</v>
      </c>
      <c r="G13" s="22" t="s">
        <v>21</v>
      </c>
      <c r="H13" s="21">
        <v>36</v>
      </c>
      <c r="I13" s="22" t="s">
        <v>20</v>
      </c>
      <c r="J13" s="23">
        <f>2520000/36</f>
        <v>70000</v>
      </c>
      <c r="K13" s="19" t="s">
        <v>20</v>
      </c>
      <c r="L13" s="24"/>
      <c r="M13" s="24">
        <v>0.17</v>
      </c>
      <c r="N13" s="18">
        <v>36</v>
      </c>
      <c r="O13" s="22" t="s">
        <v>20</v>
      </c>
      <c r="P13" s="18">
        <f t="shared" ref="P13" si="3">(C13+(E13*F13*H13))-N13</f>
        <v>0</v>
      </c>
      <c r="Q13" s="22" t="s">
        <v>20</v>
      </c>
      <c r="R13" s="23">
        <f t="shared" ref="R13" si="4">P13*(J13-(J13*L13)-((J13-(J13*L13))*M13))</f>
        <v>0</v>
      </c>
      <c r="S13" s="23">
        <f t="shared" ref="S13" si="5">R13/1.11</f>
        <v>0</v>
      </c>
    </row>
    <row r="14" spans="1:19" s="17" customFormat="1">
      <c r="A14" s="16" t="s">
        <v>29</v>
      </c>
      <c r="B14" s="17" t="s">
        <v>26</v>
      </c>
      <c r="C14" s="18"/>
      <c r="D14" s="19" t="s">
        <v>20</v>
      </c>
      <c r="E14" s="20"/>
      <c r="F14" s="21">
        <v>1</v>
      </c>
      <c r="G14" s="22" t="s">
        <v>21</v>
      </c>
      <c r="H14" s="21">
        <v>36</v>
      </c>
      <c r="I14" s="22" t="s">
        <v>20</v>
      </c>
      <c r="J14" s="23">
        <v>50500</v>
      </c>
      <c r="K14" s="19" t="s">
        <v>20</v>
      </c>
      <c r="L14" s="24"/>
      <c r="M14" s="24">
        <v>0.17</v>
      </c>
      <c r="N14" s="18"/>
      <c r="O14" s="22" t="s">
        <v>20</v>
      </c>
      <c r="P14" s="18">
        <f t="shared" si="0"/>
        <v>0</v>
      </c>
      <c r="Q14" s="22" t="s">
        <v>20</v>
      </c>
      <c r="R14" s="23">
        <f t="shared" si="1"/>
        <v>0</v>
      </c>
      <c r="S14" s="23">
        <f t="shared" si="2"/>
        <v>0</v>
      </c>
    </row>
    <row r="15" spans="1:19" s="63" customFormat="1">
      <c r="A15" s="72" t="s">
        <v>30</v>
      </c>
      <c r="B15" s="63" t="s">
        <v>26</v>
      </c>
      <c r="C15" s="64">
        <v>4</v>
      </c>
      <c r="D15" s="65" t="s">
        <v>20</v>
      </c>
      <c r="E15" s="66"/>
      <c r="F15" s="67">
        <v>1</v>
      </c>
      <c r="G15" s="68" t="s">
        <v>21</v>
      </c>
      <c r="H15" s="67">
        <v>72</v>
      </c>
      <c r="I15" s="68" t="s">
        <v>20</v>
      </c>
      <c r="J15" s="69">
        <v>37000</v>
      </c>
      <c r="K15" s="65" t="s">
        <v>20</v>
      </c>
      <c r="L15" s="70"/>
      <c r="M15" s="70">
        <v>0.17</v>
      </c>
      <c r="N15" s="64">
        <v>4</v>
      </c>
      <c r="O15" s="68" t="s">
        <v>20</v>
      </c>
      <c r="P15" s="64">
        <f t="shared" si="0"/>
        <v>0</v>
      </c>
      <c r="Q15" s="68" t="s">
        <v>20</v>
      </c>
      <c r="R15" s="69">
        <f t="shared" si="1"/>
        <v>0</v>
      </c>
      <c r="S15" s="69">
        <f t="shared" si="2"/>
        <v>0</v>
      </c>
    </row>
    <row r="16" spans="1:19" s="17" customFormat="1">
      <c r="A16" s="16" t="s">
        <v>31</v>
      </c>
      <c r="B16" s="17" t="s">
        <v>26</v>
      </c>
      <c r="C16" s="18"/>
      <c r="D16" s="19" t="s">
        <v>20</v>
      </c>
      <c r="E16" s="20"/>
      <c r="F16" s="21">
        <v>1</v>
      </c>
      <c r="G16" s="22" t="s">
        <v>21</v>
      </c>
      <c r="H16" s="21">
        <v>72</v>
      </c>
      <c r="I16" s="22" t="s">
        <v>20</v>
      </c>
      <c r="J16" s="23">
        <v>30000</v>
      </c>
      <c r="K16" s="19" t="s">
        <v>20</v>
      </c>
      <c r="L16" s="24"/>
      <c r="M16" s="24">
        <v>0.17</v>
      </c>
      <c r="N16" s="18"/>
      <c r="O16" s="22" t="s">
        <v>20</v>
      </c>
      <c r="P16" s="18">
        <f t="shared" si="0"/>
        <v>0</v>
      </c>
      <c r="Q16" s="22" t="s">
        <v>20</v>
      </c>
      <c r="R16" s="23">
        <f t="shared" si="1"/>
        <v>0</v>
      </c>
      <c r="S16" s="23">
        <f t="shared" si="2"/>
        <v>0</v>
      </c>
    </row>
    <row r="17" spans="1:19">
      <c r="A17" s="15" t="s">
        <v>32</v>
      </c>
      <c r="S17" s="23"/>
    </row>
    <row r="18" spans="1:19" s="26" customFormat="1">
      <c r="A18" s="25" t="s">
        <v>33</v>
      </c>
      <c r="B18" s="26" t="s">
        <v>19</v>
      </c>
      <c r="C18" s="27">
        <v>60</v>
      </c>
      <c r="D18" s="28" t="s">
        <v>34</v>
      </c>
      <c r="E18" s="29"/>
      <c r="F18" s="30">
        <v>1</v>
      </c>
      <c r="G18" s="31" t="s">
        <v>21</v>
      </c>
      <c r="H18" s="30">
        <v>60</v>
      </c>
      <c r="I18" s="31" t="s">
        <v>34</v>
      </c>
      <c r="J18" s="32">
        <v>22200</v>
      </c>
      <c r="K18" s="28" t="s">
        <v>34</v>
      </c>
      <c r="L18" s="33">
        <v>0.125</v>
      </c>
      <c r="M18" s="33">
        <v>0.05</v>
      </c>
      <c r="N18" s="27"/>
      <c r="O18" s="31" t="s">
        <v>34</v>
      </c>
      <c r="P18" s="27">
        <f t="shared" ref="P18:P24" si="6">(C18+(E18*F18*H18))-N18</f>
        <v>60</v>
      </c>
      <c r="Q18" s="31" t="s">
        <v>34</v>
      </c>
      <c r="R18" s="32">
        <f t="shared" ref="R18:R24" si="7">P18*(J18-(J18*L18)-((J18-(J18*L18))*M18))</f>
        <v>1107225</v>
      </c>
      <c r="S18" s="32">
        <f t="shared" si="2"/>
        <v>997499.99999999988</v>
      </c>
    </row>
    <row r="19" spans="1:19" s="26" customFormat="1">
      <c r="A19" s="25" t="s">
        <v>35</v>
      </c>
      <c r="B19" s="26" t="s">
        <v>19</v>
      </c>
      <c r="C19" s="27">
        <v>60</v>
      </c>
      <c r="D19" s="28" t="s">
        <v>34</v>
      </c>
      <c r="E19" s="29"/>
      <c r="F19" s="30">
        <v>1</v>
      </c>
      <c r="G19" s="31" t="s">
        <v>21</v>
      </c>
      <c r="H19" s="30">
        <v>60</v>
      </c>
      <c r="I19" s="31" t="s">
        <v>34</v>
      </c>
      <c r="J19" s="32">
        <v>31500</v>
      </c>
      <c r="K19" s="28" t="s">
        <v>34</v>
      </c>
      <c r="L19" s="33">
        <v>0.125</v>
      </c>
      <c r="M19" s="33">
        <v>0.05</v>
      </c>
      <c r="N19" s="27"/>
      <c r="O19" s="31" t="s">
        <v>34</v>
      </c>
      <c r="P19" s="27">
        <f t="shared" si="6"/>
        <v>60</v>
      </c>
      <c r="Q19" s="31" t="s">
        <v>34</v>
      </c>
      <c r="R19" s="32">
        <f t="shared" si="7"/>
        <v>1571062.5</v>
      </c>
      <c r="S19" s="32">
        <f t="shared" si="2"/>
        <v>1415371.6216216215</v>
      </c>
    </row>
    <row r="20" spans="1:19" s="17" customFormat="1">
      <c r="A20" s="16" t="s">
        <v>36</v>
      </c>
      <c r="B20" s="17" t="s">
        <v>19</v>
      </c>
      <c r="C20" s="18"/>
      <c r="D20" s="19" t="s">
        <v>34</v>
      </c>
      <c r="E20" s="20">
        <v>1</v>
      </c>
      <c r="F20" s="21">
        <v>1</v>
      </c>
      <c r="G20" s="22" t="s">
        <v>21</v>
      </c>
      <c r="H20" s="21">
        <v>60</v>
      </c>
      <c r="I20" s="22" t="s">
        <v>34</v>
      </c>
      <c r="J20" s="23">
        <v>31200</v>
      </c>
      <c r="K20" s="19" t="s">
        <v>34</v>
      </c>
      <c r="L20" s="24">
        <v>0.125</v>
      </c>
      <c r="M20" s="24">
        <v>0.05</v>
      </c>
      <c r="N20" s="18">
        <v>60</v>
      </c>
      <c r="O20" s="22" t="s">
        <v>34</v>
      </c>
      <c r="P20" s="18">
        <f t="shared" si="6"/>
        <v>0</v>
      </c>
      <c r="Q20" s="22" t="s">
        <v>34</v>
      </c>
      <c r="R20" s="23">
        <f t="shared" si="7"/>
        <v>0</v>
      </c>
      <c r="S20" s="23">
        <f t="shared" si="2"/>
        <v>0</v>
      </c>
    </row>
    <row r="21" spans="1:19" s="17" customFormat="1">
      <c r="A21" s="16" t="s">
        <v>772</v>
      </c>
      <c r="B21" s="17" t="s">
        <v>19</v>
      </c>
      <c r="C21" s="18"/>
      <c r="D21" s="19" t="s">
        <v>34</v>
      </c>
      <c r="E21" s="20"/>
      <c r="F21" s="21">
        <v>1</v>
      </c>
      <c r="G21" s="22" t="s">
        <v>21</v>
      </c>
      <c r="H21" s="21">
        <v>50</v>
      </c>
      <c r="I21" s="22" t="s">
        <v>34</v>
      </c>
      <c r="J21" s="23">
        <v>66000</v>
      </c>
      <c r="K21" s="19" t="s">
        <v>34</v>
      </c>
      <c r="L21" s="24">
        <v>0.125</v>
      </c>
      <c r="M21" s="24">
        <v>0.05</v>
      </c>
      <c r="N21" s="18"/>
      <c r="O21" s="22" t="s">
        <v>34</v>
      </c>
      <c r="P21" s="18">
        <f t="shared" si="6"/>
        <v>0</v>
      </c>
      <c r="Q21" s="22" t="s">
        <v>34</v>
      </c>
      <c r="R21" s="23">
        <f t="shared" si="7"/>
        <v>0</v>
      </c>
      <c r="S21" s="23">
        <f t="shared" si="2"/>
        <v>0</v>
      </c>
    </row>
    <row r="22" spans="1:19" s="17" customFormat="1">
      <c r="A22" s="16" t="s">
        <v>37</v>
      </c>
      <c r="B22" s="17" t="s">
        <v>19</v>
      </c>
      <c r="C22" s="18"/>
      <c r="D22" s="19" t="s">
        <v>34</v>
      </c>
      <c r="E22" s="20"/>
      <c r="F22" s="21">
        <v>1</v>
      </c>
      <c r="G22" s="22" t="s">
        <v>21</v>
      </c>
      <c r="H22" s="21">
        <v>180</v>
      </c>
      <c r="I22" s="22" t="s">
        <v>34</v>
      </c>
      <c r="J22" s="23">
        <v>9120</v>
      </c>
      <c r="K22" s="19" t="s">
        <v>34</v>
      </c>
      <c r="L22" s="24">
        <v>0.125</v>
      </c>
      <c r="M22" s="24">
        <v>0.05</v>
      </c>
      <c r="N22" s="18"/>
      <c r="O22" s="22" t="s">
        <v>34</v>
      </c>
      <c r="P22" s="18">
        <f t="shared" si="6"/>
        <v>0</v>
      </c>
      <c r="Q22" s="22" t="s">
        <v>34</v>
      </c>
      <c r="R22" s="23">
        <f t="shared" si="7"/>
        <v>0</v>
      </c>
      <c r="S22" s="23">
        <f t="shared" si="2"/>
        <v>0</v>
      </c>
    </row>
    <row r="23" spans="1:19" s="17" customFormat="1">
      <c r="A23" s="16" t="s">
        <v>38</v>
      </c>
      <c r="B23" s="17" t="s">
        <v>19</v>
      </c>
      <c r="C23" s="18">
        <v>2</v>
      </c>
      <c r="D23" s="19" t="s">
        <v>34</v>
      </c>
      <c r="E23" s="20"/>
      <c r="F23" s="21">
        <v>1</v>
      </c>
      <c r="G23" s="22" t="s">
        <v>21</v>
      </c>
      <c r="H23" s="21">
        <v>32</v>
      </c>
      <c r="I23" s="22" t="s">
        <v>34</v>
      </c>
      <c r="J23" s="23">
        <v>64800</v>
      </c>
      <c r="K23" s="19" t="s">
        <v>34</v>
      </c>
      <c r="L23" s="24">
        <v>0.125</v>
      </c>
      <c r="M23" s="24">
        <v>0.05</v>
      </c>
      <c r="N23" s="18">
        <v>2</v>
      </c>
      <c r="O23" s="22" t="s">
        <v>34</v>
      </c>
      <c r="P23" s="18">
        <f t="shared" si="6"/>
        <v>0</v>
      </c>
      <c r="Q23" s="22" t="s">
        <v>34</v>
      </c>
      <c r="R23" s="23">
        <f t="shared" si="7"/>
        <v>0</v>
      </c>
      <c r="S23" s="23">
        <f t="shared" si="2"/>
        <v>0</v>
      </c>
    </row>
    <row r="24" spans="1:19" s="17" customFormat="1">
      <c r="A24" s="16" t="s">
        <v>757</v>
      </c>
      <c r="B24" s="17" t="s">
        <v>26</v>
      </c>
      <c r="C24" s="18"/>
      <c r="D24" s="19" t="s">
        <v>34</v>
      </c>
      <c r="E24" s="20"/>
      <c r="F24" s="21">
        <v>1</v>
      </c>
      <c r="G24" s="22" t="s">
        <v>21</v>
      </c>
      <c r="H24" s="21">
        <v>32</v>
      </c>
      <c r="I24" s="22" t="s">
        <v>34</v>
      </c>
      <c r="J24" s="23">
        <f>1113600/32</f>
        <v>34800</v>
      </c>
      <c r="K24" s="19" t="s">
        <v>34</v>
      </c>
      <c r="L24" s="24"/>
      <c r="M24" s="24">
        <v>0.17</v>
      </c>
      <c r="N24" s="18"/>
      <c r="O24" s="22" t="s">
        <v>34</v>
      </c>
      <c r="P24" s="18">
        <f t="shared" si="6"/>
        <v>0</v>
      </c>
      <c r="Q24" s="22" t="s">
        <v>34</v>
      </c>
      <c r="R24" s="23">
        <f t="shared" si="7"/>
        <v>0</v>
      </c>
      <c r="S24" s="23">
        <f t="shared" si="2"/>
        <v>0</v>
      </c>
    </row>
    <row r="25" spans="1:19">
      <c r="S25" s="23"/>
    </row>
    <row r="26" spans="1:19" ht="15.75">
      <c r="A26" s="14" t="s">
        <v>39</v>
      </c>
      <c r="S26" s="23"/>
    </row>
    <row r="27" spans="1:19">
      <c r="A27" s="15" t="s">
        <v>40</v>
      </c>
      <c r="S27" s="23"/>
    </row>
    <row r="28" spans="1:19" s="17" customFormat="1">
      <c r="A28" s="16" t="s">
        <v>41</v>
      </c>
      <c r="B28" s="17" t="s">
        <v>19</v>
      </c>
      <c r="C28" s="18"/>
      <c r="D28" s="19" t="s">
        <v>20</v>
      </c>
      <c r="E28" s="20"/>
      <c r="F28" s="21">
        <v>1</v>
      </c>
      <c r="G28" s="22" t="s">
        <v>21</v>
      </c>
      <c r="H28" s="21">
        <v>60</v>
      </c>
      <c r="I28" s="22" t="s">
        <v>20</v>
      </c>
      <c r="J28" s="23">
        <v>18500</v>
      </c>
      <c r="K28" s="19" t="s">
        <v>20</v>
      </c>
      <c r="L28" s="24">
        <v>0.125</v>
      </c>
      <c r="M28" s="24">
        <v>0.05</v>
      </c>
      <c r="N28" s="18"/>
      <c r="O28" s="22" t="s">
        <v>20</v>
      </c>
      <c r="P28" s="18">
        <f t="shared" ref="P28:P33" si="8">(C28+(E28*F28*H28))-N28</f>
        <v>0</v>
      </c>
      <c r="Q28" s="22" t="s">
        <v>20</v>
      </c>
      <c r="R28" s="23">
        <f t="shared" ref="R28:R33" si="9">P28*(J28-(J28*L28)-((J28-(J28*L28))*M28))</f>
        <v>0</v>
      </c>
      <c r="S28" s="23">
        <f t="shared" si="2"/>
        <v>0</v>
      </c>
    </row>
    <row r="29" spans="1:19" s="45" customFormat="1">
      <c r="A29" s="44" t="s">
        <v>42</v>
      </c>
      <c r="B29" s="45" t="s">
        <v>26</v>
      </c>
      <c r="C29" s="46">
        <v>5</v>
      </c>
      <c r="D29" s="47" t="s">
        <v>43</v>
      </c>
      <c r="E29" s="48">
        <f>2+2</f>
        <v>4</v>
      </c>
      <c r="F29" s="49">
        <v>1</v>
      </c>
      <c r="G29" s="50" t="s">
        <v>21</v>
      </c>
      <c r="H29" s="49">
        <v>5</v>
      </c>
      <c r="I29" s="50" t="s">
        <v>43</v>
      </c>
      <c r="J29" s="51">
        <f>720000/5</f>
        <v>144000</v>
      </c>
      <c r="K29" s="47" t="s">
        <v>43</v>
      </c>
      <c r="L29" s="52"/>
      <c r="M29" s="52">
        <v>0.17</v>
      </c>
      <c r="N29" s="46">
        <f>10+1</f>
        <v>11</v>
      </c>
      <c r="O29" s="169" t="s">
        <v>43</v>
      </c>
      <c r="P29" s="46">
        <f t="shared" si="8"/>
        <v>14</v>
      </c>
      <c r="Q29" s="50" t="s">
        <v>43</v>
      </c>
      <c r="R29" s="51">
        <f t="shared" si="9"/>
        <v>1673280</v>
      </c>
      <c r="S29" s="51">
        <f t="shared" si="2"/>
        <v>1507459.4594594594</v>
      </c>
    </row>
    <row r="30" spans="1:19" s="45" customFormat="1">
      <c r="A30" s="44" t="s">
        <v>44</v>
      </c>
      <c r="B30" s="45" t="s">
        <v>26</v>
      </c>
      <c r="C30" s="46">
        <v>10</v>
      </c>
      <c r="D30" s="47" t="s">
        <v>43</v>
      </c>
      <c r="E30" s="48">
        <f>1+1+1+5</f>
        <v>8</v>
      </c>
      <c r="F30" s="49">
        <v>1</v>
      </c>
      <c r="G30" s="50" t="s">
        <v>21</v>
      </c>
      <c r="H30" s="49">
        <v>5</v>
      </c>
      <c r="I30" s="50" t="s">
        <v>43</v>
      </c>
      <c r="J30" s="51">
        <f>708000/5</f>
        <v>141600</v>
      </c>
      <c r="K30" s="47" t="s">
        <v>43</v>
      </c>
      <c r="L30" s="52"/>
      <c r="M30" s="52">
        <v>0.17</v>
      </c>
      <c r="N30" s="46">
        <f>5+(60/12)</f>
        <v>10</v>
      </c>
      <c r="O30" s="169" t="s">
        <v>43</v>
      </c>
      <c r="P30" s="46">
        <f t="shared" si="8"/>
        <v>40</v>
      </c>
      <c r="Q30" s="50" t="s">
        <v>43</v>
      </c>
      <c r="R30" s="51">
        <f t="shared" si="9"/>
        <v>4701120</v>
      </c>
      <c r="S30" s="51">
        <f t="shared" si="2"/>
        <v>4235243.2432432426</v>
      </c>
    </row>
    <row r="31" spans="1:19" s="45" customFormat="1">
      <c r="A31" s="35" t="s">
        <v>45</v>
      </c>
      <c r="B31" s="36" t="s">
        <v>26</v>
      </c>
      <c r="C31" s="37">
        <v>5</v>
      </c>
      <c r="D31" s="38" t="s">
        <v>43</v>
      </c>
      <c r="E31" s="39">
        <v>5</v>
      </c>
      <c r="F31" s="40">
        <v>1</v>
      </c>
      <c r="G31" s="41" t="s">
        <v>21</v>
      </c>
      <c r="H31" s="40">
        <v>5</v>
      </c>
      <c r="I31" s="41" t="s">
        <v>43</v>
      </c>
      <c r="J31" s="42">
        <f>915000/5</f>
        <v>183000</v>
      </c>
      <c r="K31" s="38" t="s">
        <v>43</v>
      </c>
      <c r="L31" s="43"/>
      <c r="M31" s="43">
        <v>0.17</v>
      </c>
      <c r="N31" s="37">
        <f>(60/12)+(1+1)</f>
        <v>7</v>
      </c>
      <c r="O31" s="202" t="s">
        <v>43</v>
      </c>
      <c r="P31" s="37">
        <f t="shared" si="8"/>
        <v>23</v>
      </c>
      <c r="Q31" s="41" t="s">
        <v>43</v>
      </c>
      <c r="R31" s="42">
        <f t="shared" si="9"/>
        <v>3493470</v>
      </c>
      <c r="S31" s="42">
        <f t="shared" si="2"/>
        <v>3147270.2702702698</v>
      </c>
    </row>
    <row r="32" spans="1:19" s="45" customFormat="1">
      <c r="A32" s="35" t="s">
        <v>45</v>
      </c>
      <c r="B32" s="36" t="s">
        <v>26</v>
      </c>
      <c r="C32" s="37"/>
      <c r="D32" s="38" t="s">
        <v>43</v>
      </c>
      <c r="E32" s="39">
        <v>1</v>
      </c>
      <c r="F32" s="40">
        <v>1</v>
      </c>
      <c r="G32" s="41" t="s">
        <v>21</v>
      </c>
      <c r="H32" s="40">
        <v>5</v>
      </c>
      <c r="I32" s="41" t="s">
        <v>43</v>
      </c>
      <c r="J32" s="42">
        <f>990000/5</f>
        <v>198000</v>
      </c>
      <c r="K32" s="38" t="s">
        <v>43</v>
      </c>
      <c r="L32" s="43"/>
      <c r="M32" s="43">
        <v>0.17</v>
      </c>
      <c r="N32" s="37"/>
      <c r="O32" s="202" t="s">
        <v>43</v>
      </c>
      <c r="P32" s="37">
        <f t="shared" ref="P32" si="10">(C32+(E32*F32*H32))-N32</f>
        <v>5</v>
      </c>
      <c r="Q32" s="41" t="s">
        <v>43</v>
      </c>
      <c r="R32" s="42">
        <f t="shared" ref="R32" si="11">P32*(J32-(J32*L32)-((J32-(J32*L32))*M32))</f>
        <v>821700</v>
      </c>
      <c r="S32" s="42">
        <f t="shared" ref="S32" si="12">R32/1.11</f>
        <v>740270.27027027018</v>
      </c>
    </row>
    <row r="33" spans="1:19" s="45" customFormat="1">
      <c r="A33" s="249" t="s">
        <v>46</v>
      </c>
      <c r="B33" s="250" t="s">
        <v>26</v>
      </c>
      <c r="C33" s="251"/>
      <c r="D33" s="252" t="s">
        <v>43</v>
      </c>
      <c r="E33" s="262">
        <v>5</v>
      </c>
      <c r="F33" s="263">
        <v>1</v>
      </c>
      <c r="G33" s="264" t="s">
        <v>21</v>
      </c>
      <c r="H33" s="263">
        <v>5</v>
      </c>
      <c r="I33" s="264" t="s">
        <v>43</v>
      </c>
      <c r="J33" s="265">
        <f>900000/5</f>
        <v>180000</v>
      </c>
      <c r="K33" s="252" t="s">
        <v>43</v>
      </c>
      <c r="L33" s="266"/>
      <c r="M33" s="266">
        <v>0.17</v>
      </c>
      <c r="N33" s="251">
        <f>5+(60/12)</f>
        <v>10</v>
      </c>
      <c r="O33" s="267" t="s">
        <v>43</v>
      </c>
      <c r="P33" s="251">
        <f t="shared" si="8"/>
        <v>15</v>
      </c>
      <c r="Q33" s="264" t="s">
        <v>43</v>
      </c>
      <c r="R33" s="265">
        <f t="shared" si="9"/>
        <v>2241000</v>
      </c>
      <c r="S33" s="265">
        <f t="shared" si="2"/>
        <v>2018918.9189189188</v>
      </c>
    </row>
    <row r="34" spans="1:19" s="45" customFormat="1">
      <c r="A34" s="249" t="s">
        <v>46</v>
      </c>
      <c r="B34" s="250" t="s">
        <v>26</v>
      </c>
      <c r="C34" s="251"/>
      <c r="D34" s="252" t="s">
        <v>43</v>
      </c>
      <c r="E34" s="262">
        <v>1</v>
      </c>
      <c r="F34" s="263">
        <v>1</v>
      </c>
      <c r="G34" s="264" t="s">
        <v>21</v>
      </c>
      <c r="H34" s="263">
        <v>5</v>
      </c>
      <c r="I34" s="264" t="s">
        <v>43</v>
      </c>
      <c r="J34" s="265">
        <f>975000/5</f>
        <v>195000</v>
      </c>
      <c r="K34" s="252" t="s">
        <v>43</v>
      </c>
      <c r="L34" s="266"/>
      <c r="M34" s="266">
        <v>0.17</v>
      </c>
      <c r="N34" s="251"/>
      <c r="O34" s="267" t="s">
        <v>43</v>
      </c>
      <c r="P34" s="251">
        <f t="shared" ref="P34" si="13">(C34+(E34*F34*H34))-N34</f>
        <v>5</v>
      </c>
      <c r="Q34" s="264" t="s">
        <v>43</v>
      </c>
      <c r="R34" s="265">
        <f t="shared" ref="R34" si="14">P34*(J34-(J34*L34)-((J34-(J34*L34))*M34))</f>
        <v>809250</v>
      </c>
      <c r="S34" s="265">
        <f t="shared" ref="S34" si="15">R34/1.11</f>
        <v>729054.05405405397</v>
      </c>
    </row>
    <row r="35" spans="1:19">
      <c r="A35" s="15" t="s">
        <v>776</v>
      </c>
      <c r="S35" s="23"/>
    </row>
    <row r="36" spans="1:19" s="17" customFormat="1">
      <c r="A36" s="72" t="s">
        <v>777</v>
      </c>
      <c r="B36" s="17" t="s">
        <v>779</v>
      </c>
      <c r="C36" s="18"/>
      <c r="D36" s="19" t="s">
        <v>20</v>
      </c>
      <c r="E36" s="20"/>
      <c r="F36" s="21">
        <v>1</v>
      </c>
      <c r="G36" s="22" t="s">
        <v>21</v>
      </c>
      <c r="H36" s="21">
        <v>50</v>
      </c>
      <c r="I36" s="22" t="s">
        <v>20</v>
      </c>
      <c r="J36" s="23">
        <v>12870</v>
      </c>
      <c r="K36" s="19" t="s">
        <v>20</v>
      </c>
      <c r="L36" s="24"/>
      <c r="M36" s="24"/>
      <c r="N36" s="18"/>
      <c r="O36" s="22" t="s">
        <v>20</v>
      </c>
      <c r="P36" s="18">
        <f t="shared" ref="P36:P37" si="16">(C36+(E36*F36*H36))-N36</f>
        <v>0</v>
      </c>
      <c r="Q36" s="22" t="s">
        <v>20</v>
      </c>
      <c r="R36" s="23">
        <f t="shared" ref="R36:R37" si="17">P36*(J36-(J36*L36)-((J36-(J36*L36))*M36))</f>
        <v>0</v>
      </c>
      <c r="S36" s="23">
        <f t="shared" ref="S36:S37" si="18">R36/1.11</f>
        <v>0</v>
      </c>
    </row>
    <row r="37" spans="1:19" s="26" customFormat="1">
      <c r="A37" s="44" t="s">
        <v>778</v>
      </c>
      <c r="B37" s="26" t="s">
        <v>779</v>
      </c>
      <c r="C37" s="27">
        <v>50</v>
      </c>
      <c r="D37" s="28" t="s">
        <v>20</v>
      </c>
      <c r="E37" s="29"/>
      <c r="F37" s="30">
        <v>1</v>
      </c>
      <c r="G37" s="31" t="s">
        <v>21</v>
      </c>
      <c r="H37" s="30">
        <v>50</v>
      </c>
      <c r="I37" s="31" t="s">
        <v>20</v>
      </c>
      <c r="J37" s="32">
        <v>12870</v>
      </c>
      <c r="K37" s="28" t="s">
        <v>20</v>
      </c>
      <c r="L37" s="33"/>
      <c r="M37" s="33"/>
      <c r="N37" s="27">
        <f>10+20</f>
        <v>30</v>
      </c>
      <c r="O37" s="31" t="s">
        <v>20</v>
      </c>
      <c r="P37" s="27">
        <f t="shared" si="16"/>
        <v>20</v>
      </c>
      <c r="Q37" s="31" t="s">
        <v>20</v>
      </c>
      <c r="R37" s="32">
        <f t="shared" si="17"/>
        <v>257400</v>
      </c>
      <c r="S37" s="32">
        <f t="shared" si="18"/>
        <v>231891.89189189186</v>
      </c>
    </row>
    <row r="38" spans="1:19">
      <c r="S38" s="23"/>
    </row>
    <row r="39" spans="1:19" ht="15.75">
      <c r="A39" s="14" t="s">
        <v>47</v>
      </c>
      <c r="S39" s="23"/>
    </row>
    <row r="40" spans="1:19" s="17" customFormat="1">
      <c r="A40" s="16" t="s">
        <v>48</v>
      </c>
      <c r="B40" s="17" t="s">
        <v>49</v>
      </c>
      <c r="C40" s="18"/>
      <c r="D40" s="19" t="s">
        <v>20</v>
      </c>
      <c r="E40" s="20"/>
      <c r="F40" s="21">
        <v>2</v>
      </c>
      <c r="G40" s="22" t="s">
        <v>34</v>
      </c>
      <c r="H40" s="21">
        <v>20</v>
      </c>
      <c r="I40" s="22" t="s">
        <v>20</v>
      </c>
      <c r="J40" s="23">
        <v>64000</v>
      </c>
      <c r="K40" s="19" t="s">
        <v>20</v>
      </c>
      <c r="L40" s="24">
        <v>0.125</v>
      </c>
      <c r="M40" s="24">
        <v>0.05</v>
      </c>
      <c r="N40" s="18"/>
      <c r="O40" s="22" t="s">
        <v>20</v>
      </c>
      <c r="P40" s="18">
        <f t="shared" ref="P40:P65" si="19">(C40+(E40*F40*H40))-N40</f>
        <v>0</v>
      </c>
      <c r="Q40" s="22" t="s">
        <v>20</v>
      </c>
      <c r="R40" s="23">
        <f t="shared" ref="R40:R65" si="20">P40*(J40-(J40*L40)-((J40-(J40*L40))*M40))</f>
        <v>0</v>
      </c>
      <c r="S40" s="23">
        <f t="shared" si="2"/>
        <v>0</v>
      </c>
    </row>
    <row r="41" spans="1:19" s="45" customFormat="1">
      <c r="A41" s="44" t="s">
        <v>50</v>
      </c>
      <c r="B41" s="45" t="s">
        <v>49</v>
      </c>
      <c r="C41" s="46">
        <v>100</v>
      </c>
      <c r="D41" s="47" t="s">
        <v>20</v>
      </c>
      <c r="E41" s="48">
        <v>1</v>
      </c>
      <c r="F41" s="49">
        <v>6</v>
      </c>
      <c r="G41" s="50" t="s">
        <v>34</v>
      </c>
      <c r="H41" s="49">
        <v>20</v>
      </c>
      <c r="I41" s="50" t="s">
        <v>20</v>
      </c>
      <c r="J41" s="51">
        <v>47000</v>
      </c>
      <c r="K41" s="47" t="s">
        <v>20</v>
      </c>
      <c r="L41" s="52">
        <v>0.125</v>
      </c>
      <c r="M41" s="52">
        <v>0.05</v>
      </c>
      <c r="N41" s="46">
        <v>120</v>
      </c>
      <c r="O41" s="50" t="s">
        <v>20</v>
      </c>
      <c r="P41" s="46">
        <f t="shared" si="19"/>
        <v>100</v>
      </c>
      <c r="Q41" s="50" t="s">
        <v>20</v>
      </c>
      <c r="R41" s="51">
        <f t="shared" si="20"/>
        <v>3906875</v>
      </c>
      <c r="S41" s="51">
        <f t="shared" si="2"/>
        <v>3519707.2072072071</v>
      </c>
    </row>
    <row r="42" spans="1:19" s="26" customFormat="1">
      <c r="A42" s="25" t="s">
        <v>51</v>
      </c>
      <c r="B42" s="26" t="s">
        <v>49</v>
      </c>
      <c r="C42" s="27">
        <v>15</v>
      </c>
      <c r="D42" s="28" t="s">
        <v>20</v>
      </c>
      <c r="E42" s="29">
        <v>1</v>
      </c>
      <c r="F42" s="30">
        <v>6</v>
      </c>
      <c r="G42" s="31" t="s">
        <v>34</v>
      </c>
      <c r="H42" s="30">
        <v>20</v>
      </c>
      <c r="I42" s="31" t="s">
        <v>20</v>
      </c>
      <c r="J42" s="32">
        <v>47000</v>
      </c>
      <c r="K42" s="28" t="s">
        <v>20</v>
      </c>
      <c r="L42" s="33">
        <v>0.125</v>
      </c>
      <c r="M42" s="33">
        <v>0.05</v>
      </c>
      <c r="N42" s="27">
        <v>14</v>
      </c>
      <c r="O42" s="31" t="s">
        <v>20</v>
      </c>
      <c r="P42" s="27">
        <f t="shared" si="19"/>
        <v>121</v>
      </c>
      <c r="Q42" s="31" t="s">
        <v>20</v>
      </c>
      <c r="R42" s="32">
        <f t="shared" si="20"/>
        <v>4727318.75</v>
      </c>
      <c r="S42" s="32">
        <f t="shared" si="2"/>
        <v>4258845.7207207205</v>
      </c>
    </row>
    <row r="43" spans="1:19" s="17" customFormat="1">
      <c r="A43" s="16" t="s">
        <v>52</v>
      </c>
      <c r="B43" s="17" t="s">
        <v>49</v>
      </c>
      <c r="C43" s="18"/>
      <c r="D43" s="19" t="s">
        <v>20</v>
      </c>
      <c r="E43" s="20"/>
      <c r="F43" s="21">
        <v>6</v>
      </c>
      <c r="G43" s="22" t="s">
        <v>34</v>
      </c>
      <c r="H43" s="21">
        <v>20</v>
      </c>
      <c r="I43" s="22" t="s">
        <v>20</v>
      </c>
      <c r="J43" s="23">
        <v>48000</v>
      </c>
      <c r="K43" s="19" t="s">
        <v>20</v>
      </c>
      <c r="L43" s="24">
        <v>0.125</v>
      </c>
      <c r="M43" s="24">
        <v>0.05</v>
      </c>
      <c r="N43" s="18"/>
      <c r="O43" s="22" t="s">
        <v>20</v>
      </c>
      <c r="P43" s="18">
        <f t="shared" si="19"/>
        <v>0</v>
      </c>
      <c r="Q43" s="22" t="s">
        <v>20</v>
      </c>
      <c r="R43" s="23">
        <f t="shared" si="20"/>
        <v>0</v>
      </c>
      <c r="S43" s="23">
        <f t="shared" si="2"/>
        <v>0</v>
      </c>
    </row>
    <row r="44" spans="1:19" s="26" customFormat="1">
      <c r="A44" s="25" t="s">
        <v>53</v>
      </c>
      <c r="B44" s="26" t="s">
        <v>49</v>
      </c>
      <c r="C44" s="27">
        <v>54</v>
      </c>
      <c r="D44" s="28" t="s">
        <v>20</v>
      </c>
      <c r="E44" s="29"/>
      <c r="F44" s="30">
        <v>4</v>
      </c>
      <c r="G44" s="31" t="s">
        <v>34</v>
      </c>
      <c r="H44" s="30">
        <v>20</v>
      </c>
      <c r="I44" s="31" t="s">
        <v>20</v>
      </c>
      <c r="J44" s="32">
        <v>49000</v>
      </c>
      <c r="K44" s="28" t="s">
        <v>20</v>
      </c>
      <c r="L44" s="33">
        <v>0.125</v>
      </c>
      <c r="M44" s="33">
        <v>0.05</v>
      </c>
      <c r="N44" s="27"/>
      <c r="O44" s="31" t="s">
        <v>20</v>
      </c>
      <c r="P44" s="27">
        <f t="shared" si="19"/>
        <v>54</v>
      </c>
      <c r="Q44" s="31" t="s">
        <v>20</v>
      </c>
      <c r="R44" s="32">
        <f t="shared" si="20"/>
        <v>2199487.5</v>
      </c>
      <c r="S44" s="32">
        <f t="shared" si="2"/>
        <v>1981520.2702702701</v>
      </c>
    </row>
    <row r="45" spans="1:19" s="45" customFormat="1">
      <c r="A45" s="44" t="s">
        <v>54</v>
      </c>
      <c r="B45" s="45" t="s">
        <v>49</v>
      </c>
      <c r="C45" s="46">
        <v>120</v>
      </c>
      <c r="D45" s="47" t="s">
        <v>20</v>
      </c>
      <c r="E45" s="48">
        <f>2+1</f>
        <v>3</v>
      </c>
      <c r="F45" s="49">
        <v>6</v>
      </c>
      <c r="G45" s="50" t="s">
        <v>34</v>
      </c>
      <c r="H45" s="49">
        <v>20</v>
      </c>
      <c r="I45" s="50" t="s">
        <v>20</v>
      </c>
      <c r="J45" s="51">
        <v>47000</v>
      </c>
      <c r="K45" s="47" t="s">
        <v>20</v>
      </c>
      <c r="L45" s="52">
        <v>0.125</v>
      </c>
      <c r="M45" s="52">
        <v>0.05</v>
      </c>
      <c r="N45" s="46">
        <f>6+120+20+14</f>
        <v>160</v>
      </c>
      <c r="O45" s="50" t="s">
        <v>20</v>
      </c>
      <c r="P45" s="46">
        <f t="shared" si="19"/>
        <v>320</v>
      </c>
      <c r="Q45" s="50" t="s">
        <v>20</v>
      </c>
      <c r="R45" s="51">
        <f t="shared" si="20"/>
        <v>12502000</v>
      </c>
      <c r="S45" s="51">
        <f t="shared" si="2"/>
        <v>11263063.063063063</v>
      </c>
    </row>
    <row r="46" spans="1:19" s="26" customFormat="1">
      <c r="A46" s="25" t="s">
        <v>55</v>
      </c>
      <c r="B46" s="26" t="s">
        <v>49</v>
      </c>
      <c r="C46" s="27">
        <v>140</v>
      </c>
      <c r="D46" s="28" t="s">
        <v>20</v>
      </c>
      <c r="E46" s="29"/>
      <c r="F46" s="30">
        <v>4</v>
      </c>
      <c r="G46" s="31" t="s">
        <v>34</v>
      </c>
      <c r="H46" s="30">
        <v>40</v>
      </c>
      <c r="I46" s="31" t="s">
        <v>20</v>
      </c>
      <c r="J46" s="32">
        <v>37000</v>
      </c>
      <c r="K46" s="28" t="s">
        <v>20</v>
      </c>
      <c r="L46" s="33">
        <v>0.125</v>
      </c>
      <c r="M46" s="33">
        <v>0.05</v>
      </c>
      <c r="N46" s="27"/>
      <c r="O46" s="31" t="s">
        <v>20</v>
      </c>
      <c r="P46" s="27">
        <f t="shared" si="19"/>
        <v>140</v>
      </c>
      <c r="Q46" s="31" t="s">
        <v>20</v>
      </c>
      <c r="R46" s="32">
        <f t="shared" si="20"/>
        <v>4305875</v>
      </c>
      <c r="S46" s="32">
        <f t="shared" si="2"/>
        <v>3879166.6666666665</v>
      </c>
    </row>
    <row r="47" spans="1:19" s="26" customFormat="1">
      <c r="A47" s="25" t="s">
        <v>56</v>
      </c>
      <c r="B47" s="26" t="s">
        <v>49</v>
      </c>
      <c r="C47" s="27">
        <v>7</v>
      </c>
      <c r="D47" s="28" t="s">
        <v>20</v>
      </c>
      <c r="E47" s="29"/>
      <c r="F47" s="30">
        <v>4</v>
      </c>
      <c r="G47" s="31" t="s">
        <v>34</v>
      </c>
      <c r="H47" s="30">
        <v>20</v>
      </c>
      <c r="I47" s="31" t="s">
        <v>20</v>
      </c>
      <c r="J47" s="32">
        <v>49000</v>
      </c>
      <c r="K47" s="28" t="s">
        <v>20</v>
      </c>
      <c r="L47" s="33">
        <v>0.125</v>
      </c>
      <c r="M47" s="33">
        <v>0.1</v>
      </c>
      <c r="N47" s="27"/>
      <c r="O47" s="31" t="s">
        <v>20</v>
      </c>
      <c r="P47" s="27">
        <f t="shared" si="19"/>
        <v>7</v>
      </c>
      <c r="Q47" s="31" t="s">
        <v>20</v>
      </c>
      <c r="R47" s="32">
        <f t="shared" si="20"/>
        <v>270112.5</v>
      </c>
      <c r="S47" s="32">
        <f t="shared" si="2"/>
        <v>243344.59459459459</v>
      </c>
    </row>
    <row r="48" spans="1:19" s="45" customFormat="1">
      <c r="A48" s="44" t="s">
        <v>57</v>
      </c>
      <c r="B48" s="45" t="s">
        <v>49</v>
      </c>
      <c r="C48" s="46">
        <v>21</v>
      </c>
      <c r="D48" s="47" t="s">
        <v>20</v>
      </c>
      <c r="E48" s="48"/>
      <c r="F48" s="49">
        <v>4</v>
      </c>
      <c r="G48" s="50" t="s">
        <v>34</v>
      </c>
      <c r="H48" s="49">
        <v>20</v>
      </c>
      <c r="I48" s="50" t="s">
        <v>20</v>
      </c>
      <c r="J48" s="51">
        <v>66000</v>
      </c>
      <c r="K48" s="47" t="s">
        <v>20</v>
      </c>
      <c r="L48" s="52">
        <v>0.125</v>
      </c>
      <c r="M48" s="52">
        <v>0.05</v>
      </c>
      <c r="N48" s="46"/>
      <c r="O48" s="50" t="s">
        <v>20</v>
      </c>
      <c r="P48" s="46">
        <f t="shared" si="19"/>
        <v>21</v>
      </c>
      <c r="Q48" s="50" t="s">
        <v>20</v>
      </c>
      <c r="R48" s="51">
        <f t="shared" si="20"/>
        <v>1152112.5</v>
      </c>
      <c r="S48" s="51">
        <f t="shared" si="2"/>
        <v>1037939.1891891891</v>
      </c>
    </row>
    <row r="49" spans="1:19" s="17" customFormat="1">
      <c r="A49" s="16" t="s">
        <v>58</v>
      </c>
      <c r="B49" s="17" t="s">
        <v>49</v>
      </c>
      <c r="C49" s="18"/>
      <c r="D49" s="19" t="s">
        <v>20</v>
      </c>
      <c r="E49" s="20"/>
      <c r="F49" s="21">
        <v>6</v>
      </c>
      <c r="G49" s="22" t="s">
        <v>34</v>
      </c>
      <c r="H49" s="21">
        <v>10</v>
      </c>
      <c r="I49" s="22" t="s">
        <v>20</v>
      </c>
      <c r="J49" s="23">
        <v>73000</v>
      </c>
      <c r="K49" s="19" t="s">
        <v>20</v>
      </c>
      <c r="L49" s="24">
        <v>0.125</v>
      </c>
      <c r="M49" s="24">
        <v>0.05</v>
      </c>
      <c r="N49" s="18"/>
      <c r="O49" s="22" t="s">
        <v>20</v>
      </c>
      <c r="P49" s="18">
        <f t="shared" si="19"/>
        <v>0</v>
      </c>
      <c r="Q49" s="22" t="s">
        <v>20</v>
      </c>
      <c r="R49" s="23">
        <f t="shared" si="20"/>
        <v>0</v>
      </c>
      <c r="S49" s="23">
        <f t="shared" si="2"/>
        <v>0</v>
      </c>
    </row>
    <row r="50" spans="1:19" s="17" customFormat="1">
      <c r="A50" s="16" t="s">
        <v>59</v>
      </c>
      <c r="B50" s="17" t="s">
        <v>49</v>
      </c>
      <c r="C50" s="18"/>
      <c r="D50" s="19" t="s">
        <v>20</v>
      </c>
      <c r="E50" s="20"/>
      <c r="F50" s="21">
        <v>8</v>
      </c>
      <c r="G50" s="22" t="s">
        <v>34</v>
      </c>
      <c r="H50" s="21">
        <v>10</v>
      </c>
      <c r="I50" s="22" t="s">
        <v>20</v>
      </c>
      <c r="J50" s="23">
        <v>56000</v>
      </c>
      <c r="K50" s="19" t="s">
        <v>20</v>
      </c>
      <c r="L50" s="24">
        <v>0.125</v>
      </c>
      <c r="M50" s="24">
        <v>0.05</v>
      </c>
      <c r="N50" s="18"/>
      <c r="O50" s="22" t="s">
        <v>20</v>
      </c>
      <c r="P50" s="18">
        <f t="shared" si="19"/>
        <v>0</v>
      </c>
      <c r="Q50" s="22" t="s">
        <v>20</v>
      </c>
      <c r="R50" s="23">
        <f t="shared" si="20"/>
        <v>0</v>
      </c>
      <c r="S50" s="23">
        <f t="shared" si="2"/>
        <v>0</v>
      </c>
    </row>
    <row r="51" spans="1:19" s="17" customFormat="1">
      <c r="A51" s="16" t="s">
        <v>60</v>
      </c>
      <c r="B51" s="17" t="s">
        <v>49</v>
      </c>
      <c r="C51" s="18"/>
      <c r="D51" s="19" t="s">
        <v>20</v>
      </c>
      <c r="E51" s="20"/>
      <c r="F51" s="21">
        <v>6</v>
      </c>
      <c r="G51" s="22" t="s">
        <v>34</v>
      </c>
      <c r="H51" s="21">
        <v>20</v>
      </c>
      <c r="I51" s="22" t="s">
        <v>20</v>
      </c>
      <c r="J51" s="23">
        <v>45000</v>
      </c>
      <c r="K51" s="19" t="s">
        <v>20</v>
      </c>
      <c r="L51" s="24">
        <v>0.125</v>
      </c>
      <c r="M51" s="24">
        <v>0.05</v>
      </c>
      <c r="N51" s="18"/>
      <c r="O51" s="22" t="s">
        <v>20</v>
      </c>
      <c r="P51" s="18">
        <f t="shared" si="19"/>
        <v>0</v>
      </c>
      <c r="Q51" s="22" t="s">
        <v>20</v>
      </c>
      <c r="R51" s="23">
        <f t="shared" si="20"/>
        <v>0</v>
      </c>
      <c r="S51" s="23">
        <f t="shared" si="2"/>
        <v>0</v>
      </c>
    </row>
    <row r="52" spans="1:19" s="26" customFormat="1">
      <c r="A52" s="25" t="s">
        <v>61</v>
      </c>
      <c r="B52" s="26" t="s">
        <v>49</v>
      </c>
      <c r="C52" s="27"/>
      <c r="D52" s="28" t="s">
        <v>20</v>
      </c>
      <c r="E52" s="29">
        <v>1</v>
      </c>
      <c r="F52" s="30">
        <v>8</v>
      </c>
      <c r="G52" s="31" t="s">
        <v>34</v>
      </c>
      <c r="H52" s="30">
        <v>20</v>
      </c>
      <c r="I52" s="31" t="s">
        <v>20</v>
      </c>
      <c r="J52" s="32">
        <v>32000</v>
      </c>
      <c r="K52" s="28" t="s">
        <v>20</v>
      </c>
      <c r="L52" s="33">
        <v>0.125</v>
      </c>
      <c r="M52" s="33">
        <v>0.1</v>
      </c>
      <c r="N52" s="27"/>
      <c r="O52" s="31" t="s">
        <v>20</v>
      </c>
      <c r="P52" s="27">
        <f t="shared" si="19"/>
        <v>160</v>
      </c>
      <c r="Q52" s="31" t="s">
        <v>20</v>
      </c>
      <c r="R52" s="32">
        <f t="shared" si="20"/>
        <v>4032000</v>
      </c>
      <c r="S52" s="32">
        <f t="shared" si="2"/>
        <v>3632432.4324324322</v>
      </c>
    </row>
    <row r="53" spans="1:19" s="26" customFormat="1">
      <c r="A53" s="25" t="s">
        <v>62</v>
      </c>
      <c r="B53" s="26" t="s">
        <v>49</v>
      </c>
      <c r="C53" s="27"/>
      <c r="D53" s="28" t="s">
        <v>20</v>
      </c>
      <c r="E53" s="29">
        <v>1</v>
      </c>
      <c r="F53" s="30">
        <v>8</v>
      </c>
      <c r="G53" s="31" t="s">
        <v>34</v>
      </c>
      <c r="H53" s="30">
        <v>20</v>
      </c>
      <c r="I53" s="31" t="s">
        <v>20</v>
      </c>
      <c r="J53" s="32">
        <v>27500</v>
      </c>
      <c r="K53" s="28" t="s">
        <v>20</v>
      </c>
      <c r="L53" s="33">
        <v>0.125</v>
      </c>
      <c r="M53" s="33">
        <v>0.1</v>
      </c>
      <c r="N53" s="27"/>
      <c r="O53" s="31" t="s">
        <v>20</v>
      </c>
      <c r="P53" s="27">
        <f t="shared" si="19"/>
        <v>160</v>
      </c>
      <c r="Q53" s="31" t="s">
        <v>20</v>
      </c>
      <c r="R53" s="32">
        <f t="shared" si="20"/>
        <v>3465000</v>
      </c>
      <c r="S53" s="32">
        <f t="shared" si="2"/>
        <v>3121621.6216216213</v>
      </c>
    </row>
    <row r="54" spans="1:19" s="45" customFormat="1">
      <c r="A54" s="44" t="s">
        <v>63</v>
      </c>
      <c r="B54" s="45" t="s">
        <v>49</v>
      </c>
      <c r="C54" s="46">
        <v>13</v>
      </c>
      <c r="D54" s="47" t="s">
        <v>20</v>
      </c>
      <c r="E54" s="48">
        <v>1</v>
      </c>
      <c r="F54" s="49">
        <v>4</v>
      </c>
      <c r="G54" s="50" t="s">
        <v>34</v>
      </c>
      <c r="H54" s="49">
        <v>20</v>
      </c>
      <c r="I54" s="50" t="s">
        <v>20</v>
      </c>
      <c r="J54" s="51">
        <v>54000</v>
      </c>
      <c r="K54" s="47" t="s">
        <v>20</v>
      </c>
      <c r="L54" s="52">
        <v>0.125</v>
      </c>
      <c r="M54" s="52">
        <v>0.05</v>
      </c>
      <c r="N54" s="46">
        <v>20</v>
      </c>
      <c r="O54" s="50" t="s">
        <v>20</v>
      </c>
      <c r="P54" s="46">
        <f t="shared" si="19"/>
        <v>73</v>
      </c>
      <c r="Q54" s="50" t="s">
        <v>20</v>
      </c>
      <c r="R54" s="51">
        <f t="shared" si="20"/>
        <v>3276787.5</v>
      </c>
      <c r="S54" s="51">
        <f t="shared" si="2"/>
        <v>2952060.8108108104</v>
      </c>
    </row>
    <row r="55" spans="1:19" s="45" customFormat="1">
      <c r="A55" s="44" t="s">
        <v>64</v>
      </c>
      <c r="B55" s="45" t="s">
        <v>49</v>
      </c>
      <c r="C55" s="46">
        <v>41</v>
      </c>
      <c r="D55" s="47" t="s">
        <v>20</v>
      </c>
      <c r="E55" s="48"/>
      <c r="F55" s="49">
        <v>6</v>
      </c>
      <c r="G55" s="50" t="s">
        <v>34</v>
      </c>
      <c r="H55" s="49">
        <v>10</v>
      </c>
      <c r="I55" s="50" t="s">
        <v>20</v>
      </c>
      <c r="J55" s="51">
        <v>72000</v>
      </c>
      <c r="K55" s="47" t="s">
        <v>20</v>
      </c>
      <c r="L55" s="52">
        <v>0.125</v>
      </c>
      <c r="M55" s="52">
        <v>0.05</v>
      </c>
      <c r="N55" s="46"/>
      <c r="O55" s="50" t="s">
        <v>20</v>
      </c>
      <c r="P55" s="46">
        <f>(C55+(E55*F55*H55))-N55</f>
        <v>41</v>
      </c>
      <c r="Q55" s="50" t="s">
        <v>20</v>
      </c>
      <c r="R55" s="51">
        <f>P55*(J55-(J55*L55)-((J55-(J55*L55))*M55))</f>
        <v>2453850</v>
      </c>
      <c r="S55" s="51">
        <f t="shared" si="2"/>
        <v>2210675.6756756753</v>
      </c>
    </row>
    <row r="56" spans="1:19" s="26" customFormat="1">
      <c r="A56" s="35" t="s">
        <v>65</v>
      </c>
      <c r="B56" s="36" t="s">
        <v>49</v>
      </c>
      <c r="C56" s="37">
        <v>65</v>
      </c>
      <c r="D56" s="38" t="s">
        <v>20</v>
      </c>
      <c r="E56" s="39"/>
      <c r="F56" s="40">
        <v>6</v>
      </c>
      <c r="G56" s="41" t="s">
        <v>34</v>
      </c>
      <c r="H56" s="40">
        <v>20</v>
      </c>
      <c r="I56" s="41" t="s">
        <v>20</v>
      </c>
      <c r="J56" s="42">
        <v>52000</v>
      </c>
      <c r="K56" s="38" t="s">
        <v>20</v>
      </c>
      <c r="L56" s="43">
        <v>0.125</v>
      </c>
      <c r="M56" s="43">
        <v>0.05</v>
      </c>
      <c r="N56" s="37"/>
      <c r="O56" s="41" t="s">
        <v>20</v>
      </c>
      <c r="P56" s="37">
        <f t="shared" si="19"/>
        <v>65</v>
      </c>
      <c r="Q56" s="41" t="s">
        <v>20</v>
      </c>
      <c r="R56" s="42">
        <f t="shared" si="20"/>
        <v>2809625</v>
      </c>
      <c r="S56" s="42">
        <f t="shared" si="2"/>
        <v>2531193.6936936933</v>
      </c>
    </row>
    <row r="57" spans="1:19" s="26" customFormat="1">
      <c r="A57" s="35" t="s">
        <v>65</v>
      </c>
      <c r="B57" s="36" t="s">
        <v>49</v>
      </c>
      <c r="C57" s="37"/>
      <c r="D57" s="38" t="s">
        <v>20</v>
      </c>
      <c r="E57" s="39">
        <v>1</v>
      </c>
      <c r="F57" s="40">
        <v>6</v>
      </c>
      <c r="G57" s="41" t="s">
        <v>34</v>
      </c>
      <c r="H57" s="40">
        <v>20</v>
      </c>
      <c r="I57" s="41" t="s">
        <v>20</v>
      </c>
      <c r="J57" s="42">
        <v>52000</v>
      </c>
      <c r="K57" s="38" t="s">
        <v>20</v>
      </c>
      <c r="L57" s="43">
        <v>0.125</v>
      </c>
      <c r="M57" s="43">
        <v>0.1</v>
      </c>
      <c r="N57" s="37"/>
      <c r="O57" s="41" t="s">
        <v>20</v>
      </c>
      <c r="P57" s="37">
        <f t="shared" ref="P57" si="21">(C57+(E57*F57*H57))-N57</f>
        <v>120</v>
      </c>
      <c r="Q57" s="41" t="s">
        <v>20</v>
      </c>
      <c r="R57" s="42">
        <f t="shared" ref="R57" si="22">P57*(J57-(J57*L57)-((J57-(J57*L57))*M57))</f>
        <v>4914000</v>
      </c>
      <c r="S57" s="42">
        <f t="shared" ref="S57" si="23">R57/1.11</f>
        <v>4427027.0270270268</v>
      </c>
    </row>
    <row r="58" spans="1:19" s="45" customFormat="1">
      <c r="A58" s="44" t="s">
        <v>66</v>
      </c>
      <c r="B58" s="45" t="s">
        <v>49</v>
      </c>
      <c r="C58" s="46">
        <v>68</v>
      </c>
      <c r="D58" s="47" t="s">
        <v>20</v>
      </c>
      <c r="E58" s="48"/>
      <c r="F58" s="49">
        <v>6</v>
      </c>
      <c r="G58" s="50" t="s">
        <v>34</v>
      </c>
      <c r="H58" s="49">
        <v>20</v>
      </c>
      <c r="I58" s="50" t="s">
        <v>20</v>
      </c>
      <c r="J58" s="51">
        <v>37000</v>
      </c>
      <c r="K58" s="47" t="s">
        <v>20</v>
      </c>
      <c r="L58" s="52">
        <v>0.125</v>
      </c>
      <c r="M58" s="52">
        <v>0.05</v>
      </c>
      <c r="N58" s="46">
        <v>20</v>
      </c>
      <c r="O58" s="50" t="s">
        <v>20</v>
      </c>
      <c r="P58" s="46">
        <f t="shared" si="19"/>
        <v>48</v>
      </c>
      <c r="Q58" s="50" t="s">
        <v>20</v>
      </c>
      <c r="R58" s="51">
        <f t="shared" si="20"/>
        <v>1476300</v>
      </c>
      <c r="S58" s="32">
        <f t="shared" si="2"/>
        <v>1329999.9999999998</v>
      </c>
    </row>
    <row r="59" spans="1:19" s="17" customFormat="1">
      <c r="A59" s="16" t="s">
        <v>67</v>
      </c>
      <c r="B59" s="17" t="s">
        <v>49</v>
      </c>
      <c r="C59" s="18"/>
      <c r="D59" s="19" t="s">
        <v>20</v>
      </c>
      <c r="E59" s="20"/>
      <c r="F59" s="21">
        <v>6</v>
      </c>
      <c r="G59" s="22" t="s">
        <v>34</v>
      </c>
      <c r="H59" s="21">
        <v>10</v>
      </c>
      <c r="I59" s="22" t="s">
        <v>20</v>
      </c>
      <c r="J59" s="23">
        <v>65000</v>
      </c>
      <c r="K59" s="19" t="s">
        <v>20</v>
      </c>
      <c r="L59" s="24">
        <v>0.125</v>
      </c>
      <c r="M59" s="24">
        <v>0.05</v>
      </c>
      <c r="N59" s="18"/>
      <c r="O59" s="22" t="s">
        <v>20</v>
      </c>
      <c r="P59" s="18">
        <f t="shared" si="19"/>
        <v>0</v>
      </c>
      <c r="Q59" s="22" t="s">
        <v>20</v>
      </c>
      <c r="R59" s="23">
        <f t="shared" si="20"/>
        <v>0</v>
      </c>
      <c r="S59" s="23">
        <f t="shared" si="2"/>
        <v>0</v>
      </c>
    </row>
    <row r="60" spans="1:19" s="45" customFormat="1">
      <c r="A60" s="44" t="s">
        <v>68</v>
      </c>
      <c r="B60" s="45" t="s">
        <v>49</v>
      </c>
      <c r="C60" s="46">
        <v>43</v>
      </c>
      <c r="D60" s="47" t="s">
        <v>20</v>
      </c>
      <c r="E60" s="48"/>
      <c r="F60" s="49">
        <v>6</v>
      </c>
      <c r="G60" s="50" t="s">
        <v>34</v>
      </c>
      <c r="H60" s="49">
        <v>10</v>
      </c>
      <c r="I60" s="50" t="s">
        <v>20</v>
      </c>
      <c r="J60" s="51">
        <v>71000</v>
      </c>
      <c r="K60" s="47" t="s">
        <v>20</v>
      </c>
      <c r="L60" s="52">
        <v>0.125</v>
      </c>
      <c r="M60" s="52">
        <v>0.05</v>
      </c>
      <c r="N60" s="46"/>
      <c r="O60" s="50" t="s">
        <v>20</v>
      </c>
      <c r="P60" s="46">
        <f t="shared" si="19"/>
        <v>43</v>
      </c>
      <c r="Q60" s="50" t="s">
        <v>20</v>
      </c>
      <c r="R60" s="51">
        <f t="shared" si="20"/>
        <v>2537806.25</v>
      </c>
      <c r="S60" s="51">
        <f t="shared" si="2"/>
        <v>2286311.9369369368</v>
      </c>
    </row>
    <row r="61" spans="1:19" s="45" customFormat="1">
      <c r="A61" s="44" t="s">
        <v>69</v>
      </c>
      <c r="B61" s="45" t="s">
        <v>49</v>
      </c>
      <c r="C61" s="46">
        <v>43</v>
      </c>
      <c r="D61" s="47" t="s">
        <v>20</v>
      </c>
      <c r="E61" s="48"/>
      <c r="F61" s="49">
        <v>6</v>
      </c>
      <c r="G61" s="50" t="s">
        <v>34</v>
      </c>
      <c r="H61" s="49">
        <v>10</v>
      </c>
      <c r="I61" s="50" t="s">
        <v>20</v>
      </c>
      <c r="J61" s="51">
        <v>75000</v>
      </c>
      <c r="K61" s="47" t="s">
        <v>20</v>
      </c>
      <c r="L61" s="52">
        <v>0.125</v>
      </c>
      <c r="M61" s="52">
        <v>0.05</v>
      </c>
      <c r="N61" s="46"/>
      <c r="O61" s="50" t="s">
        <v>20</v>
      </c>
      <c r="P61" s="46">
        <f>(C61+(E61*F61*H61))-N61</f>
        <v>43</v>
      </c>
      <c r="Q61" s="50" t="s">
        <v>20</v>
      </c>
      <c r="R61" s="51">
        <f>P61*(J61-(J61*L61)-((J61-(J61*L61))*M61))</f>
        <v>2680781.25</v>
      </c>
      <c r="S61" s="32">
        <f t="shared" si="2"/>
        <v>2415118.2432432431</v>
      </c>
    </row>
    <row r="62" spans="1:19" s="26" customFormat="1">
      <c r="A62" s="25" t="s">
        <v>70</v>
      </c>
      <c r="B62" s="26" t="s">
        <v>49</v>
      </c>
      <c r="C62" s="27">
        <v>6</v>
      </c>
      <c r="D62" s="28" t="s">
        <v>20</v>
      </c>
      <c r="E62" s="29"/>
      <c r="F62" s="30">
        <v>6</v>
      </c>
      <c r="G62" s="31" t="s">
        <v>34</v>
      </c>
      <c r="H62" s="30">
        <v>10</v>
      </c>
      <c r="I62" s="31" t="s">
        <v>20</v>
      </c>
      <c r="J62" s="32">
        <v>52000</v>
      </c>
      <c r="K62" s="28" t="s">
        <v>20</v>
      </c>
      <c r="L62" s="33">
        <v>0.125</v>
      </c>
      <c r="M62" s="33">
        <v>0.1</v>
      </c>
      <c r="N62" s="27"/>
      <c r="O62" s="31" t="s">
        <v>20</v>
      </c>
      <c r="P62" s="27">
        <f t="shared" si="19"/>
        <v>6</v>
      </c>
      <c r="Q62" s="31" t="s">
        <v>20</v>
      </c>
      <c r="R62" s="32">
        <f t="shared" si="20"/>
        <v>245700</v>
      </c>
      <c r="S62" s="32">
        <f t="shared" si="2"/>
        <v>221351.35135135133</v>
      </c>
    </row>
    <row r="63" spans="1:19" s="45" customFormat="1">
      <c r="A63" s="44" t="s">
        <v>71</v>
      </c>
      <c r="B63" s="45" t="s">
        <v>49</v>
      </c>
      <c r="C63" s="46">
        <v>47</v>
      </c>
      <c r="D63" s="47" t="s">
        <v>20</v>
      </c>
      <c r="E63" s="48">
        <v>1</v>
      </c>
      <c r="F63" s="49">
        <v>6</v>
      </c>
      <c r="G63" s="50" t="s">
        <v>34</v>
      </c>
      <c r="H63" s="49">
        <v>20</v>
      </c>
      <c r="I63" s="50" t="s">
        <v>20</v>
      </c>
      <c r="J63" s="51">
        <v>39000</v>
      </c>
      <c r="K63" s="47" t="s">
        <v>20</v>
      </c>
      <c r="L63" s="52">
        <v>0.125</v>
      </c>
      <c r="M63" s="52">
        <v>0.05</v>
      </c>
      <c r="N63" s="46">
        <v>20</v>
      </c>
      <c r="O63" s="50" t="s">
        <v>20</v>
      </c>
      <c r="P63" s="46">
        <f>(C63+(E63*F63*H63))-N63</f>
        <v>147</v>
      </c>
      <c r="Q63" s="50" t="s">
        <v>20</v>
      </c>
      <c r="R63" s="51">
        <f>P63*(J63-(J63*L63)-((J63-(J63*L63))*M63))</f>
        <v>4765556.25</v>
      </c>
      <c r="S63" s="32">
        <f t="shared" si="2"/>
        <v>4293293.9189189188</v>
      </c>
    </row>
    <row r="64" spans="1:19" s="26" customFormat="1">
      <c r="A64" s="25" t="s">
        <v>72</v>
      </c>
      <c r="B64" s="26" t="s">
        <v>49</v>
      </c>
      <c r="C64" s="27"/>
      <c r="D64" s="28" t="s">
        <v>20</v>
      </c>
      <c r="E64" s="29">
        <f>1+1</f>
        <v>2</v>
      </c>
      <c r="F64" s="30">
        <v>6</v>
      </c>
      <c r="G64" s="31" t="s">
        <v>34</v>
      </c>
      <c r="H64" s="30">
        <v>10</v>
      </c>
      <c r="I64" s="31" t="s">
        <v>20</v>
      </c>
      <c r="J64" s="32">
        <v>66000</v>
      </c>
      <c r="K64" s="28" t="s">
        <v>20</v>
      </c>
      <c r="L64" s="33">
        <v>0.125</v>
      </c>
      <c r="M64" s="33">
        <v>0.1</v>
      </c>
      <c r="N64" s="27"/>
      <c r="O64" s="31" t="s">
        <v>20</v>
      </c>
      <c r="P64" s="27">
        <f t="shared" si="19"/>
        <v>120</v>
      </c>
      <c r="Q64" s="31" t="s">
        <v>20</v>
      </c>
      <c r="R64" s="32">
        <f t="shared" si="20"/>
        <v>6237000</v>
      </c>
      <c r="S64" s="32">
        <f t="shared" si="2"/>
        <v>5618918.9189189188</v>
      </c>
    </row>
    <row r="65" spans="1:19" s="45" customFormat="1">
      <c r="A65" s="44" t="s">
        <v>73</v>
      </c>
      <c r="B65" s="45" t="s">
        <v>49</v>
      </c>
      <c r="C65" s="46">
        <v>451</v>
      </c>
      <c r="D65" s="47" t="s">
        <v>20</v>
      </c>
      <c r="E65" s="48"/>
      <c r="F65" s="49">
        <v>4</v>
      </c>
      <c r="G65" s="50" t="s">
        <v>34</v>
      </c>
      <c r="H65" s="49">
        <v>40</v>
      </c>
      <c r="I65" s="50" t="s">
        <v>20</v>
      </c>
      <c r="J65" s="51">
        <v>26000</v>
      </c>
      <c r="K65" s="47" t="s">
        <v>20</v>
      </c>
      <c r="L65" s="52">
        <v>0.125</v>
      </c>
      <c r="M65" s="52">
        <v>0.1</v>
      </c>
      <c r="N65" s="46">
        <v>12</v>
      </c>
      <c r="O65" s="50" t="s">
        <v>20</v>
      </c>
      <c r="P65" s="46">
        <f t="shared" si="19"/>
        <v>439</v>
      </c>
      <c r="Q65" s="50" t="s">
        <v>20</v>
      </c>
      <c r="R65" s="51">
        <f t="shared" si="20"/>
        <v>8988525</v>
      </c>
      <c r="S65" s="32">
        <f t="shared" si="2"/>
        <v>8097770.2702702694</v>
      </c>
    </row>
    <row r="66" spans="1:19">
      <c r="S66" s="23"/>
    </row>
    <row r="67" spans="1:19" ht="15.75">
      <c r="A67" s="14" t="s">
        <v>74</v>
      </c>
      <c r="S67" s="23">
        <f t="shared" si="2"/>
        <v>0</v>
      </c>
    </row>
    <row r="68" spans="1:19" s="17" customFormat="1">
      <c r="A68" s="16" t="s">
        <v>75</v>
      </c>
      <c r="B68" s="17" t="s">
        <v>19</v>
      </c>
      <c r="C68" s="18"/>
      <c r="D68" s="19" t="s">
        <v>20</v>
      </c>
      <c r="E68" s="20"/>
      <c r="F68" s="21">
        <v>1</v>
      </c>
      <c r="G68" s="22" t="s">
        <v>21</v>
      </c>
      <c r="H68" s="21">
        <v>6</v>
      </c>
      <c r="I68" s="22" t="s">
        <v>20</v>
      </c>
      <c r="J68" s="23">
        <v>390000</v>
      </c>
      <c r="K68" s="19" t="s">
        <v>20</v>
      </c>
      <c r="L68" s="24">
        <v>0.125</v>
      </c>
      <c r="M68" s="24">
        <v>0.05</v>
      </c>
      <c r="N68" s="18"/>
      <c r="O68" s="22" t="s">
        <v>20</v>
      </c>
      <c r="P68" s="18">
        <f>(C68+(E68*F68*H68))-N68</f>
        <v>0</v>
      </c>
      <c r="Q68" s="22" t="s">
        <v>20</v>
      </c>
      <c r="R68" s="23">
        <f>P68*(J68-(J68*L68)-((J68-(J68*L68))*M68))</f>
        <v>0</v>
      </c>
      <c r="S68" s="23">
        <f t="shared" si="2"/>
        <v>0</v>
      </c>
    </row>
    <row r="69" spans="1:19" s="17" customFormat="1">
      <c r="A69" s="16" t="s">
        <v>76</v>
      </c>
      <c r="B69" s="17" t="s">
        <v>19</v>
      </c>
      <c r="C69" s="18"/>
      <c r="D69" s="19" t="s">
        <v>20</v>
      </c>
      <c r="E69" s="20"/>
      <c r="F69" s="21">
        <v>1</v>
      </c>
      <c r="G69" s="22" t="s">
        <v>21</v>
      </c>
      <c r="H69" s="21">
        <v>6</v>
      </c>
      <c r="I69" s="22" t="s">
        <v>20</v>
      </c>
      <c r="J69" s="23">
        <v>500000</v>
      </c>
      <c r="K69" s="19" t="s">
        <v>20</v>
      </c>
      <c r="L69" s="24">
        <v>0.125</v>
      </c>
      <c r="M69" s="24">
        <v>0.05</v>
      </c>
      <c r="N69" s="18"/>
      <c r="O69" s="22" t="s">
        <v>20</v>
      </c>
      <c r="P69" s="18">
        <f>(C69+(E69*F69*H69))-N69</f>
        <v>0</v>
      </c>
      <c r="Q69" s="22" t="s">
        <v>20</v>
      </c>
      <c r="R69" s="23">
        <f>P69*(J69-(J69*L69)-((J69-(J69*L69))*M69))</f>
        <v>0</v>
      </c>
      <c r="S69" s="23">
        <f t="shared" si="2"/>
        <v>0</v>
      </c>
    </row>
    <row r="70" spans="1:19">
      <c r="S70" s="23"/>
    </row>
    <row r="71" spans="1:19" ht="15.75">
      <c r="A71" s="14" t="s">
        <v>77</v>
      </c>
      <c r="S71" s="23"/>
    </row>
    <row r="72" spans="1:19">
      <c r="A72" s="15" t="s">
        <v>78</v>
      </c>
      <c r="S72" s="23"/>
    </row>
    <row r="73" spans="1:19" s="63" customFormat="1">
      <c r="A73" s="62" t="s">
        <v>79</v>
      </c>
      <c r="B73" s="63" t="s">
        <v>19</v>
      </c>
      <c r="C73" s="64">
        <v>192</v>
      </c>
      <c r="D73" s="65" t="s">
        <v>80</v>
      </c>
      <c r="E73" s="66"/>
      <c r="F73" s="67">
        <v>1</v>
      </c>
      <c r="G73" s="68" t="s">
        <v>21</v>
      </c>
      <c r="H73" s="67">
        <v>48</v>
      </c>
      <c r="I73" s="68" t="s">
        <v>80</v>
      </c>
      <c r="J73" s="69">
        <v>14500</v>
      </c>
      <c r="K73" s="65" t="s">
        <v>80</v>
      </c>
      <c r="L73" s="70">
        <v>0.125</v>
      </c>
      <c r="M73" s="70">
        <v>0.05</v>
      </c>
      <c r="N73" s="64">
        <v>192</v>
      </c>
      <c r="O73" s="68" t="s">
        <v>80</v>
      </c>
      <c r="P73" s="64">
        <f t="shared" ref="P73:P93" si="24">(C73+(E73*F73*H73))-N73</f>
        <v>0</v>
      </c>
      <c r="Q73" s="68" t="s">
        <v>80</v>
      </c>
      <c r="R73" s="69">
        <f t="shared" ref="R73:R93" si="25">P73*(J73-(J73*L73)-((J73-(J73*L73))*M73))</f>
        <v>0</v>
      </c>
      <c r="S73" s="23">
        <f t="shared" si="2"/>
        <v>0</v>
      </c>
    </row>
    <row r="74" spans="1:19" s="63" customFormat="1">
      <c r="A74" s="62" t="s">
        <v>81</v>
      </c>
      <c r="B74" s="63" t="s">
        <v>19</v>
      </c>
      <c r="C74" s="64"/>
      <c r="D74" s="65" t="s">
        <v>80</v>
      </c>
      <c r="E74" s="66"/>
      <c r="F74" s="67">
        <v>1</v>
      </c>
      <c r="G74" s="68" t="s">
        <v>21</v>
      </c>
      <c r="H74" s="67">
        <v>96</v>
      </c>
      <c r="I74" s="68" t="s">
        <v>80</v>
      </c>
      <c r="J74" s="69">
        <v>12000</v>
      </c>
      <c r="K74" s="65" t="s">
        <v>80</v>
      </c>
      <c r="L74" s="70">
        <v>0.125</v>
      </c>
      <c r="M74" s="70">
        <v>0.05</v>
      </c>
      <c r="N74" s="64"/>
      <c r="O74" s="68" t="s">
        <v>80</v>
      </c>
      <c r="P74" s="64">
        <f t="shared" si="24"/>
        <v>0</v>
      </c>
      <c r="Q74" s="68" t="s">
        <v>80</v>
      </c>
      <c r="R74" s="69">
        <f t="shared" si="25"/>
        <v>0</v>
      </c>
      <c r="S74" s="23">
        <f t="shared" si="2"/>
        <v>0</v>
      </c>
    </row>
    <row r="75" spans="1:19" s="63" customFormat="1">
      <c r="A75" s="62" t="s">
        <v>82</v>
      </c>
      <c r="B75" s="63" t="s">
        <v>19</v>
      </c>
      <c r="C75" s="64"/>
      <c r="D75" s="65" t="s">
        <v>80</v>
      </c>
      <c r="E75" s="66"/>
      <c r="F75" s="67">
        <v>1</v>
      </c>
      <c r="G75" s="68" t="s">
        <v>21</v>
      </c>
      <c r="H75" s="67">
        <v>48</v>
      </c>
      <c r="I75" s="68" t="s">
        <v>80</v>
      </c>
      <c r="J75" s="69">
        <v>19500</v>
      </c>
      <c r="K75" s="65" t="s">
        <v>80</v>
      </c>
      <c r="L75" s="70">
        <v>0.125</v>
      </c>
      <c r="M75" s="70">
        <v>0.05</v>
      </c>
      <c r="N75" s="64"/>
      <c r="O75" s="68" t="s">
        <v>80</v>
      </c>
      <c r="P75" s="64">
        <f t="shared" si="24"/>
        <v>0</v>
      </c>
      <c r="Q75" s="68" t="s">
        <v>80</v>
      </c>
      <c r="R75" s="69">
        <f t="shared" si="25"/>
        <v>0</v>
      </c>
      <c r="S75" s="23">
        <f t="shared" si="2"/>
        <v>0</v>
      </c>
    </row>
    <row r="76" spans="1:19" s="63" customFormat="1">
      <c r="A76" s="62" t="s">
        <v>83</v>
      </c>
      <c r="B76" s="63" t="s">
        <v>19</v>
      </c>
      <c r="C76" s="64"/>
      <c r="D76" s="65" t="s">
        <v>80</v>
      </c>
      <c r="E76" s="66"/>
      <c r="F76" s="67">
        <v>1</v>
      </c>
      <c r="G76" s="68" t="s">
        <v>21</v>
      </c>
      <c r="H76" s="67">
        <v>48</v>
      </c>
      <c r="I76" s="68" t="s">
        <v>80</v>
      </c>
      <c r="J76" s="69">
        <v>14800</v>
      </c>
      <c r="K76" s="65" t="s">
        <v>80</v>
      </c>
      <c r="L76" s="70">
        <v>0.125</v>
      </c>
      <c r="M76" s="70">
        <v>0.05</v>
      </c>
      <c r="N76" s="64"/>
      <c r="O76" s="68" t="s">
        <v>80</v>
      </c>
      <c r="P76" s="64">
        <f t="shared" si="24"/>
        <v>0</v>
      </c>
      <c r="Q76" s="68" t="s">
        <v>80</v>
      </c>
      <c r="R76" s="69">
        <f t="shared" si="25"/>
        <v>0</v>
      </c>
      <c r="S76" s="23">
        <f t="shared" si="2"/>
        <v>0</v>
      </c>
    </row>
    <row r="77" spans="1:19" s="63" customFormat="1">
      <c r="A77" s="71" t="s">
        <v>84</v>
      </c>
      <c r="B77" s="63" t="s">
        <v>19</v>
      </c>
      <c r="C77" s="64"/>
      <c r="D77" s="65" t="s">
        <v>80</v>
      </c>
      <c r="E77" s="66"/>
      <c r="F77" s="67">
        <v>1</v>
      </c>
      <c r="G77" s="68" t="s">
        <v>21</v>
      </c>
      <c r="H77" s="67">
        <v>24</v>
      </c>
      <c r="I77" s="68" t="s">
        <v>80</v>
      </c>
      <c r="J77" s="69">
        <v>25200</v>
      </c>
      <c r="K77" s="65" t="s">
        <v>80</v>
      </c>
      <c r="L77" s="70">
        <v>0.125</v>
      </c>
      <c r="M77" s="70">
        <v>0.05</v>
      </c>
      <c r="N77" s="64"/>
      <c r="O77" s="68" t="s">
        <v>80</v>
      </c>
      <c r="P77" s="64">
        <f t="shared" si="24"/>
        <v>0</v>
      </c>
      <c r="Q77" s="68" t="s">
        <v>80</v>
      </c>
      <c r="R77" s="69">
        <f t="shared" si="25"/>
        <v>0</v>
      </c>
      <c r="S77" s="23">
        <f t="shared" si="2"/>
        <v>0</v>
      </c>
    </row>
    <row r="78" spans="1:19" s="63" customFormat="1">
      <c r="A78" s="71" t="s">
        <v>85</v>
      </c>
      <c r="B78" s="63" t="s">
        <v>19</v>
      </c>
      <c r="C78" s="64"/>
      <c r="D78" s="65" t="s">
        <v>80</v>
      </c>
      <c r="E78" s="66"/>
      <c r="F78" s="67">
        <v>1</v>
      </c>
      <c r="G78" s="68" t="s">
        <v>21</v>
      </c>
      <c r="H78" s="67">
        <v>24</v>
      </c>
      <c r="I78" s="68" t="s">
        <v>80</v>
      </c>
      <c r="J78" s="69">
        <v>20200</v>
      </c>
      <c r="K78" s="65" t="s">
        <v>80</v>
      </c>
      <c r="L78" s="70">
        <v>0.125</v>
      </c>
      <c r="M78" s="70">
        <v>0.05</v>
      </c>
      <c r="N78" s="64"/>
      <c r="O78" s="68" t="s">
        <v>80</v>
      </c>
      <c r="P78" s="64">
        <f t="shared" si="24"/>
        <v>0</v>
      </c>
      <c r="Q78" s="68" t="s">
        <v>80</v>
      </c>
      <c r="R78" s="69">
        <f t="shared" si="25"/>
        <v>0</v>
      </c>
      <c r="S78" s="69">
        <f t="shared" si="2"/>
        <v>0</v>
      </c>
    </row>
    <row r="79" spans="1:19" s="63" customFormat="1">
      <c r="A79" s="62" t="s">
        <v>86</v>
      </c>
      <c r="B79" s="63" t="s">
        <v>19</v>
      </c>
      <c r="C79" s="64"/>
      <c r="D79" s="65" t="s">
        <v>80</v>
      </c>
      <c r="E79" s="66"/>
      <c r="F79" s="67">
        <v>1</v>
      </c>
      <c r="G79" s="68" t="s">
        <v>21</v>
      </c>
      <c r="H79" s="67">
        <v>96</v>
      </c>
      <c r="I79" s="68" t="s">
        <v>80</v>
      </c>
      <c r="J79" s="69">
        <v>33000</v>
      </c>
      <c r="K79" s="65" t="s">
        <v>80</v>
      </c>
      <c r="L79" s="70">
        <v>0.125</v>
      </c>
      <c r="M79" s="70">
        <v>0.05</v>
      </c>
      <c r="N79" s="64"/>
      <c r="O79" s="68" t="s">
        <v>80</v>
      </c>
      <c r="P79" s="64">
        <f t="shared" si="24"/>
        <v>0</v>
      </c>
      <c r="Q79" s="68" t="s">
        <v>80</v>
      </c>
      <c r="R79" s="69">
        <f t="shared" si="25"/>
        <v>0</v>
      </c>
      <c r="S79" s="23">
        <f t="shared" ref="S79:S147" si="26">R79/1.11</f>
        <v>0</v>
      </c>
    </row>
    <row r="80" spans="1:19" s="45" customFormat="1">
      <c r="A80" s="44" t="s">
        <v>87</v>
      </c>
      <c r="B80" s="45" t="s">
        <v>19</v>
      </c>
      <c r="C80" s="46">
        <v>30</v>
      </c>
      <c r="D80" s="47" t="s">
        <v>88</v>
      </c>
      <c r="E80" s="48"/>
      <c r="F80" s="49">
        <v>1</v>
      </c>
      <c r="G80" s="50" t="s">
        <v>21</v>
      </c>
      <c r="H80" s="49">
        <v>60</v>
      </c>
      <c r="I80" s="50" t="s">
        <v>88</v>
      </c>
      <c r="J80" s="51">
        <v>27600</v>
      </c>
      <c r="K80" s="47" t="s">
        <v>88</v>
      </c>
      <c r="L80" s="52">
        <v>0.125</v>
      </c>
      <c r="M80" s="52">
        <v>0.05</v>
      </c>
      <c r="N80" s="46"/>
      <c r="O80" s="50" t="s">
        <v>88</v>
      </c>
      <c r="P80" s="46">
        <f t="shared" si="24"/>
        <v>30</v>
      </c>
      <c r="Q80" s="50" t="s">
        <v>88</v>
      </c>
      <c r="R80" s="51">
        <f t="shared" si="25"/>
        <v>688275</v>
      </c>
      <c r="S80" s="32">
        <f t="shared" si="26"/>
        <v>620067.56756756746</v>
      </c>
    </row>
    <row r="81" spans="1:19" s="63" customFormat="1">
      <c r="A81" s="72" t="s">
        <v>89</v>
      </c>
      <c r="B81" s="63" t="s">
        <v>19</v>
      </c>
      <c r="C81" s="64">
        <v>12</v>
      </c>
      <c r="D81" s="65" t="s">
        <v>88</v>
      </c>
      <c r="E81" s="66"/>
      <c r="F81" s="67">
        <v>1</v>
      </c>
      <c r="G81" s="68" t="s">
        <v>21</v>
      </c>
      <c r="H81" s="67">
        <v>50</v>
      </c>
      <c r="I81" s="68" t="s">
        <v>88</v>
      </c>
      <c r="J81" s="69">
        <v>30900</v>
      </c>
      <c r="K81" s="65" t="s">
        <v>88</v>
      </c>
      <c r="L81" s="70">
        <v>0.125</v>
      </c>
      <c r="M81" s="70">
        <v>0.05</v>
      </c>
      <c r="N81" s="64">
        <f>10+2</f>
        <v>12</v>
      </c>
      <c r="O81" s="68" t="s">
        <v>88</v>
      </c>
      <c r="P81" s="64">
        <f t="shared" si="24"/>
        <v>0</v>
      </c>
      <c r="Q81" s="68" t="s">
        <v>88</v>
      </c>
      <c r="R81" s="69">
        <f t="shared" si="25"/>
        <v>0</v>
      </c>
      <c r="S81" s="23">
        <f t="shared" si="26"/>
        <v>0</v>
      </c>
    </row>
    <row r="82" spans="1:19" s="45" customFormat="1">
      <c r="A82" s="44" t="s">
        <v>90</v>
      </c>
      <c r="B82" s="45" t="s">
        <v>19</v>
      </c>
      <c r="C82" s="46">
        <v>30</v>
      </c>
      <c r="D82" s="47" t="s">
        <v>88</v>
      </c>
      <c r="E82" s="48"/>
      <c r="F82" s="49">
        <v>1</v>
      </c>
      <c r="G82" s="50" t="s">
        <v>21</v>
      </c>
      <c r="H82" s="49">
        <v>30</v>
      </c>
      <c r="I82" s="50" t="s">
        <v>88</v>
      </c>
      <c r="J82" s="51">
        <v>48600</v>
      </c>
      <c r="K82" s="47" t="s">
        <v>88</v>
      </c>
      <c r="L82" s="52">
        <v>0.125</v>
      </c>
      <c r="M82" s="52">
        <v>0.05</v>
      </c>
      <c r="N82" s="46">
        <v>2</v>
      </c>
      <c r="O82" s="50" t="s">
        <v>88</v>
      </c>
      <c r="P82" s="46">
        <f t="shared" si="24"/>
        <v>28</v>
      </c>
      <c r="Q82" s="50" t="s">
        <v>88</v>
      </c>
      <c r="R82" s="51">
        <f t="shared" si="25"/>
        <v>1131165</v>
      </c>
      <c r="S82" s="32">
        <f t="shared" si="26"/>
        <v>1019067.5675675675</v>
      </c>
    </row>
    <row r="83" spans="1:19" s="63" customFormat="1">
      <c r="A83" s="72" t="s">
        <v>91</v>
      </c>
      <c r="B83" s="63" t="s">
        <v>19</v>
      </c>
      <c r="C83" s="64">
        <f>20+20</f>
        <v>40</v>
      </c>
      <c r="D83" s="65" t="s">
        <v>88</v>
      </c>
      <c r="E83" s="66">
        <v>2</v>
      </c>
      <c r="F83" s="67">
        <v>1</v>
      </c>
      <c r="G83" s="68" t="s">
        <v>21</v>
      </c>
      <c r="H83" s="67">
        <v>20</v>
      </c>
      <c r="I83" s="68" t="s">
        <v>88</v>
      </c>
      <c r="J83" s="69">
        <v>67800</v>
      </c>
      <c r="K83" s="65" t="s">
        <v>88</v>
      </c>
      <c r="L83" s="70">
        <v>0.125</v>
      </c>
      <c r="M83" s="70">
        <v>0.05</v>
      </c>
      <c r="N83" s="64">
        <f>20+40+20</f>
        <v>80</v>
      </c>
      <c r="O83" s="68" t="s">
        <v>88</v>
      </c>
      <c r="P83" s="64">
        <f t="shared" si="24"/>
        <v>0</v>
      </c>
      <c r="Q83" s="68" t="s">
        <v>88</v>
      </c>
      <c r="R83" s="69">
        <f t="shared" si="25"/>
        <v>0</v>
      </c>
      <c r="S83" s="23">
        <f t="shared" si="26"/>
        <v>0</v>
      </c>
    </row>
    <row r="84" spans="1:19" s="63" customFormat="1">
      <c r="A84" s="72" t="s">
        <v>92</v>
      </c>
      <c r="B84" s="63" t="s">
        <v>19</v>
      </c>
      <c r="C84" s="64">
        <v>2</v>
      </c>
      <c r="D84" s="65" t="s">
        <v>88</v>
      </c>
      <c r="E84" s="66"/>
      <c r="F84" s="67">
        <v>1</v>
      </c>
      <c r="G84" s="68" t="s">
        <v>21</v>
      </c>
      <c r="H84" s="67">
        <v>10</v>
      </c>
      <c r="I84" s="68" t="s">
        <v>88</v>
      </c>
      <c r="J84" s="69">
        <v>113700</v>
      </c>
      <c r="K84" s="65" t="s">
        <v>88</v>
      </c>
      <c r="L84" s="70">
        <v>0.125</v>
      </c>
      <c r="M84" s="70">
        <v>0.05</v>
      </c>
      <c r="N84" s="64">
        <v>2</v>
      </c>
      <c r="O84" s="68" t="s">
        <v>88</v>
      </c>
      <c r="P84" s="64">
        <f t="shared" si="24"/>
        <v>0</v>
      </c>
      <c r="Q84" s="68" t="s">
        <v>88</v>
      </c>
      <c r="R84" s="69">
        <f t="shared" si="25"/>
        <v>0</v>
      </c>
      <c r="S84" s="69">
        <f t="shared" si="26"/>
        <v>0</v>
      </c>
    </row>
    <row r="85" spans="1:19" s="45" customFormat="1">
      <c r="A85" s="44" t="s">
        <v>93</v>
      </c>
      <c r="B85" s="45" t="s">
        <v>19</v>
      </c>
      <c r="C85" s="46"/>
      <c r="D85" s="47" t="s">
        <v>88</v>
      </c>
      <c r="E85" s="48">
        <f>2+2</f>
        <v>4</v>
      </c>
      <c r="F85" s="49">
        <v>1</v>
      </c>
      <c r="G85" s="50" t="s">
        <v>21</v>
      </c>
      <c r="H85" s="49">
        <v>5</v>
      </c>
      <c r="I85" s="50" t="s">
        <v>88</v>
      </c>
      <c r="J85" s="51">
        <v>177000</v>
      </c>
      <c r="K85" s="47" t="s">
        <v>88</v>
      </c>
      <c r="L85" s="52">
        <v>0.125</v>
      </c>
      <c r="M85" s="52">
        <v>0.05</v>
      </c>
      <c r="N85" s="46">
        <f>2+2+5</f>
        <v>9</v>
      </c>
      <c r="O85" s="50" t="s">
        <v>88</v>
      </c>
      <c r="P85" s="46">
        <f t="shared" si="24"/>
        <v>11</v>
      </c>
      <c r="Q85" s="50" t="s">
        <v>88</v>
      </c>
      <c r="R85" s="51">
        <f t="shared" si="25"/>
        <v>1618443.75</v>
      </c>
      <c r="S85" s="51">
        <f t="shared" si="26"/>
        <v>1458057.4324324322</v>
      </c>
    </row>
    <row r="86" spans="1:19" s="45" customFormat="1">
      <c r="A86" s="44" t="s">
        <v>94</v>
      </c>
      <c r="B86" s="45" t="s">
        <v>19</v>
      </c>
      <c r="C86" s="46"/>
      <c r="D86" s="47" t="s">
        <v>43</v>
      </c>
      <c r="E86" s="48">
        <v>4</v>
      </c>
      <c r="F86" s="49">
        <v>3</v>
      </c>
      <c r="G86" s="50" t="s">
        <v>88</v>
      </c>
      <c r="H86" s="49">
        <v>12</v>
      </c>
      <c r="I86" s="50" t="s">
        <v>43</v>
      </c>
      <c r="J86" s="51">
        <f>507600/12</f>
        <v>42300</v>
      </c>
      <c r="K86" s="47" t="s">
        <v>43</v>
      </c>
      <c r="L86" s="52">
        <v>0.125</v>
      </c>
      <c r="M86" s="52">
        <v>0.05</v>
      </c>
      <c r="N86" s="46">
        <f>12+3+6+(3*12)</f>
        <v>57</v>
      </c>
      <c r="O86" s="50" t="s">
        <v>43</v>
      </c>
      <c r="P86" s="46">
        <f t="shared" si="24"/>
        <v>87</v>
      </c>
      <c r="Q86" s="50" t="s">
        <v>43</v>
      </c>
      <c r="R86" s="51">
        <f t="shared" si="25"/>
        <v>3059083.125</v>
      </c>
      <c r="S86" s="32">
        <f t="shared" si="26"/>
        <v>2755930.7432432431</v>
      </c>
    </row>
    <row r="87" spans="1:19" s="26" customFormat="1">
      <c r="A87" s="25" t="s">
        <v>95</v>
      </c>
      <c r="B87" s="26" t="s">
        <v>26</v>
      </c>
      <c r="C87" s="27">
        <v>44</v>
      </c>
      <c r="D87" s="28" t="s">
        <v>88</v>
      </c>
      <c r="E87" s="29">
        <f>1+1</f>
        <v>2</v>
      </c>
      <c r="F87" s="30">
        <v>1</v>
      </c>
      <c r="G87" s="31" t="s">
        <v>21</v>
      </c>
      <c r="H87" s="30">
        <v>50</v>
      </c>
      <c r="I87" s="31" t="s">
        <v>88</v>
      </c>
      <c r="J87" s="32">
        <f>1440000/50</f>
        <v>28800</v>
      </c>
      <c r="K87" s="28" t="s">
        <v>88</v>
      </c>
      <c r="L87" s="33"/>
      <c r="M87" s="33">
        <v>0.17</v>
      </c>
      <c r="N87" s="27">
        <f>50+50+2</f>
        <v>102</v>
      </c>
      <c r="O87" s="31" t="s">
        <v>88</v>
      </c>
      <c r="P87" s="27">
        <f t="shared" si="24"/>
        <v>42</v>
      </c>
      <c r="Q87" s="31" t="s">
        <v>88</v>
      </c>
      <c r="R87" s="32">
        <f t="shared" si="25"/>
        <v>1003968</v>
      </c>
      <c r="S87" s="32">
        <f t="shared" si="26"/>
        <v>904475.67567567562</v>
      </c>
    </row>
    <row r="88" spans="1:19" s="26" customFormat="1">
      <c r="A88" s="25" t="s">
        <v>96</v>
      </c>
      <c r="B88" s="26" t="s">
        <v>26</v>
      </c>
      <c r="C88" s="27">
        <v>88</v>
      </c>
      <c r="D88" s="28" t="s">
        <v>88</v>
      </c>
      <c r="E88" s="29">
        <f>2+1</f>
        <v>3</v>
      </c>
      <c r="F88" s="30">
        <v>1</v>
      </c>
      <c r="G88" s="31" t="s">
        <v>21</v>
      </c>
      <c r="H88" s="30">
        <v>50</v>
      </c>
      <c r="I88" s="31" t="s">
        <v>88</v>
      </c>
      <c r="J88" s="32">
        <f>1590000/50</f>
        <v>31800</v>
      </c>
      <c r="K88" s="28" t="s">
        <v>88</v>
      </c>
      <c r="L88" s="33"/>
      <c r="M88" s="33">
        <v>0.17</v>
      </c>
      <c r="N88" s="27">
        <f>3+50+20+10+51</f>
        <v>134</v>
      </c>
      <c r="O88" s="31" t="s">
        <v>88</v>
      </c>
      <c r="P88" s="27">
        <f t="shared" si="24"/>
        <v>104</v>
      </c>
      <c r="Q88" s="31" t="s">
        <v>88</v>
      </c>
      <c r="R88" s="32">
        <f t="shared" si="25"/>
        <v>2744976</v>
      </c>
      <c r="S88" s="32">
        <f t="shared" si="26"/>
        <v>2472951.351351351</v>
      </c>
    </row>
    <row r="89" spans="1:19">
      <c r="A89" s="34" t="s">
        <v>97</v>
      </c>
      <c r="B89" s="2" t="s">
        <v>26</v>
      </c>
      <c r="C89" s="3">
        <v>13</v>
      </c>
      <c r="D89" s="4" t="s">
        <v>88</v>
      </c>
      <c r="E89" s="5">
        <f>1+2</f>
        <v>3</v>
      </c>
      <c r="F89" s="6">
        <v>1</v>
      </c>
      <c r="G89" s="7" t="s">
        <v>21</v>
      </c>
      <c r="H89" s="6">
        <v>30</v>
      </c>
      <c r="I89" s="7" t="s">
        <v>88</v>
      </c>
      <c r="J89" s="8">
        <f>1476000/30</f>
        <v>49200</v>
      </c>
      <c r="K89" s="4" t="s">
        <v>88</v>
      </c>
      <c r="M89" s="9">
        <v>0.17</v>
      </c>
      <c r="N89" s="3">
        <f>3+30</f>
        <v>33</v>
      </c>
      <c r="O89" s="7" t="s">
        <v>88</v>
      </c>
      <c r="P89" s="3">
        <f t="shared" si="24"/>
        <v>70</v>
      </c>
      <c r="Q89" s="7" t="s">
        <v>88</v>
      </c>
      <c r="R89" s="8">
        <f t="shared" si="25"/>
        <v>2858520</v>
      </c>
      <c r="S89" s="32">
        <f t="shared" si="26"/>
        <v>2575243.2432432431</v>
      </c>
    </row>
    <row r="90" spans="1:19" s="45" customFormat="1">
      <c r="A90" s="44" t="s">
        <v>98</v>
      </c>
      <c r="B90" s="45" t="s">
        <v>26</v>
      </c>
      <c r="C90" s="46">
        <v>40</v>
      </c>
      <c r="D90" s="47" t="s">
        <v>88</v>
      </c>
      <c r="E90" s="48">
        <v>2</v>
      </c>
      <c r="F90" s="49">
        <v>1</v>
      </c>
      <c r="G90" s="50" t="s">
        <v>21</v>
      </c>
      <c r="H90" s="49">
        <v>20</v>
      </c>
      <c r="I90" s="50" t="s">
        <v>88</v>
      </c>
      <c r="J90" s="51">
        <f>1380000/20</f>
        <v>69000</v>
      </c>
      <c r="K90" s="47" t="s">
        <v>88</v>
      </c>
      <c r="L90" s="52"/>
      <c r="M90" s="52">
        <v>0.17</v>
      </c>
      <c r="N90" s="46">
        <f>10+20+10</f>
        <v>40</v>
      </c>
      <c r="O90" s="50" t="s">
        <v>88</v>
      </c>
      <c r="P90" s="46">
        <f t="shared" si="24"/>
        <v>40</v>
      </c>
      <c r="Q90" s="50" t="s">
        <v>88</v>
      </c>
      <c r="R90" s="51">
        <f t="shared" si="25"/>
        <v>2290800</v>
      </c>
      <c r="S90" s="51">
        <f t="shared" si="26"/>
        <v>2063783.7837837837</v>
      </c>
    </row>
    <row r="91" spans="1:19" s="45" customFormat="1">
      <c r="A91" s="44" t="s">
        <v>99</v>
      </c>
      <c r="B91" s="45" t="s">
        <v>26</v>
      </c>
      <c r="C91" s="46">
        <v>20</v>
      </c>
      <c r="D91" s="47" t="s">
        <v>88</v>
      </c>
      <c r="E91" s="48">
        <v>2</v>
      </c>
      <c r="F91" s="49">
        <v>1</v>
      </c>
      <c r="G91" s="50" t="s">
        <v>21</v>
      </c>
      <c r="H91" s="49">
        <v>10</v>
      </c>
      <c r="I91" s="50" t="s">
        <v>88</v>
      </c>
      <c r="J91" s="51">
        <f>1200000/10</f>
        <v>120000</v>
      </c>
      <c r="K91" s="47" t="s">
        <v>88</v>
      </c>
      <c r="L91" s="52"/>
      <c r="M91" s="52">
        <v>0.17</v>
      </c>
      <c r="N91" s="46">
        <f>20+2</f>
        <v>22</v>
      </c>
      <c r="O91" s="50" t="s">
        <v>88</v>
      </c>
      <c r="P91" s="46">
        <f t="shared" si="24"/>
        <v>18</v>
      </c>
      <c r="Q91" s="50" t="s">
        <v>88</v>
      </c>
      <c r="R91" s="51">
        <f t="shared" si="25"/>
        <v>1792800</v>
      </c>
      <c r="S91" s="51">
        <f t="shared" si="26"/>
        <v>1615135.1351351349</v>
      </c>
    </row>
    <row r="92" spans="1:19" s="45" customFormat="1">
      <c r="A92" s="44" t="s">
        <v>100</v>
      </c>
      <c r="B92" s="45" t="s">
        <v>26</v>
      </c>
      <c r="C92" s="46"/>
      <c r="D92" s="47" t="s">
        <v>88</v>
      </c>
      <c r="E92" s="48">
        <f>5+5</f>
        <v>10</v>
      </c>
      <c r="F92" s="49">
        <v>1</v>
      </c>
      <c r="G92" s="50" t="s">
        <v>21</v>
      </c>
      <c r="H92" s="49">
        <v>5</v>
      </c>
      <c r="I92" s="50" t="s">
        <v>88</v>
      </c>
      <c r="J92" s="51">
        <f>900000/5</f>
        <v>180000</v>
      </c>
      <c r="K92" s="47" t="s">
        <v>88</v>
      </c>
      <c r="L92" s="52"/>
      <c r="M92" s="52">
        <v>0.17</v>
      </c>
      <c r="N92" s="46">
        <f>5+(120/12)+3+10+5+10</f>
        <v>43</v>
      </c>
      <c r="O92" s="50" t="s">
        <v>88</v>
      </c>
      <c r="P92" s="46">
        <f t="shared" si="24"/>
        <v>7</v>
      </c>
      <c r="Q92" s="50" t="s">
        <v>88</v>
      </c>
      <c r="R92" s="51">
        <f t="shared" si="25"/>
        <v>1045800</v>
      </c>
      <c r="S92" s="51">
        <f t="shared" si="26"/>
        <v>942162.16216216213</v>
      </c>
    </row>
    <row r="93" spans="1:19" s="26" customFormat="1">
      <c r="A93" s="25" t="s">
        <v>787</v>
      </c>
      <c r="B93" s="26" t="s">
        <v>26</v>
      </c>
      <c r="C93" s="27"/>
      <c r="D93" s="28" t="s">
        <v>34</v>
      </c>
      <c r="E93" s="29">
        <v>1</v>
      </c>
      <c r="F93" s="30">
        <v>1</v>
      </c>
      <c r="G93" s="31" t="s">
        <v>21</v>
      </c>
      <c r="H93" s="30">
        <v>72</v>
      </c>
      <c r="I93" s="31" t="s">
        <v>34</v>
      </c>
      <c r="J93" s="32">
        <f>1548000/72</f>
        <v>21500</v>
      </c>
      <c r="K93" s="28" t="s">
        <v>34</v>
      </c>
      <c r="L93" s="33"/>
      <c r="M93" s="33">
        <v>0.17</v>
      </c>
      <c r="N93" s="27">
        <f>(27/2)</f>
        <v>13.5</v>
      </c>
      <c r="O93" s="31" t="s">
        <v>34</v>
      </c>
      <c r="P93" s="27">
        <f t="shared" si="24"/>
        <v>58.5</v>
      </c>
      <c r="Q93" s="31" t="s">
        <v>34</v>
      </c>
      <c r="R93" s="32">
        <f t="shared" si="25"/>
        <v>1043932.5</v>
      </c>
      <c r="S93" s="32">
        <f t="shared" si="26"/>
        <v>940479.7297297297</v>
      </c>
    </row>
    <row r="94" spans="1:19">
      <c r="A94" s="15" t="s">
        <v>102</v>
      </c>
      <c r="S94" s="23"/>
    </row>
    <row r="95" spans="1:19" s="17" customFormat="1">
      <c r="A95" s="16" t="s">
        <v>103</v>
      </c>
      <c r="B95" s="17" t="s">
        <v>19</v>
      </c>
      <c r="C95" s="18"/>
      <c r="D95" s="19" t="s">
        <v>34</v>
      </c>
      <c r="E95" s="20"/>
      <c r="F95" s="21">
        <v>50</v>
      </c>
      <c r="G95" s="22" t="s">
        <v>104</v>
      </c>
      <c r="H95" s="21">
        <v>10</v>
      </c>
      <c r="I95" s="22" t="s">
        <v>34</v>
      </c>
      <c r="J95" s="23">
        <v>1850</v>
      </c>
      <c r="K95" s="19" t="s">
        <v>34</v>
      </c>
      <c r="L95" s="24">
        <v>0.125</v>
      </c>
      <c r="M95" s="24">
        <v>0.05</v>
      </c>
      <c r="N95" s="18"/>
      <c r="O95" s="22" t="s">
        <v>34</v>
      </c>
      <c r="P95" s="18">
        <f t="shared" ref="P95:P102" si="27">(C95+(E95*F95*H95))-N95</f>
        <v>0</v>
      </c>
      <c r="Q95" s="22" t="s">
        <v>34</v>
      </c>
      <c r="R95" s="23">
        <f t="shared" ref="R95:R102" si="28">P95*(J95-(J95*L95)-((J95-(J95*L95))*M95))</f>
        <v>0</v>
      </c>
      <c r="S95" s="23">
        <f t="shared" si="26"/>
        <v>0</v>
      </c>
    </row>
    <row r="96" spans="1:19" s="63" customFormat="1">
      <c r="A96" s="72" t="s">
        <v>105</v>
      </c>
      <c r="B96" s="63" t="s">
        <v>19</v>
      </c>
      <c r="C96" s="64"/>
      <c r="D96" s="65" t="s">
        <v>34</v>
      </c>
      <c r="E96" s="66">
        <v>2</v>
      </c>
      <c r="F96" s="67">
        <v>50</v>
      </c>
      <c r="G96" s="68" t="s">
        <v>104</v>
      </c>
      <c r="H96" s="67">
        <v>10</v>
      </c>
      <c r="I96" s="68" t="s">
        <v>34</v>
      </c>
      <c r="J96" s="69">
        <v>1625</v>
      </c>
      <c r="K96" s="65" t="s">
        <v>34</v>
      </c>
      <c r="L96" s="70">
        <v>0.125</v>
      </c>
      <c r="M96" s="70">
        <v>0.05</v>
      </c>
      <c r="N96" s="64">
        <v>1000</v>
      </c>
      <c r="O96" s="68" t="s">
        <v>34</v>
      </c>
      <c r="P96" s="64">
        <f t="shared" si="27"/>
        <v>0</v>
      </c>
      <c r="Q96" s="68" t="s">
        <v>34</v>
      </c>
      <c r="R96" s="69">
        <f t="shared" si="28"/>
        <v>0</v>
      </c>
      <c r="S96" s="23">
        <f t="shared" si="26"/>
        <v>0</v>
      </c>
    </row>
    <row r="97" spans="1:19" s="17" customFormat="1">
      <c r="A97" s="16" t="s">
        <v>106</v>
      </c>
      <c r="B97" s="17" t="s">
        <v>19</v>
      </c>
      <c r="C97" s="18"/>
      <c r="D97" s="19" t="s">
        <v>34</v>
      </c>
      <c r="E97" s="20">
        <v>1</v>
      </c>
      <c r="F97" s="21">
        <v>20</v>
      </c>
      <c r="G97" s="22" t="s">
        <v>104</v>
      </c>
      <c r="H97" s="21">
        <v>10</v>
      </c>
      <c r="I97" s="22" t="s">
        <v>34</v>
      </c>
      <c r="J97" s="23">
        <v>4400</v>
      </c>
      <c r="K97" s="19" t="s">
        <v>34</v>
      </c>
      <c r="L97" s="24">
        <v>0.125</v>
      </c>
      <c r="M97" s="24">
        <v>0.05</v>
      </c>
      <c r="N97" s="18">
        <v>200</v>
      </c>
      <c r="O97" s="22" t="s">
        <v>34</v>
      </c>
      <c r="P97" s="18">
        <f t="shared" si="27"/>
        <v>0</v>
      </c>
      <c r="Q97" s="22" t="s">
        <v>34</v>
      </c>
      <c r="R97" s="23">
        <f t="shared" si="28"/>
        <v>0</v>
      </c>
      <c r="S97" s="23">
        <f t="shared" si="26"/>
        <v>0</v>
      </c>
    </row>
    <row r="98" spans="1:19" s="45" customFormat="1">
      <c r="A98" s="44" t="s">
        <v>107</v>
      </c>
      <c r="B98" s="45" t="s">
        <v>19</v>
      </c>
      <c r="C98" s="46">
        <v>288</v>
      </c>
      <c r="D98" s="47" t="s">
        <v>108</v>
      </c>
      <c r="E98" s="48">
        <v>1</v>
      </c>
      <c r="F98" s="49">
        <v>24</v>
      </c>
      <c r="G98" s="50" t="s">
        <v>34</v>
      </c>
      <c r="H98" s="49">
        <v>12</v>
      </c>
      <c r="I98" s="50" t="s">
        <v>108</v>
      </c>
      <c r="J98" s="51">
        <v>3100</v>
      </c>
      <c r="K98" s="47" t="s">
        <v>108</v>
      </c>
      <c r="L98" s="52">
        <v>0.125</v>
      </c>
      <c r="M98" s="52">
        <v>0.05</v>
      </c>
      <c r="N98" s="46">
        <v>288</v>
      </c>
      <c r="O98" s="50" t="s">
        <v>108</v>
      </c>
      <c r="P98" s="46">
        <f t="shared" si="27"/>
        <v>288</v>
      </c>
      <c r="Q98" s="50" t="s">
        <v>108</v>
      </c>
      <c r="R98" s="51">
        <f t="shared" si="28"/>
        <v>742140</v>
      </c>
      <c r="S98" s="51">
        <f t="shared" si="26"/>
        <v>668594.59459459456</v>
      </c>
    </row>
    <row r="99" spans="1:19" s="45" customFormat="1">
      <c r="A99" s="44" t="s">
        <v>109</v>
      </c>
      <c r="B99" s="45" t="s">
        <v>26</v>
      </c>
      <c r="C99" s="46">
        <v>50</v>
      </c>
      <c r="D99" s="47" t="s">
        <v>34</v>
      </c>
      <c r="E99" s="48"/>
      <c r="F99" s="49">
        <v>50</v>
      </c>
      <c r="G99" s="50" t="s">
        <v>104</v>
      </c>
      <c r="H99" s="49">
        <v>10</v>
      </c>
      <c r="I99" s="50" t="s">
        <v>34</v>
      </c>
      <c r="J99" s="51">
        <f>850000/50/10</f>
        <v>1700</v>
      </c>
      <c r="K99" s="47" t="s">
        <v>34</v>
      </c>
      <c r="L99" s="52"/>
      <c r="M99" s="52">
        <v>0.17</v>
      </c>
      <c r="N99" s="46"/>
      <c r="O99" s="50" t="s">
        <v>34</v>
      </c>
      <c r="P99" s="46">
        <f t="shared" si="27"/>
        <v>50</v>
      </c>
      <c r="Q99" s="50" t="s">
        <v>34</v>
      </c>
      <c r="R99" s="51">
        <f t="shared" si="28"/>
        <v>70550</v>
      </c>
      <c r="S99" s="51">
        <f t="shared" si="26"/>
        <v>63558.55855855855</v>
      </c>
    </row>
    <row r="100" spans="1:19" s="45" customFormat="1">
      <c r="A100" s="44" t="s">
        <v>110</v>
      </c>
      <c r="B100" s="45" t="s">
        <v>26</v>
      </c>
      <c r="C100" s="46"/>
      <c r="D100" s="47" t="s">
        <v>34</v>
      </c>
      <c r="E100" s="48">
        <f>3+1+5</f>
        <v>9</v>
      </c>
      <c r="F100" s="49">
        <v>50</v>
      </c>
      <c r="G100" s="50" t="s">
        <v>104</v>
      </c>
      <c r="H100" s="49">
        <v>10</v>
      </c>
      <c r="I100" s="50" t="s">
        <v>34</v>
      </c>
      <c r="J100" s="51">
        <f>800000/50/10</f>
        <v>1600</v>
      </c>
      <c r="K100" s="47" t="s">
        <v>34</v>
      </c>
      <c r="L100" s="52"/>
      <c r="M100" s="52">
        <v>0.17</v>
      </c>
      <c r="N100" s="46">
        <f>500+500+500+500+500+(100*10)</f>
        <v>3500</v>
      </c>
      <c r="O100" s="50" t="s">
        <v>34</v>
      </c>
      <c r="P100" s="46">
        <f t="shared" si="27"/>
        <v>1000</v>
      </c>
      <c r="Q100" s="50" t="s">
        <v>34</v>
      </c>
      <c r="R100" s="51">
        <f t="shared" si="28"/>
        <v>1328000</v>
      </c>
      <c r="S100" s="51">
        <f t="shared" si="26"/>
        <v>1196396.3963963962</v>
      </c>
    </row>
    <row r="101" spans="1:19" s="45" customFormat="1">
      <c r="A101" s="44" t="s">
        <v>111</v>
      </c>
      <c r="B101" s="45" t="s">
        <v>26</v>
      </c>
      <c r="C101" s="46">
        <v>400</v>
      </c>
      <c r="D101" s="47" t="s">
        <v>34</v>
      </c>
      <c r="E101" s="48">
        <f>1+1+5</f>
        <v>7</v>
      </c>
      <c r="F101" s="49">
        <v>20</v>
      </c>
      <c r="G101" s="50" t="s">
        <v>104</v>
      </c>
      <c r="H101" s="49">
        <v>10</v>
      </c>
      <c r="I101" s="50" t="s">
        <v>34</v>
      </c>
      <c r="J101" s="51">
        <f>860000/20/10</f>
        <v>4300</v>
      </c>
      <c r="K101" s="47" t="s">
        <v>34</v>
      </c>
      <c r="L101" s="52"/>
      <c r="M101" s="52">
        <v>0.17</v>
      </c>
      <c r="N101" s="46">
        <f>200+200+(5*10)+200+400+(15*10)</f>
        <v>1200</v>
      </c>
      <c r="O101" s="50" t="s">
        <v>34</v>
      </c>
      <c r="P101" s="46">
        <f t="shared" si="27"/>
        <v>600</v>
      </c>
      <c r="Q101" s="50" t="s">
        <v>34</v>
      </c>
      <c r="R101" s="51">
        <f t="shared" si="28"/>
        <v>2141400</v>
      </c>
      <c r="S101" s="51">
        <f t="shared" si="26"/>
        <v>1929189.1891891891</v>
      </c>
    </row>
    <row r="102" spans="1:19" s="45" customFormat="1">
      <c r="A102" s="44" t="s">
        <v>112</v>
      </c>
      <c r="B102" s="45" t="s">
        <v>26</v>
      </c>
      <c r="C102" s="46">
        <v>4</v>
      </c>
      <c r="D102" s="47" t="s">
        <v>43</v>
      </c>
      <c r="E102" s="48">
        <f>2+1+2</f>
        <v>5</v>
      </c>
      <c r="F102" s="49">
        <v>1</v>
      </c>
      <c r="G102" s="50" t="s">
        <v>21</v>
      </c>
      <c r="H102" s="49">
        <v>48</v>
      </c>
      <c r="I102" s="50" t="s">
        <v>43</v>
      </c>
      <c r="J102" s="51">
        <f>1987200/48</f>
        <v>41400</v>
      </c>
      <c r="K102" s="47" t="s">
        <v>43</v>
      </c>
      <c r="L102" s="52"/>
      <c r="M102" s="52">
        <v>0.17</v>
      </c>
      <c r="N102" s="46">
        <f>6+3+48+6+5+12+48+34</f>
        <v>162</v>
      </c>
      <c r="O102" s="50" t="s">
        <v>43</v>
      </c>
      <c r="P102" s="46">
        <f t="shared" si="27"/>
        <v>82</v>
      </c>
      <c r="Q102" s="50" t="s">
        <v>43</v>
      </c>
      <c r="R102" s="51">
        <f t="shared" si="28"/>
        <v>2817684</v>
      </c>
      <c r="S102" s="51">
        <f t="shared" si="26"/>
        <v>2538454.054054054</v>
      </c>
    </row>
    <row r="103" spans="1:19">
      <c r="S103" s="23"/>
    </row>
    <row r="104" spans="1:19" s="85" customFormat="1" ht="15.75">
      <c r="A104" s="248" t="s">
        <v>113</v>
      </c>
      <c r="C104" s="86"/>
      <c r="D104" s="87"/>
      <c r="E104" s="92"/>
      <c r="F104" s="88"/>
      <c r="G104" s="89"/>
      <c r="H104" s="88"/>
      <c r="I104" s="89"/>
      <c r="J104" s="90"/>
      <c r="K104" s="87"/>
      <c r="L104" s="91"/>
      <c r="M104" s="91"/>
      <c r="N104" s="86"/>
      <c r="O104" s="89"/>
      <c r="P104" s="86"/>
      <c r="Q104" s="89"/>
      <c r="R104" s="90"/>
      <c r="S104" s="69"/>
    </row>
    <row r="105" spans="1:19">
      <c r="A105" s="15" t="s">
        <v>114</v>
      </c>
      <c r="S105" s="23"/>
    </row>
    <row r="106" spans="1:19" s="45" customFormat="1">
      <c r="A106" s="44" t="s">
        <v>115</v>
      </c>
      <c r="B106" s="45" t="s">
        <v>19</v>
      </c>
      <c r="C106" s="46">
        <v>192</v>
      </c>
      <c r="D106" s="47" t="s">
        <v>43</v>
      </c>
      <c r="E106" s="48">
        <v>6</v>
      </c>
      <c r="F106" s="49">
        <v>1</v>
      </c>
      <c r="G106" s="50" t="s">
        <v>21</v>
      </c>
      <c r="H106" s="49">
        <v>48</v>
      </c>
      <c r="I106" s="50" t="s">
        <v>43</v>
      </c>
      <c r="J106" s="51">
        <v>36000</v>
      </c>
      <c r="K106" s="47" t="s">
        <v>43</v>
      </c>
      <c r="L106" s="52">
        <v>0.125</v>
      </c>
      <c r="M106" s="52">
        <v>0.05</v>
      </c>
      <c r="N106" s="46">
        <f>48+10</f>
        <v>58</v>
      </c>
      <c r="O106" s="50" t="s">
        <v>43</v>
      </c>
      <c r="P106" s="46">
        <f t="shared" ref="P106:P130" si="29">(C106+(E106*F106*H106))-N106</f>
        <v>422</v>
      </c>
      <c r="Q106" s="50" t="s">
        <v>43</v>
      </c>
      <c r="R106" s="51">
        <f t="shared" ref="R106:R130" si="30">P106*(J106-(J106*L106)-((J106-(J106*L106))*M106))</f>
        <v>12628350</v>
      </c>
      <c r="S106" s="51">
        <f t="shared" si="26"/>
        <v>11376891.891891891</v>
      </c>
    </row>
    <row r="107" spans="1:19" s="45" customFormat="1">
      <c r="A107" s="44" t="s">
        <v>116</v>
      </c>
      <c r="B107" s="45" t="s">
        <v>19</v>
      </c>
      <c r="C107" s="46">
        <v>191</v>
      </c>
      <c r="D107" s="47" t="s">
        <v>43</v>
      </c>
      <c r="E107" s="48"/>
      <c r="F107" s="49">
        <v>1</v>
      </c>
      <c r="G107" s="50" t="s">
        <v>21</v>
      </c>
      <c r="H107" s="49">
        <v>48</v>
      </c>
      <c r="I107" s="50" t="s">
        <v>43</v>
      </c>
      <c r="J107" s="51">
        <v>36000</v>
      </c>
      <c r="K107" s="47" t="s">
        <v>43</v>
      </c>
      <c r="L107" s="52">
        <v>0.125</v>
      </c>
      <c r="M107" s="52">
        <v>0.05</v>
      </c>
      <c r="N107" s="46">
        <v>144</v>
      </c>
      <c r="O107" s="50" t="s">
        <v>43</v>
      </c>
      <c r="P107" s="46">
        <f t="shared" si="29"/>
        <v>47</v>
      </c>
      <c r="Q107" s="50" t="s">
        <v>43</v>
      </c>
      <c r="R107" s="51">
        <f t="shared" si="30"/>
        <v>1406475</v>
      </c>
      <c r="S107" s="32">
        <f t="shared" si="26"/>
        <v>1267094.5945945946</v>
      </c>
    </row>
    <row r="108" spans="1:19" s="63" customFormat="1">
      <c r="A108" s="72" t="s">
        <v>830</v>
      </c>
      <c r="B108" s="63" t="s">
        <v>19</v>
      </c>
      <c r="C108" s="64">
        <f>1+75</f>
        <v>76</v>
      </c>
      <c r="D108" s="65" t="s">
        <v>43</v>
      </c>
      <c r="E108" s="66">
        <v>4</v>
      </c>
      <c r="F108" s="67">
        <v>1</v>
      </c>
      <c r="G108" s="68" t="s">
        <v>21</v>
      </c>
      <c r="H108" s="67">
        <v>48</v>
      </c>
      <c r="I108" s="68" t="s">
        <v>43</v>
      </c>
      <c r="J108" s="69">
        <v>36000</v>
      </c>
      <c r="K108" s="65" t="s">
        <v>43</v>
      </c>
      <c r="L108" s="70">
        <v>0.125</v>
      </c>
      <c r="M108" s="70">
        <v>0.05</v>
      </c>
      <c r="N108" s="64">
        <f>5+48+192+23</f>
        <v>268</v>
      </c>
      <c r="O108" s="68" t="s">
        <v>43</v>
      </c>
      <c r="P108" s="64">
        <f t="shared" si="29"/>
        <v>0</v>
      </c>
      <c r="Q108" s="68" t="s">
        <v>43</v>
      </c>
      <c r="R108" s="69">
        <f t="shared" si="30"/>
        <v>0</v>
      </c>
      <c r="S108" s="23">
        <f t="shared" si="26"/>
        <v>0</v>
      </c>
    </row>
    <row r="109" spans="1:19" s="45" customFormat="1">
      <c r="A109" s="44" t="s">
        <v>118</v>
      </c>
      <c r="B109" s="45" t="s">
        <v>19</v>
      </c>
      <c r="C109" s="46">
        <v>1</v>
      </c>
      <c r="D109" s="47" t="s">
        <v>43</v>
      </c>
      <c r="E109" s="48"/>
      <c r="F109" s="49">
        <v>1</v>
      </c>
      <c r="G109" s="50" t="s">
        <v>21</v>
      </c>
      <c r="H109" s="49">
        <v>48</v>
      </c>
      <c r="I109" s="50" t="s">
        <v>43</v>
      </c>
      <c r="J109" s="51">
        <v>39000</v>
      </c>
      <c r="K109" s="47" t="s">
        <v>43</v>
      </c>
      <c r="L109" s="52">
        <v>0.125</v>
      </c>
      <c r="M109" s="52">
        <v>0.05</v>
      </c>
      <c r="N109" s="46"/>
      <c r="O109" s="50" t="s">
        <v>43</v>
      </c>
      <c r="P109" s="46">
        <f t="shared" si="29"/>
        <v>1</v>
      </c>
      <c r="Q109" s="50" t="s">
        <v>43</v>
      </c>
      <c r="R109" s="51">
        <f t="shared" si="30"/>
        <v>32418.75</v>
      </c>
      <c r="S109" s="32">
        <f t="shared" si="26"/>
        <v>29206.08108108108</v>
      </c>
    </row>
    <row r="110" spans="1:19" s="63" customFormat="1">
      <c r="A110" s="72" t="s">
        <v>119</v>
      </c>
      <c r="B110" s="63" t="s">
        <v>19</v>
      </c>
      <c r="C110" s="64"/>
      <c r="D110" s="65" t="s">
        <v>43</v>
      </c>
      <c r="E110" s="66"/>
      <c r="F110" s="67">
        <v>1</v>
      </c>
      <c r="G110" s="68" t="s">
        <v>21</v>
      </c>
      <c r="H110" s="67">
        <v>48</v>
      </c>
      <c r="I110" s="68" t="s">
        <v>43</v>
      </c>
      <c r="J110" s="69">
        <v>54600</v>
      </c>
      <c r="K110" s="65" t="s">
        <v>43</v>
      </c>
      <c r="L110" s="70">
        <v>0.125</v>
      </c>
      <c r="M110" s="70">
        <v>0.05</v>
      </c>
      <c r="N110" s="64"/>
      <c r="O110" s="68" t="s">
        <v>43</v>
      </c>
      <c r="P110" s="64">
        <f t="shared" si="29"/>
        <v>0</v>
      </c>
      <c r="Q110" s="68" t="s">
        <v>43</v>
      </c>
      <c r="R110" s="69">
        <f t="shared" si="30"/>
        <v>0</v>
      </c>
      <c r="S110" s="23">
        <f t="shared" si="26"/>
        <v>0</v>
      </c>
    </row>
    <row r="111" spans="1:19" s="63" customFormat="1">
      <c r="A111" s="72" t="s">
        <v>120</v>
      </c>
      <c r="B111" s="63" t="s">
        <v>19</v>
      </c>
      <c r="C111" s="64"/>
      <c r="D111" s="65" t="s">
        <v>43</v>
      </c>
      <c r="E111" s="66"/>
      <c r="F111" s="67">
        <v>1</v>
      </c>
      <c r="G111" s="68" t="s">
        <v>21</v>
      </c>
      <c r="H111" s="67">
        <v>48</v>
      </c>
      <c r="I111" s="68" t="s">
        <v>43</v>
      </c>
      <c r="J111" s="69">
        <v>30000</v>
      </c>
      <c r="K111" s="65" t="s">
        <v>43</v>
      </c>
      <c r="L111" s="70">
        <v>0.125</v>
      </c>
      <c r="M111" s="70">
        <v>0.05</v>
      </c>
      <c r="N111" s="64"/>
      <c r="O111" s="68" t="s">
        <v>43</v>
      </c>
      <c r="P111" s="64">
        <f t="shared" si="29"/>
        <v>0</v>
      </c>
      <c r="Q111" s="68" t="s">
        <v>43</v>
      </c>
      <c r="R111" s="69">
        <f t="shared" si="30"/>
        <v>0</v>
      </c>
      <c r="S111" s="23">
        <f t="shared" si="26"/>
        <v>0</v>
      </c>
    </row>
    <row r="112" spans="1:19" s="63" customFormat="1">
      <c r="A112" s="72" t="s">
        <v>770</v>
      </c>
      <c r="B112" s="63" t="s">
        <v>19</v>
      </c>
      <c r="C112" s="64"/>
      <c r="D112" s="65" t="s">
        <v>43</v>
      </c>
      <c r="E112" s="66"/>
      <c r="F112" s="67">
        <v>1</v>
      </c>
      <c r="G112" s="68" t="s">
        <v>21</v>
      </c>
      <c r="H112" s="67">
        <v>48</v>
      </c>
      <c r="I112" s="68" t="s">
        <v>43</v>
      </c>
      <c r="J112" s="69">
        <v>48000</v>
      </c>
      <c r="K112" s="65" t="s">
        <v>43</v>
      </c>
      <c r="L112" s="70">
        <v>0.125</v>
      </c>
      <c r="M112" s="70">
        <v>0.05</v>
      </c>
      <c r="N112" s="64"/>
      <c r="O112" s="68" t="s">
        <v>43</v>
      </c>
      <c r="P112" s="64">
        <f t="shared" si="29"/>
        <v>0</v>
      </c>
      <c r="Q112" s="68" t="s">
        <v>43</v>
      </c>
      <c r="R112" s="69">
        <f t="shared" si="30"/>
        <v>0</v>
      </c>
      <c r="S112" s="23">
        <f t="shared" si="26"/>
        <v>0</v>
      </c>
    </row>
    <row r="113" spans="1:19" s="63" customFormat="1">
      <c r="A113" s="72" t="s">
        <v>121</v>
      </c>
      <c r="B113" s="63" t="s">
        <v>19</v>
      </c>
      <c r="C113" s="64"/>
      <c r="D113" s="65" t="s">
        <v>43</v>
      </c>
      <c r="E113" s="66">
        <f>1+2+2</f>
        <v>5</v>
      </c>
      <c r="F113" s="67">
        <v>1</v>
      </c>
      <c r="G113" s="68" t="s">
        <v>21</v>
      </c>
      <c r="H113" s="67">
        <v>36</v>
      </c>
      <c r="I113" s="68" t="s">
        <v>43</v>
      </c>
      <c r="J113" s="69">
        <v>41400</v>
      </c>
      <c r="K113" s="65" t="s">
        <v>43</v>
      </c>
      <c r="L113" s="70">
        <v>0.125</v>
      </c>
      <c r="M113" s="70">
        <v>0.05</v>
      </c>
      <c r="N113" s="64">
        <f>36+72+72</f>
        <v>180</v>
      </c>
      <c r="O113" s="68" t="s">
        <v>43</v>
      </c>
      <c r="P113" s="64">
        <f t="shared" si="29"/>
        <v>0</v>
      </c>
      <c r="Q113" s="68" t="s">
        <v>43</v>
      </c>
      <c r="R113" s="69">
        <f t="shared" si="30"/>
        <v>0</v>
      </c>
      <c r="S113" s="23">
        <f t="shared" si="26"/>
        <v>0</v>
      </c>
    </row>
    <row r="114" spans="1:19" s="63" customFormat="1">
      <c r="A114" s="72" t="s">
        <v>122</v>
      </c>
      <c r="B114" s="63" t="s">
        <v>19</v>
      </c>
      <c r="C114" s="64"/>
      <c r="D114" s="65" t="s">
        <v>43</v>
      </c>
      <c r="E114" s="66"/>
      <c r="F114" s="67">
        <v>1</v>
      </c>
      <c r="G114" s="68" t="s">
        <v>21</v>
      </c>
      <c r="H114" s="67">
        <v>36</v>
      </c>
      <c r="I114" s="68" t="s">
        <v>43</v>
      </c>
      <c r="J114" s="69">
        <v>41400</v>
      </c>
      <c r="K114" s="65" t="s">
        <v>43</v>
      </c>
      <c r="L114" s="70">
        <v>0.125</v>
      </c>
      <c r="M114" s="70">
        <v>0.05</v>
      </c>
      <c r="N114" s="64"/>
      <c r="O114" s="68" t="s">
        <v>43</v>
      </c>
      <c r="P114" s="64">
        <f t="shared" si="29"/>
        <v>0</v>
      </c>
      <c r="Q114" s="68" t="s">
        <v>43</v>
      </c>
      <c r="R114" s="69">
        <f t="shared" si="30"/>
        <v>0</v>
      </c>
      <c r="S114" s="23">
        <f t="shared" si="26"/>
        <v>0</v>
      </c>
    </row>
    <row r="115" spans="1:19" s="45" customFormat="1">
      <c r="A115" s="44" t="s">
        <v>123</v>
      </c>
      <c r="B115" s="45" t="s">
        <v>19</v>
      </c>
      <c r="C115" s="46">
        <v>480</v>
      </c>
      <c r="D115" s="47" t="s">
        <v>43</v>
      </c>
      <c r="E115" s="48"/>
      <c r="F115" s="49">
        <v>24</v>
      </c>
      <c r="G115" s="50" t="s">
        <v>34</v>
      </c>
      <c r="H115" s="49">
        <v>2</v>
      </c>
      <c r="I115" s="50" t="s">
        <v>43</v>
      </c>
      <c r="J115" s="51">
        <f>70800/2</f>
        <v>35400</v>
      </c>
      <c r="K115" s="47" t="s">
        <v>43</v>
      </c>
      <c r="L115" s="52">
        <v>0.125</v>
      </c>
      <c r="M115" s="52">
        <v>0.05</v>
      </c>
      <c r="N115" s="46"/>
      <c r="O115" s="50" t="s">
        <v>43</v>
      </c>
      <c r="P115" s="46">
        <f t="shared" si="29"/>
        <v>480</v>
      </c>
      <c r="Q115" s="50" t="s">
        <v>43</v>
      </c>
      <c r="R115" s="51">
        <f t="shared" si="30"/>
        <v>14124600</v>
      </c>
      <c r="S115" s="51">
        <f t="shared" si="26"/>
        <v>12724864.864864863</v>
      </c>
    </row>
    <row r="116" spans="1:19" s="45" customFormat="1">
      <c r="A116" s="44" t="s">
        <v>124</v>
      </c>
      <c r="B116" s="45" t="s">
        <v>19</v>
      </c>
      <c r="C116" s="46">
        <v>240</v>
      </c>
      <c r="D116" s="47" t="s">
        <v>43</v>
      </c>
      <c r="E116" s="48"/>
      <c r="F116" s="49">
        <v>24</v>
      </c>
      <c r="G116" s="50" t="s">
        <v>34</v>
      </c>
      <c r="H116" s="49">
        <v>2</v>
      </c>
      <c r="I116" s="50" t="s">
        <v>43</v>
      </c>
      <c r="J116" s="51">
        <f>70800/2</f>
        <v>35400</v>
      </c>
      <c r="K116" s="47" t="s">
        <v>43</v>
      </c>
      <c r="L116" s="52">
        <v>0.125</v>
      </c>
      <c r="M116" s="52">
        <v>0.05</v>
      </c>
      <c r="N116" s="46"/>
      <c r="O116" s="50" t="s">
        <v>43</v>
      </c>
      <c r="P116" s="46">
        <f t="shared" si="29"/>
        <v>240</v>
      </c>
      <c r="Q116" s="50" t="s">
        <v>43</v>
      </c>
      <c r="R116" s="51">
        <f t="shared" si="30"/>
        <v>7062300</v>
      </c>
      <c r="S116" s="32">
        <f t="shared" si="26"/>
        <v>6362432.4324324317</v>
      </c>
    </row>
    <row r="117" spans="1:19" s="45" customFormat="1">
      <c r="A117" s="44" t="s">
        <v>125</v>
      </c>
      <c r="B117" s="45" t="s">
        <v>19</v>
      </c>
      <c r="C117" s="46">
        <v>105</v>
      </c>
      <c r="D117" s="47" t="s">
        <v>43</v>
      </c>
      <c r="E117" s="48"/>
      <c r="F117" s="49">
        <v>1</v>
      </c>
      <c r="G117" s="50" t="s">
        <v>21</v>
      </c>
      <c r="H117" s="49">
        <v>36</v>
      </c>
      <c r="I117" s="50" t="s">
        <v>43</v>
      </c>
      <c r="J117" s="51">
        <v>34200</v>
      </c>
      <c r="K117" s="47" t="s">
        <v>43</v>
      </c>
      <c r="L117" s="52">
        <v>0.125</v>
      </c>
      <c r="M117" s="52">
        <v>0.05</v>
      </c>
      <c r="N117" s="46">
        <f>3+3+5+5</f>
        <v>16</v>
      </c>
      <c r="O117" s="50" t="s">
        <v>43</v>
      </c>
      <c r="P117" s="46">
        <f t="shared" si="29"/>
        <v>89</v>
      </c>
      <c r="Q117" s="50" t="s">
        <v>43</v>
      </c>
      <c r="R117" s="51">
        <f t="shared" si="30"/>
        <v>2530158.75</v>
      </c>
      <c r="S117" s="32">
        <f t="shared" si="26"/>
        <v>2279422.297297297</v>
      </c>
    </row>
    <row r="118" spans="1:19" s="45" customFormat="1">
      <c r="A118" s="44" t="s">
        <v>126</v>
      </c>
      <c r="B118" s="45" t="s">
        <v>19</v>
      </c>
      <c r="C118" s="46">
        <v>48</v>
      </c>
      <c r="D118" s="47" t="s">
        <v>43</v>
      </c>
      <c r="E118" s="48"/>
      <c r="F118" s="49">
        <v>24</v>
      </c>
      <c r="G118" s="50" t="s">
        <v>34</v>
      </c>
      <c r="H118" s="49">
        <v>2</v>
      </c>
      <c r="I118" s="50" t="s">
        <v>43</v>
      </c>
      <c r="J118" s="51">
        <f>46800/2</f>
        <v>23400</v>
      </c>
      <c r="K118" s="47" t="s">
        <v>43</v>
      </c>
      <c r="L118" s="52">
        <v>0.125</v>
      </c>
      <c r="M118" s="52">
        <v>0.05</v>
      </c>
      <c r="N118" s="46"/>
      <c r="O118" s="50" t="s">
        <v>43</v>
      </c>
      <c r="P118" s="46">
        <f t="shared" si="29"/>
        <v>48</v>
      </c>
      <c r="Q118" s="50" t="s">
        <v>43</v>
      </c>
      <c r="R118" s="51">
        <f t="shared" si="30"/>
        <v>933660</v>
      </c>
      <c r="S118" s="32">
        <f t="shared" si="26"/>
        <v>841135.13513513503</v>
      </c>
    </row>
    <row r="119" spans="1:19" s="63" customFormat="1">
      <c r="A119" s="72" t="s">
        <v>127</v>
      </c>
      <c r="B119" s="63" t="s">
        <v>19</v>
      </c>
      <c r="C119" s="64"/>
      <c r="D119" s="65" t="s">
        <v>43</v>
      </c>
      <c r="E119" s="66"/>
      <c r="F119" s="67">
        <v>60</v>
      </c>
      <c r="G119" s="68" t="s">
        <v>34</v>
      </c>
      <c r="H119" s="67">
        <v>1</v>
      </c>
      <c r="I119" s="68" t="s">
        <v>43</v>
      </c>
      <c r="J119" s="69">
        <v>43200</v>
      </c>
      <c r="K119" s="65" t="s">
        <v>43</v>
      </c>
      <c r="L119" s="70">
        <v>0.125</v>
      </c>
      <c r="M119" s="70">
        <v>0.05</v>
      </c>
      <c r="N119" s="64"/>
      <c r="O119" s="68" t="s">
        <v>43</v>
      </c>
      <c r="P119" s="64">
        <f t="shared" si="29"/>
        <v>0</v>
      </c>
      <c r="Q119" s="68" t="s">
        <v>43</v>
      </c>
      <c r="R119" s="69">
        <f t="shared" si="30"/>
        <v>0</v>
      </c>
      <c r="S119" s="23">
        <f t="shared" si="26"/>
        <v>0</v>
      </c>
    </row>
    <row r="120" spans="1:19" s="45" customFormat="1">
      <c r="A120" s="44" t="s">
        <v>764</v>
      </c>
      <c r="B120" s="45" t="s">
        <v>19</v>
      </c>
      <c r="C120" s="46">
        <v>217</v>
      </c>
      <c r="D120" s="47" t="s">
        <v>43</v>
      </c>
      <c r="E120" s="48"/>
      <c r="F120" s="49">
        <v>120</v>
      </c>
      <c r="G120" s="50" t="s">
        <v>34</v>
      </c>
      <c r="H120" s="49">
        <v>1</v>
      </c>
      <c r="I120" s="50" t="s">
        <v>43</v>
      </c>
      <c r="J120" s="51">
        <v>17400</v>
      </c>
      <c r="K120" s="47" t="s">
        <v>43</v>
      </c>
      <c r="L120" s="52">
        <v>0.125</v>
      </c>
      <c r="M120" s="52">
        <v>0.05</v>
      </c>
      <c r="N120" s="46">
        <v>5</v>
      </c>
      <c r="O120" s="50" t="s">
        <v>43</v>
      </c>
      <c r="P120" s="46">
        <f t="shared" si="29"/>
        <v>212</v>
      </c>
      <c r="Q120" s="50" t="s">
        <v>43</v>
      </c>
      <c r="R120" s="51">
        <f t="shared" si="30"/>
        <v>3066315</v>
      </c>
      <c r="S120" s="32">
        <f t="shared" si="26"/>
        <v>2762445.9459459456</v>
      </c>
    </row>
    <row r="121" spans="1:19" s="45" customFormat="1">
      <c r="A121" s="44" t="s">
        <v>128</v>
      </c>
      <c r="B121" s="45" t="s">
        <v>26</v>
      </c>
      <c r="C121" s="46"/>
      <c r="D121" s="47" t="s">
        <v>43</v>
      </c>
      <c r="E121" s="48">
        <v>1</v>
      </c>
      <c r="F121" s="49">
        <v>1</v>
      </c>
      <c r="G121" s="50" t="s">
        <v>21</v>
      </c>
      <c r="H121" s="49">
        <v>36</v>
      </c>
      <c r="I121" s="50" t="s">
        <v>43</v>
      </c>
      <c r="J121" s="51">
        <f>1954800/36</f>
        <v>54300</v>
      </c>
      <c r="K121" s="47" t="s">
        <v>43</v>
      </c>
      <c r="L121" s="52"/>
      <c r="M121" s="52">
        <v>0.17</v>
      </c>
      <c r="N121" s="46">
        <v>18</v>
      </c>
      <c r="O121" s="50" t="s">
        <v>43</v>
      </c>
      <c r="P121" s="46">
        <f t="shared" si="29"/>
        <v>18</v>
      </c>
      <c r="Q121" s="50" t="s">
        <v>43</v>
      </c>
      <c r="R121" s="51">
        <f t="shared" si="30"/>
        <v>811242</v>
      </c>
      <c r="S121" s="32">
        <f t="shared" si="26"/>
        <v>730848.64864864864</v>
      </c>
    </row>
    <row r="122" spans="1:19" s="45" customFormat="1">
      <c r="A122" s="35" t="s">
        <v>129</v>
      </c>
      <c r="B122" s="36" t="s">
        <v>26</v>
      </c>
      <c r="C122" s="37">
        <v>180</v>
      </c>
      <c r="D122" s="38" t="s">
        <v>43</v>
      </c>
      <c r="E122" s="39"/>
      <c r="F122" s="40">
        <v>1</v>
      </c>
      <c r="G122" s="41" t="s">
        <v>21</v>
      </c>
      <c r="H122" s="40">
        <v>36</v>
      </c>
      <c r="I122" s="41" t="s">
        <v>43</v>
      </c>
      <c r="J122" s="42">
        <f>1792800/36</f>
        <v>49800</v>
      </c>
      <c r="K122" s="38" t="s">
        <v>43</v>
      </c>
      <c r="L122" s="43"/>
      <c r="M122" s="43">
        <v>0.17</v>
      </c>
      <c r="N122" s="37">
        <v>36</v>
      </c>
      <c r="O122" s="41" t="s">
        <v>43</v>
      </c>
      <c r="P122" s="37">
        <f t="shared" si="29"/>
        <v>144</v>
      </c>
      <c r="Q122" s="41" t="s">
        <v>43</v>
      </c>
      <c r="R122" s="42">
        <f t="shared" si="30"/>
        <v>5952096</v>
      </c>
      <c r="S122" s="42">
        <f t="shared" si="26"/>
        <v>5362248.6486486485</v>
      </c>
    </row>
    <row r="123" spans="1:19" s="45" customFormat="1">
      <c r="A123" s="35" t="s">
        <v>129</v>
      </c>
      <c r="B123" s="36" t="s">
        <v>26</v>
      </c>
      <c r="C123" s="37"/>
      <c r="D123" s="38" t="s">
        <v>43</v>
      </c>
      <c r="E123" s="39">
        <v>1</v>
      </c>
      <c r="F123" s="40">
        <v>1</v>
      </c>
      <c r="G123" s="41" t="s">
        <v>21</v>
      </c>
      <c r="H123" s="40">
        <v>36</v>
      </c>
      <c r="I123" s="41" t="s">
        <v>43</v>
      </c>
      <c r="J123" s="42">
        <f>1900800/36</f>
        <v>52800</v>
      </c>
      <c r="K123" s="38" t="s">
        <v>43</v>
      </c>
      <c r="L123" s="43"/>
      <c r="M123" s="43">
        <v>0.17</v>
      </c>
      <c r="N123" s="37"/>
      <c r="O123" s="41" t="s">
        <v>43</v>
      </c>
      <c r="P123" s="37">
        <f t="shared" ref="P123" si="31">(C123+(E123*F123*H123))-N123</f>
        <v>36</v>
      </c>
      <c r="Q123" s="41" t="s">
        <v>43</v>
      </c>
      <c r="R123" s="42">
        <f t="shared" ref="R123" si="32">P123*(J123-(J123*L123)-((J123-(J123*L123))*M123))</f>
        <v>1577664</v>
      </c>
      <c r="S123" s="42">
        <f t="shared" ref="S123" si="33">R123/1.11</f>
        <v>1421318.9189189188</v>
      </c>
    </row>
    <row r="124" spans="1:19" s="63" customFormat="1">
      <c r="A124" s="277" t="s">
        <v>130</v>
      </c>
      <c r="B124" s="278" t="s">
        <v>26</v>
      </c>
      <c r="C124" s="279">
        <v>232</v>
      </c>
      <c r="D124" s="280" t="s">
        <v>43</v>
      </c>
      <c r="E124" s="281">
        <f>10+5+4+5+5+10+5+2+5</f>
        <v>51</v>
      </c>
      <c r="F124" s="282">
        <v>1</v>
      </c>
      <c r="G124" s="283" t="s">
        <v>21</v>
      </c>
      <c r="H124" s="282">
        <v>36</v>
      </c>
      <c r="I124" s="283" t="s">
        <v>43</v>
      </c>
      <c r="J124" s="284">
        <f>1900800/36</f>
        <v>52800</v>
      </c>
      <c r="K124" s="280" t="s">
        <v>43</v>
      </c>
      <c r="L124" s="285"/>
      <c r="M124" s="285">
        <v>0.17</v>
      </c>
      <c r="N124" s="279">
        <f>72+72+144+72+72+36+72+72+12+144+72+72+12+72+36+72+72+36+72+72+72+72+36+72+36+36+36+36+36+36+144+72+36-8</f>
        <v>2068</v>
      </c>
      <c r="O124" s="283" t="s">
        <v>43</v>
      </c>
      <c r="P124" s="279">
        <f t="shared" si="29"/>
        <v>0</v>
      </c>
      <c r="Q124" s="283" t="s">
        <v>43</v>
      </c>
      <c r="R124" s="284">
        <f t="shared" si="30"/>
        <v>0</v>
      </c>
      <c r="S124" s="284">
        <f t="shared" si="26"/>
        <v>0</v>
      </c>
    </row>
    <row r="125" spans="1:19" s="45" customFormat="1">
      <c r="A125" s="253" t="s">
        <v>130</v>
      </c>
      <c r="B125" s="254" t="s">
        <v>26</v>
      </c>
      <c r="C125" s="255"/>
      <c r="D125" s="256" t="s">
        <v>43</v>
      </c>
      <c r="E125" s="257">
        <f>10+5+5+5</f>
        <v>25</v>
      </c>
      <c r="F125" s="258">
        <v>1</v>
      </c>
      <c r="G125" s="259" t="s">
        <v>21</v>
      </c>
      <c r="H125" s="258">
        <v>36</v>
      </c>
      <c r="I125" s="259" t="s">
        <v>43</v>
      </c>
      <c r="J125" s="260">
        <f>1954800/36</f>
        <v>54300</v>
      </c>
      <c r="K125" s="256" t="s">
        <v>43</v>
      </c>
      <c r="L125" s="261"/>
      <c r="M125" s="261">
        <v>0.17</v>
      </c>
      <c r="N125" s="255">
        <f>(36-28)+36+108+144+72+6+36+72+72+36+108+72+2+24-1</f>
        <v>795</v>
      </c>
      <c r="O125" s="259" t="s">
        <v>43</v>
      </c>
      <c r="P125" s="255">
        <f t="shared" ref="P125" si="34">(C125+(E125*F125*H125))-N125</f>
        <v>105</v>
      </c>
      <c r="Q125" s="259" t="s">
        <v>43</v>
      </c>
      <c r="R125" s="260">
        <f t="shared" ref="R125" si="35">P125*(J125-(J125*L125)-((J125-(J125*L125))*M125))</f>
        <v>4732245</v>
      </c>
      <c r="S125" s="260">
        <f t="shared" ref="S125" si="36">R125/1.11</f>
        <v>4263283.7837837832</v>
      </c>
    </row>
    <row r="126" spans="1:19" s="45" customFormat="1">
      <c r="A126" s="44" t="s">
        <v>131</v>
      </c>
      <c r="B126" s="45" t="s">
        <v>26</v>
      </c>
      <c r="C126" s="46"/>
      <c r="D126" s="47" t="s">
        <v>43</v>
      </c>
      <c r="E126" s="48">
        <f>(1+2)+3</f>
        <v>6</v>
      </c>
      <c r="F126" s="49">
        <v>1</v>
      </c>
      <c r="G126" s="50" t="s">
        <v>21</v>
      </c>
      <c r="H126" s="49">
        <v>36</v>
      </c>
      <c r="I126" s="50" t="s">
        <v>43</v>
      </c>
      <c r="J126" s="51">
        <f>1954800/36</f>
        <v>54300</v>
      </c>
      <c r="K126" s="47" t="s">
        <v>43</v>
      </c>
      <c r="L126" s="52"/>
      <c r="M126" s="52">
        <v>0.17</v>
      </c>
      <c r="N126" s="46">
        <f>36+10+36+5+10+36+72</f>
        <v>205</v>
      </c>
      <c r="O126" s="50" t="s">
        <v>43</v>
      </c>
      <c r="P126" s="46">
        <f t="shared" si="29"/>
        <v>11</v>
      </c>
      <c r="Q126" s="50" t="s">
        <v>43</v>
      </c>
      <c r="R126" s="51">
        <f t="shared" si="30"/>
        <v>495759</v>
      </c>
      <c r="S126" s="51">
        <f t="shared" si="26"/>
        <v>446629.7297297297</v>
      </c>
    </row>
    <row r="127" spans="1:19" s="63" customFormat="1">
      <c r="A127" s="72" t="s">
        <v>132</v>
      </c>
      <c r="B127" s="63" t="s">
        <v>26</v>
      </c>
      <c r="C127" s="64"/>
      <c r="D127" s="65" t="s">
        <v>43</v>
      </c>
      <c r="E127" s="66">
        <f>4+10+3</f>
        <v>17</v>
      </c>
      <c r="F127" s="67">
        <v>1</v>
      </c>
      <c r="G127" s="68" t="s">
        <v>21</v>
      </c>
      <c r="H127" s="67">
        <v>36</v>
      </c>
      <c r="I127" s="68" t="s">
        <v>43</v>
      </c>
      <c r="J127" s="69">
        <f>1641600/36</f>
        <v>45600</v>
      </c>
      <c r="K127" s="65" t="s">
        <v>43</v>
      </c>
      <c r="L127" s="70"/>
      <c r="M127" s="70">
        <v>0.17</v>
      </c>
      <c r="N127" s="64">
        <f>36+72+36+36+108+72+36+36+36+2+10+2+108+22</f>
        <v>612</v>
      </c>
      <c r="O127" s="68" t="s">
        <v>43</v>
      </c>
      <c r="P127" s="64">
        <f t="shared" si="29"/>
        <v>0</v>
      </c>
      <c r="Q127" s="68" t="s">
        <v>43</v>
      </c>
      <c r="R127" s="69">
        <f t="shared" si="30"/>
        <v>0</v>
      </c>
      <c r="S127" s="69">
        <f t="shared" si="26"/>
        <v>0</v>
      </c>
    </row>
    <row r="128" spans="1:19" s="63" customFormat="1">
      <c r="A128" s="72" t="s">
        <v>133</v>
      </c>
      <c r="B128" s="63" t="s">
        <v>26</v>
      </c>
      <c r="C128" s="64"/>
      <c r="D128" s="65" t="s">
        <v>43</v>
      </c>
      <c r="E128" s="66"/>
      <c r="F128" s="67">
        <v>1</v>
      </c>
      <c r="G128" s="68" t="s">
        <v>21</v>
      </c>
      <c r="H128" s="67">
        <v>36</v>
      </c>
      <c r="I128" s="68" t="s">
        <v>43</v>
      </c>
      <c r="J128" s="69">
        <f>1760400/36</f>
        <v>48900</v>
      </c>
      <c r="K128" s="65" t="s">
        <v>43</v>
      </c>
      <c r="L128" s="70"/>
      <c r="M128" s="70">
        <v>0.17</v>
      </c>
      <c r="N128" s="64"/>
      <c r="O128" s="68" t="s">
        <v>43</v>
      </c>
      <c r="P128" s="64">
        <f t="shared" si="29"/>
        <v>0</v>
      </c>
      <c r="Q128" s="68" t="s">
        <v>43</v>
      </c>
      <c r="R128" s="69">
        <f t="shared" si="30"/>
        <v>0</v>
      </c>
      <c r="S128" s="69">
        <f t="shared" si="26"/>
        <v>0</v>
      </c>
    </row>
    <row r="129" spans="1:20" s="45" customFormat="1">
      <c r="A129" s="44" t="s">
        <v>134</v>
      </c>
      <c r="B129" s="45" t="s">
        <v>26</v>
      </c>
      <c r="C129" s="46">
        <v>252</v>
      </c>
      <c r="D129" s="47" t="s">
        <v>43</v>
      </c>
      <c r="E129" s="48">
        <f>2+1+4+1</f>
        <v>8</v>
      </c>
      <c r="F129" s="49">
        <v>1</v>
      </c>
      <c r="G129" s="50" t="s">
        <v>21</v>
      </c>
      <c r="H129" s="49">
        <v>36</v>
      </c>
      <c r="I129" s="50" t="s">
        <v>43</v>
      </c>
      <c r="J129" s="51">
        <f>1998000/36</f>
        <v>55500</v>
      </c>
      <c r="K129" s="47" t="s">
        <v>43</v>
      </c>
      <c r="L129" s="52"/>
      <c r="M129" s="52">
        <v>0.17</v>
      </c>
      <c r="N129" s="46">
        <f>8+72+72+36+36+36+36</f>
        <v>296</v>
      </c>
      <c r="O129" s="50" t="s">
        <v>43</v>
      </c>
      <c r="P129" s="46">
        <f t="shared" si="29"/>
        <v>244</v>
      </c>
      <c r="Q129" s="50" t="s">
        <v>43</v>
      </c>
      <c r="R129" s="51">
        <f t="shared" si="30"/>
        <v>11239860</v>
      </c>
      <c r="S129" s="51">
        <f t="shared" si="26"/>
        <v>10126000</v>
      </c>
    </row>
    <row r="130" spans="1:20" s="17" customFormat="1">
      <c r="A130" s="16" t="s">
        <v>135</v>
      </c>
      <c r="B130" s="17" t="s">
        <v>26</v>
      </c>
      <c r="C130" s="18">
        <v>6</v>
      </c>
      <c r="D130" s="19" t="s">
        <v>43</v>
      </c>
      <c r="E130" s="20">
        <v>3</v>
      </c>
      <c r="F130" s="21">
        <v>1</v>
      </c>
      <c r="G130" s="22" t="s">
        <v>21</v>
      </c>
      <c r="H130" s="21">
        <v>36</v>
      </c>
      <c r="I130" s="22" t="s">
        <v>43</v>
      </c>
      <c r="J130" s="23">
        <f>2116800/36</f>
        <v>58800</v>
      </c>
      <c r="K130" s="19" t="s">
        <v>43</v>
      </c>
      <c r="L130" s="24"/>
      <c r="M130" s="24">
        <v>0.17</v>
      </c>
      <c r="N130" s="18">
        <f>108+6</f>
        <v>114</v>
      </c>
      <c r="O130" s="22" t="s">
        <v>43</v>
      </c>
      <c r="P130" s="18">
        <f t="shared" si="29"/>
        <v>0</v>
      </c>
      <c r="Q130" s="22" t="s">
        <v>43</v>
      </c>
      <c r="R130" s="23">
        <f t="shared" si="30"/>
        <v>0</v>
      </c>
      <c r="S130" s="23">
        <f t="shared" si="26"/>
        <v>0</v>
      </c>
    </row>
    <row r="131" spans="1:20">
      <c r="A131" s="15" t="s">
        <v>136</v>
      </c>
      <c r="S131" s="23"/>
    </row>
    <row r="132" spans="1:20" s="17" customFormat="1">
      <c r="A132" s="16" t="s">
        <v>137</v>
      </c>
      <c r="B132" s="17" t="s">
        <v>19</v>
      </c>
      <c r="C132" s="18"/>
      <c r="D132" s="19" t="s">
        <v>43</v>
      </c>
      <c r="E132" s="20">
        <v>3</v>
      </c>
      <c r="F132" s="21">
        <v>60</v>
      </c>
      <c r="G132" s="22" t="s">
        <v>34</v>
      </c>
      <c r="H132" s="21">
        <v>1</v>
      </c>
      <c r="I132" s="22" t="s">
        <v>43</v>
      </c>
      <c r="J132" s="23">
        <f>4600*12</f>
        <v>55200</v>
      </c>
      <c r="K132" s="19" t="s">
        <v>43</v>
      </c>
      <c r="L132" s="24">
        <v>0.125</v>
      </c>
      <c r="M132" s="24">
        <v>0.05</v>
      </c>
      <c r="N132" s="18">
        <v>180</v>
      </c>
      <c r="O132" s="22" t="s">
        <v>43</v>
      </c>
      <c r="P132" s="18">
        <f t="shared" ref="P132:P156" si="37">(C132+(E132*F132*H132))-N132</f>
        <v>0</v>
      </c>
      <c r="Q132" s="22" t="s">
        <v>43</v>
      </c>
      <c r="R132" s="23">
        <f t="shared" ref="R132:R156" si="38">P132*(J132-(J132*L132)-((J132-(J132*L132))*M132))</f>
        <v>0</v>
      </c>
      <c r="S132" s="23">
        <f t="shared" si="26"/>
        <v>0</v>
      </c>
    </row>
    <row r="133" spans="1:20" s="17" customFormat="1">
      <c r="A133" s="16" t="s">
        <v>138</v>
      </c>
      <c r="B133" s="17" t="s">
        <v>19</v>
      </c>
      <c r="C133" s="18"/>
      <c r="D133" s="19" t="s">
        <v>43</v>
      </c>
      <c r="E133" s="20"/>
      <c r="F133" s="21">
        <v>60</v>
      </c>
      <c r="G133" s="22" t="s">
        <v>34</v>
      </c>
      <c r="H133" s="21">
        <v>1</v>
      </c>
      <c r="I133" s="22" t="s">
        <v>43</v>
      </c>
      <c r="J133" s="23">
        <f>4500*12</f>
        <v>54000</v>
      </c>
      <c r="K133" s="19" t="s">
        <v>43</v>
      </c>
      <c r="L133" s="24">
        <v>0.125</v>
      </c>
      <c r="M133" s="24">
        <v>0.05</v>
      </c>
      <c r="N133" s="18"/>
      <c r="O133" s="22" t="s">
        <v>43</v>
      </c>
      <c r="P133" s="18">
        <f t="shared" si="37"/>
        <v>0</v>
      </c>
      <c r="Q133" s="22" t="s">
        <v>43</v>
      </c>
      <c r="R133" s="23">
        <f t="shared" si="38"/>
        <v>0</v>
      </c>
      <c r="S133" s="23">
        <f t="shared" si="26"/>
        <v>0</v>
      </c>
    </row>
    <row r="134" spans="1:20" s="17" customFormat="1">
      <c r="A134" s="16" t="s">
        <v>771</v>
      </c>
      <c r="B134" s="17" t="s">
        <v>19</v>
      </c>
      <c r="C134" s="18"/>
      <c r="D134" s="19" t="s">
        <v>43</v>
      </c>
      <c r="E134" s="20"/>
      <c r="F134" s="21">
        <v>60</v>
      </c>
      <c r="G134" s="22" t="s">
        <v>34</v>
      </c>
      <c r="H134" s="21">
        <v>1</v>
      </c>
      <c r="I134" s="22" t="s">
        <v>43</v>
      </c>
      <c r="J134" s="23">
        <f>4500*12</f>
        <v>54000</v>
      </c>
      <c r="K134" s="19" t="s">
        <v>43</v>
      </c>
      <c r="L134" s="24">
        <v>0.125</v>
      </c>
      <c r="M134" s="24">
        <v>0.05</v>
      </c>
      <c r="N134" s="18"/>
      <c r="O134" s="22" t="s">
        <v>43</v>
      </c>
      <c r="P134" s="18">
        <f t="shared" si="37"/>
        <v>0</v>
      </c>
      <c r="Q134" s="22" t="s">
        <v>43</v>
      </c>
      <c r="R134" s="23">
        <f t="shared" si="38"/>
        <v>0</v>
      </c>
      <c r="S134" s="23">
        <f t="shared" si="26"/>
        <v>0</v>
      </c>
    </row>
    <row r="135" spans="1:20" s="17" customFormat="1">
      <c r="A135" s="16" t="s">
        <v>139</v>
      </c>
      <c r="B135" s="17" t="s">
        <v>19</v>
      </c>
      <c r="C135" s="18"/>
      <c r="D135" s="19" t="s">
        <v>43</v>
      </c>
      <c r="E135" s="20"/>
      <c r="F135" s="21">
        <v>30</v>
      </c>
      <c r="G135" s="22" t="s">
        <v>34</v>
      </c>
      <c r="H135" s="21">
        <v>1</v>
      </c>
      <c r="I135" s="22" t="s">
        <v>43</v>
      </c>
      <c r="J135" s="23">
        <f>5500*12</f>
        <v>66000</v>
      </c>
      <c r="K135" s="19" t="s">
        <v>43</v>
      </c>
      <c r="L135" s="24">
        <v>0.125</v>
      </c>
      <c r="M135" s="24">
        <v>0.05</v>
      </c>
      <c r="N135" s="18"/>
      <c r="O135" s="22" t="s">
        <v>43</v>
      </c>
      <c r="P135" s="18">
        <f t="shared" si="37"/>
        <v>0</v>
      </c>
      <c r="Q135" s="22" t="s">
        <v>43</v>
      </c>
      <c r="R135" s="23">
        <f t="shared" si="38"/>
        <v>0</v>
      </c>
      <c r="S135" s="23">
        <f t="shared" si="26"/>
        <v>0</v>
      </c>
    </row>
    <row r="136" spans="1:20" s="63" customFormat="1">
      <c r="A136" s="72" t="s">
        <v>824</v>
      </c>
      <c r="B136" s="63" t="s">
        <v>19</v>
      </c>
      <c r="C136" s="64"/>
      <c r="D136" s="65" t="s">
        <v>43</v>
      </c>
      <c r="E136" s="66">
        <v>1</v>
      </c>
      <c r="F136" s="67">
        <v>30</v>
      </c>
      <c r="G136" s="68" t="s">
        <v>34</v>
      </c>
      <c r="H136" s="67">
        <v>1</v>
      </c>
      <c r="I136" s="68" t="s">
        <v>43</v>
      </c>
      <c r="J136" s="69">
        <f>10500*12</f>
        <v>126000</v>
      </c>
      <c r="K136" s="65" t="s">
        <v>43</v>
      </c>
      <c r="L136" s="70">
        <v>0.125</v>
      </c>
      <c r="M136" s="70">
        <v>0.05</v>
      </c>
      <c r="N136" s="64">
        <v>30</v>
      </c>
      <c r="O136" s="68" t="s">
        <v>43</v>
      </c>
      <c r="P136" s="64">
        <f t="shared" ref="P136" si="39">(C136+(E136*F136*H136))-N136</f>
        <v>0</v>
      </c>
      <c r="Q136" s="68" t="s">
        <v>43</v>
      </c>
      <c r="R136" s="69">
        <f t="shared" ref="R136" si="40">P136*(J136-(J136*L136)-((J136-(J136*L136))*M136))</f>
        <v>0</v>
      </c>
      <c r="S136" s="69">
        <f t="shared" ref="S136" si="41">R136/1.11</f>
        <v>0</v>
      </c>
    </row>
    <row r="137" spans="1:20" s="45" customFormat="1">
      <c r="A137" s="44" t="s">
        <v>140</v>
      </c>
      <c r="B137" s="45" t="s">
        <v>19</v>
      </c>
      <c r="C137" s="46">
        <v>713</v>
      </c>
      <c r="D137" s="47" t="s">
        <v>43</v>
      </c>
      <c r="E137" s="48"/>
      <c r="F137" s="49">
        <v>60</v>
      </c>
      <c r="G137" s="50" t="s">
        <v>34</v>
      </c>
      <c r="H137" s="49">
        <v>1</v>
      </c>
      <c r="I137" s="50" t="s">
        <v>43</v>
      </c>
      <c r="J137" s="51">
        <f>4800*12</f>
        <v>57600</v>
      </c>
      <c r="K137" s="47" t="s">
        <v>43</v>
      </c>
      <c r="L137" s="52">
        <v>0.125</v>
      </c>
      <c r="M137" s="52">
        <v>0.05</v>
      </c>
      <c r="N137" s="46">
        <f>60+120+5+60+240+60+54+4</f>
        <v>603</v>
      </c>
      <c r="O137" s="50" t="s">
        <v>43</v>
      </c>
      <c r="P137" s="46">
        <f t="shared" si="37"/>
        <v>110</v>
      </c>
      <c r="Q137" s="50" t="s">
        <v>43</v>
      </c>
      <c r="R137" s="51">
        <f t="shared" si="38"/>
        <v>5266800</v>
      </c>
      <c r="S137" s="51">
        <f t="shared" si="26"/>
        <v>4744864.8648648644</v>
      </c>
    </row>
    <row r="138" spans="1:20" s="63" customFormat="1">
      <c r="A138" s="72" t="s">
        <v>141</v>
      </c>
      <c r="B138" s="63" t="s">
        <v>19</v>
      </c>
      <c r="C138" s="64">
        <v>5</v>
      </c>
      <c r="D138" s="65" t="s">
        <v>43</v>
      </c>
      <c r="E138" s="66"/>
      <c r="F138" s="67">
        <v>60</v>
      </c>
      <c r="G138" s="68" t="s">
        <v>34</v>
      </c>
      <c r="H138" s="67">
        <v>1</v>
      </c>
      <c r="I138" s="68" t="s">
        <v>43</v>
      </c>
      <c r="J138" s="69">
        <f>5800*12</f>
        <v>69600</v>
      </c>
      <c r="K138" s="65" t="s">
        <v>43</v>
      </c>
      <c r="L138" s="70">
        <v>0.125</v>
      </c>
      <c r="M138" s="70">
        <v>0.05</v>
      </c>
      <c r="N138" s="64">
        <v>5</v>
      </c>
      <c r="O138" s="68" t="s">
        <v>43</v>
      </c>
      <c r="P138" s="64">
        <f t="shared" si="37"/>
        <v>0</v>
      </c>
      <c r="Q138" s="68" t="s">
        <v>43</v>
      </c>
      <c r="R138" s="69">
        <f t="shared" si="38"/>
        <v>0</v>
      </c>
      <c r="S138" s="23">
        <f t="shared" si="26"/>
        <v>0</v>
      </c>
    </row>
    <row r="139" spans="1:20" s="63" customFormat="1">
      <c r="A139" s="72" t="s">
        <v>142</v>
      </c>
      <c r="B139" s="63" t="s">
        <v>19</v>
      </c>
      <c r="C139" s="64"/>
      <c r="D139" s="65" t="s">
        <v>43</v>
      </c>
      <c r="E139" s="66"/>
      <c r="F139" s="67">
        <v>40</v>
      </c>
      <c r="G139" s="68" t="s">
        <v>34</v>
      </c>
      <c r="H139" s="67">
        <v>1</v>
      </c>
      <c r="I139" s="68" t="s">
        <v>43</v>
      </c>
      <c r="J139" s="69">
        <f>8500*12</f>
        <v>102000</v>
      </c>
      <c r="K139" s="65" t="s">
        <v>43</v>
      </c>
      <c r="L139" s="70">
        <v>0.125</v>
      </c>
      <c r="M139" s="70">
        <v>0.05</v>
      </c>
      <c r="N139" s="64"/>
      <c r="O139" s="68" t="s">
        <v>43</v>
      </c>
      <c r="P139" s="64">
        <f t="shared" si="37"/>
        <v>0</v>
      </c>
      <c r="Q139" s="68" t="s">
        <v>43</v>
      </c>
      <c r="R139" s="69">
        <f t="shared" si="38"/>
        <v>0</v>
      </c>
      <c r="S139" s="23">
        <f t="shared" si="26"/>
        <v>0</v>
      </c>
    </row>
    <row r="140" spans="1:20" s="63" customFormat="1">
      <c r="A140" s="72" t="s">
        <v>143</v>
      </c>
      <c r="B140" s="63" t="s">
        <v>19</v>
      </c>
      <c r="C140" s="64"/>
      <c r="D140" s="65" t="s">
        <v>43</v>
      </c>
      <c r="E140" s="66"/>
      <c r="F140" s="67">
        <v>40</v>
      </c>
      <c r="G140" s="68" t="s">
        <v>34</v>
      </c>
      <c r="H140" s="67">
        <v>1</v>
      </c>
      <c r="I140" s="68" t="s">
        <v>43</v>
      </c>
      <c r="J140" s="69">
        <f>8800*12</f>
        <v>105600</v>
      </c>
      <c r="K140" s="65" t="s">
        <v>43</v>
      </c>
      <c r="L140" s="70">
        <v>0.125</v>
      </c>
      <c r="M140" s="70">
        <v>0.05</v>
      </c>
      <c r="N140" s="64"/>
      <c r="O140" s="68" t="s">
        <v>43</v>
      </c>
      <c r="P140" s="64">
        <f t="shared" si="37"/>
        <v>0</v>
      </c>
      <c r="Q140" s="68" t="s">
        <v>43</v>
      </c>
      <c r="R140" s="69">
        <f t="shared" si="38"/>
        <v>0</v>
      </c>
      <c r="S140" s="23">
        <f t="shared" si="26"/>
        <v>0</v>
      </c>
    </row>
    <row r="141" spans="1:20" s="63" customFormat="1">
      <c r="A141" s="72" t="s">
        <v>144</v>
      </c>
      <c r="B141" s="63" t="s">
        <v>26</v>
      </c>
      <c r="C141" s="64"/>
      <c r="D141" s="65" t="s">
        <v>43</v>
      </c>
      <c r="E141" s="66"/>
      <c r="F141" s="67">
        <v>1</v>
      </c>
      <c r="G141" s="68" t="s">
        <v>21</v>
      </c>
      <c r="H141" s="67">
        <v>36</v>
      </c>
      <c r="I141" s="68" t="s">
        <v>43</v>
      </c>
      <c r="J141" s="69">
        <f>2095200/36</f>
        <v>58200</v>
      </c>
      <c r="K141" s="65" t="s">
        <v>43</v>
      </c>
      <c r="L141" s="70"/>
      <c r="M141" s="70">
        <v>0.17</v>
      </c>
      <c r="N141" s="64"/>
      <c r="O141" s="68" t="s">
        <v>43</v>
      </c>
      <c r="P141" s="64">
        <f t="shared" si="37"/>
        <v>0</v>
      </c>
      <c r="Q141" s="68" t="s">
        <v>43</v>
      </c>
      <c r="R141" s="69">
        <f t="shared" si="38"/>
        <v>0</v>
      </c>
      <c r="S141" s="69">
        <f t="shared" si="26"/>
        <v>0</v>
      </c>
    </row>
    <row r="142" spans="1:20" s="17" customFormat="1">
      <c r="A142" s="44" t="s">
        <v>145</v>
      </c>
      <c r="B142" s="45" t="s">
        <v>26</v>
      </c>
      <c r="C142" s="46">
        <v>155</v>
      </c>
      <c r="D142" s="47" t="s">
        <v>43</v>
      </c>
      <c r="E142" s="48"/>
      <c r="F142" s="49">
        <v>1</v>
      </c>
      <c r="G142" s="50" t="s">
        <v>21</v>
      </c>
      <c r="H142" s="49">
        <v>48</v>
      </c>
      <c r="I142" s="50" t="s">
        <v>43</v>
      </c>
      <c r="J142" s="51">
        <f>2793600/48</f>
        <v>58200</v>
      </c>
      <c r="K142" s="47" t="s">
        <v>43</v>
      </c>
      <c r="L142" s="52"/>
      <c r="M142" s="52">
        <v>0.17</v>
      </c>
      <c r="N142" s="46">
        <f>2+1+5+96+48</f>
        <v>152</v>
      </c>
      <c r="O142" s="50" t="s">
        <v>43</v>
      </c>
      <c r="P142" s="46">
        <f t="shared" si="37"/>
        <v>3</v>
      </c>
      <c r="Q142" s="50" t="s">
        <v>43</v>
      </c>
      <c r="R142" s="51">
        <f t="shared" si="38"/>
        <v>144918</v>
      </c>
      <c r="S142" s="32">
        <f t="shared" si="26"/>
        <v>130556.75675675675</v>
      </c>
      <c r="T142" s="45"/>
    </row>
    <row r="143" spans="1:20" s="17" customFormat="1">
      <c r="A143" s="72" t="s">
        <v>146</v>
      </c>
      <c r="B143" s="63" t="s">
        <v>26</v>
      </c>
      <c r="C143" s="64"/>
      <c r="D143" s="65" t="s">
        <v>43</v>
      </c>
      <c r="E143" s="66"/>
      <c r="F143" s="67">
        <v>1</v>
      </c>
      <c r="G143" s="68" t="s">
        <v>21</v>
      </c>
      <c r="H143" s="67">
        <v>48</v>
      </c>
      <c r="I143" s="68" t="s">
        <v>43</v>
      </c>
      <c r="J143" s="69">
        <f>3916800/48</f>
        <v>81600</v>
      </c>
      <c r="K143" s="65" t="s">
        <v>43</v>
      </c>
      <c r="L143" s="70"/>
      <c r="M143" s="70">
        <v>0.17</v>
      </c>
      <c r="N143" s="64"/>
      <c r="O143" s="68" t="s">
        <v>43</v>
      </c>
      <c r="P143" s="64">
        <f t="shared" si="37"/>
        <v>0</v>
      </c>
      <c r="Q143" s="68" t="s">
        <v>43</v>
      </c>
      <c r="R143" s="69">
        <f t="shared" si="38"/>
        <v>0</v>
      </c>
      <c r="S143" s="23">
        <f t="shared" si="26"/>
        <v>0</v>
      </c>
      <c r="T143" s="63"/>
    </row>
    <row r="144" spans="1:20" s="26" customFormat="1">
      <c r="A144" s="16" t="s">
        <v>147</v>
      </c>
      <c r="B144" s="17" t="s">
        <v>26</v>
      </c>
      <c r="C144" s="18"/>
      <c r="D144" s="19" t="s">
        <v>43</v>
      </c>
      <c r="E144" s="20"/>
      <c r="F144" s="21">
        <v>1</v>
      </c>
      <c r="G144" s="22" t="s">
        <v>21</v>
      </c>
      <c r="H144" s="21">
        <v>48</v>
      </c>
      <c r="I144" s="22" t="s">
        <v>43</v>
      </c>
      <c r="J144" s="23">
        <f>5100*12</f>
        <v>61200</v>
      </c>
      <c r="K144" s="19" t="s">
        <v>43</v>
      </c>
      <c r="L144" s="24"/>
      <c r="M144" s="24">
        <v>0.17</v>
      </c>
      <c r="N144" s="18"/>
      <c r="O144" s="22" t="s">
        <v>43</v>
      </c>
      <c r="P144" s="18">
        <f t="shared" si="37"/>
        <v>0</v>
      </c>
      <c r="Q144" s="22" t="s">
        <v>43</v>
      </c>
      <c r="R144" s="23">
        <f t="shared" si="38"/>
        <v>0</v>
      </c>
      <c r="S144" s="23">
        <f t="shared" si="26"/>
        <v>0</v>
      </c>
      <c r="T144" s="17"/>
    </row>
    <row r="145" spans="1:20">
      <c r="A145" s="16" t="s">
        <v>148</v>
      </c>
      <c r="B145" s="17" t="s">
        <v>26</v>
      </c>
      <c r="C145" s="18"/>
      <c r="D145" s="19" t="s">
        <v>43</v>
      </c>
      <c r="E145" s="20"/>
      <c r="F145" s="21">
        <v>1</v>
      </c>
      <c r="G145" s="22" t="s">
        <v>21</v>
      </c>
      <c r="H145" s="21">
        <v>48</v>
      </c>
      <c r="I145" s="22" t="s">
        <v>43</v>
      </c>
      <c r="J145" s="23">
        <f>4250*12</f>
        <v>51000</v>
      </c>
      <c r="K145" s="19" t="s">
        <v>43</v>
      </c>
      <c r="L145" s="24"/>
      <c r="M145" s="24">
        <v>0.17</v>
      </c>
      <c r="N145" s="18"/>
      <c r="O145" s="22" t="s">
        <v>43</v>
      </c>
      <c r="P145" s="18">
        <f t="shared" si="37"/>
        <v>0</v>
      </c>
      <c r="Q145" s="22" t="s">
        <v>43</v>
      </c>
      <c r="R145" s="23">
        <f t="shared" si="38"/>
        <v>0</v>
      </c>
      <c r="S145" s="23">
        <f t="shared" si="26"/>
        <v>0</v>
      </c>
      <c r="T145" s="17"/>
    </row>
    <row r="146" spans="1:20" s="45" customFormat="1">
      <c r="A146" s="44" t="s">
        <v>149</v>
      </c>
      <c r="B146" s="45" t="s">
        <v>26</v>
      </c>
      <c r="C146" s="46">
        <v>48</v>
      </c>
      <c r="D146" s="47" t="s">
        <v>43</v>
      </c>
      <c r="E146" s="48"/>
      <c r="F146" s="49">
        <v>1</v>
      </c>
      <c r="G146" s="50" t="s">
        <v>21</v>
      </c>
      <c r="H146" s="49">
        <v>48</v>
      </c>
      <c r="I146" s="50" t="s">
        <v>43</v>
      </c>
      <c r="J146" s="51">
        <f>2592000/48</f>
        <v>54000</v>
      </c>
      <c r="K146" s="47" t="s">
        <v>43</v>
      </c>
      <c r="L146" s="52"/>
      <c r="M146" s="52">
        <v>0.17</v>
      </c>
      <c r="N146" s="46"/>
      <c r="O146" s="50" t="s">
        <v>43</v>
      </c>
      <c r="P146" s="46">
        <f t="shared" si="37"/>
        <v>48</v>
      </c>
      <c r="Q146" s="50" t="s">
        <v>43</v>
      </c>
      <c r="R146" s="51">
        <f t="shared" si="38"/>
        <v>2151360</v>
      </c>
      <c r="S146" s="51">
        <f t="shared" si="26"/>
        <v>1938162.1621621619</v>
      </c>
    </row>
    <row r="147" spans="1:20" s="45" customFormat="1">
      <c r="A147" s="25" t="s">
        <v>150</v>
      </c>
      <c r="B147" s="26" t="s">
        <v>26</v>
      </c>
      <c r="C147" s="27">
        <v>27</v>
      </c>
      <c r="D147" s="28" t="s">
        <v>43</v>
      </c>
      <c r="E147" s="29"/>
      <c r="F147" s="30">
        <v>1</v>
      </c>
      <c r="G147" s="31" t="s">
        <v>21</v>
      </c>
      <c r="H147" s="30">
        <v>48</v>
      </c>
      <c r="I147" s="31" t="s">
        <v>43</v>
      </c>
      <c r="J147" s="32">
        <f>2448000/48</f>
        <v>51000</v>
      </c>
      <c r="K147" s="28" t="s">
        <v>43</v>
      </c>
      <c r="L147" s="33"/>
      <c r="M147" s="33">
        <v>0.17</v>
      </c>
      <c r="N147" s="27">
        <f>4+5</f>
        <v>9</v>
      </c>
      <c r="O147" s="31" t="s">
        <v>43</v>
      </c>
      <c r="P147" s="27">
        <f t="shared" si="37"/>
        <v>18</v>
      </c>
      <c r="Q147" s="31" t="s">
        <v>43</v>
      </c>
      <c r="R147" s="32">
        <f t="shared" si="38"/>
        <v>761940</v>
      </c>
      <c r="S147" s="32">
        <f t="shared" si="26"/>
        <v>686432.43243243243</v>
      </c>
      <c r="T147" s="26"/>
    </row>
    <row r="148" spans="1:20" s="17" customFormat="1">
      <c r="A148" s="16" t="s">
        <v>151</v>
      </c>
      <c r="B148" s="17" t="s">
        <v>26</v>
      </c>
      <c r="C148" s="18"/>
      <c r="D148" s="19" t="s">
        <v>43</v>
      </c>
      <c r="E148" s="20"/>
      <c r="F148" s="21">
        <v>1</v>
      </c>
      <c r="G148" s="22" t="s">
        <v>21</v>
      </c>
      <c r="H148" s="21">
        <v>24</v>
      </c>
      <c r="I148" s="22" t="s">
        <v>43</v>
      </c>
      <c r="J148" s="23">
        <f>2491200/24</f>
        <v>103800</v>
      </c>
      <c r="K148" s="19" t="s">
        <v>43</v>
      </c>
      <c r="L148" s="24"/>
      <c r="M148" s="24">
        <v>0.17</v>
      </c>
      <c r="N148" s="18"/>
      <c r="O148" s="22" t="s">
        <v>43</v>
      </c>
      <c r="P148" s="18">
        <f t="shared" si="37"/>
        <v>0</v>
      </c>
      <c r="Q148" s="22" t="s">
        <v>43</v>
      </c>
      <c r="R148" s="23">
        <f t="shared" si="38"/>
        <v>0</v>
      </c>
      <c r="S148" s="23">
        <f t="shared" ref="S148:S216" si="42">R148/1.11</f>
        <v>0</v>
      </c>
    </row>
    <row r="149" spans="1:20" s="17" customFormat="1">
      <c r="A149" s="25" t="s">
        <v>152</v>
      </c>
      <c r="B149" s="26" t="s">
        <v>26</v>
      </c>
      <c r="C149" s="27">
        <v>3</v>
      </c>
      <c r="D149" s="28" t="s">
        <v>43</v>
      </c>
      <c r="E149" s="29"/>
      <c r="F149" s="30">
        <v>1</v>
      </c>
      <c r="G149" s="31" t="s">
        <v>21</v>
      </c>
      <c r="H149" s="30">
        <v>36</v>
      </c>
      <c r="I149" s="31" t="s">
        <v>43</v>
      </c>
      <c r="J149" s="32">
        <f>3736800/36</f>
        <v>103800</v>
      </c>
      <c r="K149" s="28" t="s">
        <v>43</v>
      </c>
      <c r="L149" s="33"/>
      <c r="M149" s="33">
        <v>0.17</v>
      </c>
      <c r="N149" s="27"/>
      <c r="O149" s="31" t="s">
        <v>43</v>
      </c>
      <c r="P149" s="27">
        <f t="shared" si="37"/>
        <v>3</v>
      </c>
      <c r="Q149" s="31" t="s">
        <v>43</v>
      </c>
      <c r="R149" s="32">
        <f t="shared" si="38"/>
        <v>258462</v>
      </c>
      <c r="S149" s="32">
        <f t="shared" si="42"/>
        <v>232848.64864864864</v>
      </c>
      <c r="T149" s="26"/>
    </row>
    <row r="150" spans="1:20" s="26" customFormat="1">
      <c r="A150" s="34" t="s">
        <v>153</v>
      </c>
      <c r="B150" s="2" t="s">
        <v>26</v>
      </c>
      <c r="C150" s="3">
        <v>33</v>
      </c>
      <c r="D150" s="4" t="s">
        <v>43</v>
      </c>
      <c r="E150" s="5"/>
      <c r="F150" s="6">
        <v>1</v>
      </c>
      <c r="G150" s="7" t="s">
        <v>21</v>
      </c>
      <c r="H150" s="6">
        <v>48</v>
      </c>
      <c r="I150" s="7" t="s">
        <v>43</v>
      </c>
      <c r="J150" s="8">
        <f>2592000/48</f>
        <v>54000</v>
      </c>
      <c r="K150" s="4" t="s">
        <v>43</v>
      </c>
      <c r="L150" s="9"/>
      <c r="M150" s="9">
        <v>0.17</v>
      </c>
      <c r="N150" s="3">
        <f>5+5+18</f>
        <v>28</v>
      </c>
      <c r="O150" s="7" t="s">
        <v>43</v>
      </c>
      <c r="P150" s="3">
        <f t="shared" si="37"/>
        <v>5</v>
      </c>
      <c r="Q150" s="7" t="s">
        <v>43</v>
      </c>
      <c r="R150" s="8">
        <f t="shared" si="38"/>
        <v>224100</v>
      </c>
      <c r="S150" s="32">
        <f t="shared" si="42"/>
        <v>201891.89189189186</v>
      </c>
      <c r="T150" s="2"/>
    </row>
    <row r="151" spans="1:20" s="17" customFormat="1">
      <c r="A151" s="16" t="s">
        <v>154</v>
      </c>
      <c r="B151" s="17" t="s">
        <v>26</v>
      </c>
      <c r="C151" s="18"/>
      <c r="D151" s="19" t="s">
        <v>43</v>
      </c>
      <c r="E151" s="20"/>
      <c r="F151" s="21">
        <v>1</v>
      </c>
      <c r="G151" s="22" t="s">
        <v>21</v>
      </c>
      <c r="H151" s="21">
        <v>48</v>
      </c>
      <c r="I151" s="22" t="s">
        <v>43</v>
      </c>
      <c r="J151" s="23">
        <f>2880000/48</f>
        <v>60000</v>
      </c>
      <c r="K151" s="19" t="s">
        <v>43</v>
      </c>
      <c r="L151" s="24"/>
      <c r="M151" s="24">
        <v>0.17</v>
      </c>
      <c r="N151" s="18"/>
      <c r="O151" s="22" t="s">
        <v>43</v>
      </c>
      <c r="P151" s="18">
        <f t="shared" si="37"/>
        <v>0</v>
      </c>
      <c r="Q151" s="22" t="s">
        <v>43</v>
      </c>
      <c r="R151" s="23">
        <f t="shared" si="38"/>
        <v>0</v>
      </c>
      <c r="S151" s="23">
        <f t="shared" si="42"/>
        <v>0</v>
      </c>
    </row>
    <row r="152" spans="1:20" s="45" customFormat="1">
      <c r="A152" s="44" t="s">
        <v>155</v>
      </c>
      <c r="B152" s="45" t="s">
        <v>26</v>
      </c>
      <c r="C152" s="46">
        <v>102</v>
      </c>
      <c r="D152" s="47" t="s">
        <v>43</v>
      </c>
      <c r="E152" s="48"/>
      <c r="F152" s="49">
        <v>1</v>
      </c>
      <c r="G152" s="50" t="s">
        <v>21</v>
      </c>
      <c r="H152" s="49">
        <v>48</v>
      </c>
      <c r="I152" s="50" t="s">
        <v>43</v>
      </c>
      <c r="J152" s="51">
        <f>2736000/48</f>
        <v>57000</v>
      </c>
      <c r="K152" s="47" t="s">
        <v>43</v>
      </c>
      <c r="L152" s="52"/>
      <c r="M152" s="52">
        <v>0.17</v>
      </c>
      <c r="N152" s="46"/>
      <c r="O152" s="50" t="s">
        <v>43</v>
      </c>
      <c r="P152" s="46">
        <f t="shared" si="37"/>
        <v>102</v>
      </c>
      <c r="Q152" s="50" t="s">
        <v>43</v>
      </c>
      <c r="R152" s="51">
        <f t="shared" si="38"/>
        <v>4825620</v>
      </c>
      <c r="S152" s="51">
        <f t="shared" si="42"/>
        <v>4347405.405405405</v>
      </c>
    </row>
    <row r="153" spans="1:20" s="26" customFormat="1">
      <c r="A153" s="25" t="s">
        <v>156</v>
      </c>
      <c r="B153" s="26" t="s">
        <v>26</v>
      </c>
      <c r="C153" s="27">
        <v>11</v>
      </c>
      <c r="D153" s="28" t="s">
        <v>43</v>
      </c>
      <c r="E153" s="29"/>
      <c r="F153" s="30">
        <v>1</v>
      </c>
      <c r="G153" s="31" t="s">
        <v>21</v>
      </c>
      <c r="H153" s="30">
        <v>48</v>
      </c>
      <c r="I153" s="31" t="s">
        <v>43</v>
      </c>
      <c r="J153" s="32">
        <f>2736000/48</f>
        <v>57000</v>
      </c>
      <c r="K153" s="28" t="s">
        <v>43</v>
      </c>
      <c r="L153" s="33"/>
      <c r="M153" s="33">
        <v>0.17</v>
      </c>
      <c r="N153" s="27"/>
      <c r="O153" s="31" t="s">
        <v>43</v>
      </c>
      <c r="P153" s="27">
        <f t="shared" si="37"/>
        <v>11</v>
      </c>
      <c r="Q153" s="31" t="s">
        <v>43</v>
      </c>
      <c r="R153" s="32">
        <f t="shared" si="38"/>
        <v>520410</v>
      </c>
      <c r="S153" s="32">
        <f t="shared" si="42"/>
        <v>468837.83783783781</v>
      </c>
    </row>
    <row r="154" spans="1:20" s="17" customFormat="1">
      <c r="A154" s="16" t="s">
        <v>157</v>
      </c>
      <c r="B154" s="17" t="s">
        <v>26</v>
      </c>
      <c r="C154" s="18"/>
      <c r="D154" s="19" t="s">
        <v>43</v>
      </c>
      <c r="E154" s="20"/>
      <c r="F154" s="21">
        <v>1</v>
      </c>
      <c r="G154" s="22" t="s">
        <v>21</v>
      </c>
      <c r="H154" s="21">
        <v>48</v>
      </c>
      <c r="I154" s="22" t="s">
        <v>43</v>
      </c>
      <c r="J154" s="23">
        <f>3024000/48</f>
        <v>63000</v>
      </c>
      <c r="K154" s="19" t="s">
        <v>43</v>
      </c>
      <c r="L154" s="24"/>
      <c r="M154" s="24">
        <v>0.17</v>
      </c>
      <c r="N154" s="18"/>
      <c r="O154" s="22" t="s">
        <v>43</v>
      </c>
      <c r="P154" s="18">
        <f t="shared" si="37"/>
        <v>0</v>
      </c>
      <c r="Q154" s="22" t="s">
        <v>43</v>
      </c>
      <c r="R154" s="23">
        <f t="shared" si="38"/>
        <v>0</v>
      </c>
      <c r="S154" s="23">
        <f t="shared" si="42"/>
        <v>0</v>
      </c>
    </row>
    <row r="155" spans="1:20" s="17" customFormat="1">
      <c r="A155" s="16" t="s">
        <v>158</v>
      </c>
      <c r="B155" s="17" t="s">
        <v>26</v>
      </c>
      <c r="C155" s="18"/>
      <c r="D155" s="19" t="s">
        <v>43</v>
      </c>
      <c r="E155" s="20"/>
      <c r="F155" s="21">
        <v>1</v>
      </c>
      <c r="G155" s="22" t="s">
        <v>21</v>
      </c>
      <c r="H155" s="21">
        <v>48</v>
      </c>
      <c r="I155" s="22" t="s">
        <v>43</v>
      </c>
      <c r="J155" s="23">
        <f>2995200/48</f>
        <v>62400</v>
      </c>
      <c r="K155" s="19" t="s">
        <v>43</v>
      </c>
      <c r="L155" s="24"/>
      <c r="M155" s="24">
        <v>0.17</v>
      </c>
      <c r="N155" s="18"/>
      <c r="O155" s="22" t="s">
        <v>43</v>
      </c>
      <c r="P155" s="18">
        <f t="shared" si="37"/>
        <v>0</v>
      </c>
      <c r="Q155" s="22" t="s">
        <v>43</v>
      </c>
      <c r="R155" s="23">
        <f t="shared" si="38"/>
        <v>0</v>
      </c>
      <c r="S155" s="23">
        <f t="shared" si="42"/>
        <v>0</v>
      </c>
    </row>
    <row r="156" spans="1:20" s="17" customFormat="1">
      <c r="A156" s="16" t="s">
        <v>159</v>
      </c>
      <c r="B156" s="17" t="s">
        <v>26</v>
      </c>
      <c r="C156" s="18"/>
      <c r="D156" s="19" t="s">
        <v>43</v>
      </c>
      <c r="E156" s="20"/>
      <c r="F156" s="21">
        <v>1</v>
      </c>
      <c r="G156" s="22" t="s">
        <v>21</v>
      </c>
      <c r="H156" s="21">
        <v>48</v>
      </c>
      <c r="I156" s="22" t="s">
        <v>43</v>
      </c>
      <c r="J156" s="23">
        <f>2995200/48</f>
        <v>62400</v>
      </c>
      <c r="K156" s="19" t="s">
        <v>43</v>
      </c>
      <c r="L156" s="24"/>
      <c r="M156" s="24">
        <v>0.17</v>
      </c>
      <c r="N156" s="18"/>
      <c r="O156" s="22" t="s">
        <v>43</v>
      </c>
      <c r="P156" s="18">
        <f t="shared" si="37"/>
        <v>0</v>
      </c>
      <c r="Q156" s="22" t="s">
        <v>43</v>
      </c>
      <c r="R156" s="23">
        <f t="shared" si="38"/>
        <v>0</v>
      </c>
      <c r="S156" s="23">
        <f t="shared" si="42"/>
        <v>0</v>
      </c>
    </row>
    <row r="157" spans="1:20">
      <c r="S157" s="23"/>
    </row>
    <row r="158" spans="1:20" ht="15.75">
      <c r="A158" s="14" t="s">
        <v>160</v>
      </c>
      <c r="S158" s="23"/>
    </row>
    <row r="159" spans="1:20" s="63" customFormat="1">
      <c r="A159" s="93" t="s">
        <v>781</v>
      </c>
      <c r="B159" s="63" t="s">
        <v>19</v>
      </c>
      <c r="C159" s="64">
        <v>684</v>
      </c>
      <c r="D159" s="65" t="s">
        <v>162</v>
      </c>
      <c r="E159" s="66">
        <v>5</v>
      </c>
      <c r="F159" s="67">
        <v>12</v>
      </c>
      <c r="G159" s="68" t="s">
        <v>34</v>
      </c>
      <c r="H159" s="67">
        <v>12</v>
      </c>
      <c r="I159" s="68" t="s">
        <v>162</v>
      </c>
      <c r="J159" s="69">
        <v>11000</v>
      </c>
      <c r="K159" s="65" t="s">
        <v>162</v>
      </c>
      <c r="L159" s="70">
        <v>0.125</v>
      </c>
      <c r="M159" s="70">
        <v>0.05</v>
      </c>
      <c r="N159" s="64">
        <f>144+144+288+144+576+(3*12)+(6*12)</f>
        <v>1404</v>
      </c>
      <c r="O159" s="68" t="s">
        <v>162</v>
      </c>
      <c r="P159" s="64">
        <f t="shared" ref="P159:P178" si="43">(C159+(E159*F159*H159))-N159</f>
        <v>0</v>
      </c>
      <c r="Q159" s="68" t="s">
        <v>162</v>
      </c>
      <c r="R159" s="69">
        <f t="shared" ref="R159:R178" si="44">P159*(J159-(J159*L159)-((J159-(J159*L159))*M159))</f>
        <v>0</v>
      </c>
      <c r="S159" s="23">
        <f t="shared" si="42"/>
        <v>0</v>
      </c>
    </row>
    <row r="160" spans="1:20" s="63" customFormat="1">
      <c r="A160" s="93" t="s">
        <v>161</v>
      </c>
      <c r="B160" s="63" t="s">
        <v>19</v>
      </c>
      <c r="C160" s="64"/>
      <c r="D160" s="65" t="s">
        <v>162</v>
      </c>
      <c r="E160" s="66">
        <f>6+4+10+2</f>
        <v>22</v>
      </c>
      <c r="F160" s="67">
        <v>12</v>
      </c>
      <c r="G160" s="68" t="s">
        <v>34</v>
      </c>
      <c r="H160" s="67">
        <v>12</v>
      </c>
      <c r="I160" s="68" t="s">
        <v>162</v>
      </c>
      <c r="J160" s="69">
        <v>11600</v>
      </c>
      <c r="K160" s="65" t="s">
        <v>162</v>
      </c>
      <c r="L160" s="70">
        <v>0.125</v>
      </c>
      <c r="M160" s="70">
        <v>0.05</v>
      </c>
      <c r="N160" s="64">
        <f>720+144+576+720+432+288+288</f>
        <v>3168</v>
      </c>
      <c r="O160" s="68" t="s">
        <v>162</v>
      </c>
      <c r="P160" s="64">
        <f t="shared" si="43"/>
        <v>0</v>
      </c>
      <c r="Q160" s="68" t="s">
        <v>162</v>
      </c>
      <c r="R160" s="69">
        <f t="shared" si="44"/>
        <v>0</v>
      </c>
      <c r="S160" s="23">
        <f t="shared" si="42"/>
        <v>0</v>
      </c>
    </row>
    <row r="161" spans="1:19" s="63" customFormat="1">
      <c r="A161" s="93" t="s">
        <v>163</v>
      </c>
      <c r="B161" s="63" t="s">
        <v>19</v>
      </c>
      <c r="C161" s="64"/>
      <c r="D161" s="65" t="s">
        <v>162</v>
      </c>
      <c r="E161" s="66"/>
      <c r="F161" s="67">
        <v>6</v>
      </c>
      <c r="G161" s="68" t="s">
        <v>34</v>
      </c>
      <c r="H161" s="67">
        <v>24</v>
      </c>
      <c r="I161" s="68" t="s">
        <v>162</v>
      </c>
      <c r="J161" s="69">
        <v>9000</v>
      </c>
      <c r="K161" s="65" t="s">
        <v>162</v>
      </c>
      <c r="L161" s="70">
        <v>0.125</v>
      </c>
      <c r="M161" s="70">
        <v>0.05</v>
      </c>
      <c r="N161" s="64"/>
      <c r="O161" s="68" t="s">
        <v>162</v>
      </c>
      <c r="P161" s="64">
        <f t="shared" si="43"/>
        <v>0</v>
      </c>
      <c r="Q161" s="68" t="s">
        <v>162</v>
      </c>
      <c r="R161" s="69">
        <f t="shared" si="44"/>
        <v>0</v>
      </c>
      <c r="S161" s="23">
        <f t="shared" si="42"/>
        <v>0</v>
      </c>
    </row>
    <row r="162" spans="1:19" s="45" customFormat="1">
      <c r="A162" s="44" t="s">
        <v>164</v>
      </c>
      <c r="B162" s="45" t="s">
        <v>19</v>
      </c>
      <c r="C162" s="46">
        <v>1584</v>
      </c>
      <c r="D162" s="47" t="s">
        <v>162</v>
      </c>
      <c r="E162" s="48">
        <f>5+5+5+8</f>
        <v>23</v>
      </c>
      <c r="F162" s="49">
        <v>1</v>
      </c>
      <c r="G162" s="50" t="s">
        <v>21</v>
      </c>
      <c r="H162" s="49">
        <v>144</v>
      </c>
      <c r="I162" s="50" t="s">
        <v>162</v>
      </c>
      <c r="J162" s="51">
        <v>11900</v>
      </c>
      <c r="K162" s="47" t="s">
        <v>162</v>
      </c>
      <c r="L162" s="52">
        <v>0.125</v>
      </c>
      <c r="M162" s="52">
        <v>0.05</v>
      </c>
      <c r="N162" s="46">
        <f>288+432+288+432+288+144+144+144+144+432-1</f>
        <v>2735</v>
      </c>
      <c r="O162" s="50" t="s">
        <v>162</v>
      </c>
      <c r="P162" s="46">
        <f t="shared" si="43"/>
        <v>2161</v>
      </c>
      <c r="Q162" s="50" t="s">
        <v>162</v>
      </c>
      <c r="R162" s="51">
        <f t="shared" si="44"/>
        <v>21376341.875</v>
      </c>
      <c r="S162" s="51">
        <f t="shared" si="42"/>
        <v>19257965.653153151</v>
      </c>
    </row>
    <row r="163" spans="1:19" s="45" customFormat="1">
      <c r="A163" s="44" t="s">
        <v>165</v>
      </c>
      <c r="B163" s="45" t="s">
        <v>19</v>
      </c>
      <c r="C163" s="46"/>
      <c r="D163" s="47" t="s">
        <v>162</v>
      </c>
      <c r="E163" s="48">
        <f>2+5+2+3</f>
        <v>12</v>
      </c>
      <c r="F163" s="49">
        <v>6</v>
      </c>
      <c r="G163" s="50" t="s">
        <v>34</v>
      </c>
      <c r="H163" s="49">
        <v>12</v>
      </c>
      <c r="I163" s="50" t="s">
        <v>162</v>
      </c>
      <c r="J163" s="51">
        <v>23000</v>
      </c>
      <c r="K163" s="47" t="s">
        <v>162</v>
      </c>
      <c r="L163" s="52">
        <v>0.125</v>
      </c>
      <c r="M163" s="52">
        <v>0.05</v>
      </c>
      <c r="N163" s="46">
        <f>216+72+5+(12*12)+72+144+72</f>
        <v>725</v>
      </c>
      <c r="O163" s="50" t="s">
        <v>162</v>
      </c>
      <c r="P163" s="46">
        <f t="shared" si="43"/>
        <v>139</v>
      </c>
      <c r="Q163" s="50" t="s">
        <v>162</v>
      </c>
      <c r="R163" s="51">
        <f t="shared" si="44"/>
        <v>2657506.25</v>
      </c>
      <c r="S163" s="51">
        <f t="shared" si="42"/>
        <v>2394149.7747747744</v>
      </c>
    </row>
    <row r="164" spans="1:19" s="63" customFormat="1">
      <c r="A164" s="72" t="s">
        <v>166</v>
      </c>
      <c r="B164" s="63" t="s">
        <v>19</v>
      </c>
      <c r="C164" s="64">
        <v>30</v>
      </c>
      <c r="D164" s="65" t="s">
        <v>162</v>
      </c>
      <c r="E164" s="66">
        <f>5+5+2+8</f>
        <v>20</v>
      </c>
      <c r="F164" s="67">
        <v>8</v>
      </c>
      <c r="G164" s="68" t="s">
        <v>34</v>
      </c>
      <c r="H164" s="67">
        <v>6</v>
      </c>
      <c r="I164" s="68" t="s">
        <v>162</v>
      </c>
      <c r="J164" s="69">
        <v>28700</v>
      </c>
      <c r="K164" s="65" t="s">
        <v>162</v>
      </c>
      <c r="L164" s="70">
        <v>0.125</v>
      </c>
      <c r="M164" s="70">
        <v>0.05</v>
      </c>
      <c r="N164" s="64">
        <f>24+48+48+6+144+144+48+48+48+48+240+144</f>
        <v>990</v>
      </c>
      <c r="O164" s="68" t="s">
        <v>162</v>
      </c>
      <c r="P164" s="64">
        <f>(C164+(E164*F164*H164))-N164</f>
        <v>0</v>
      </c>
      <c r="Q164" s="68" t="s">
        <v>162</v>
      </c>
      <c r="R164" s="69">
        <f>P164*(J164-(J164*L164)-((J164-(J164*L164))*M164))</f>
        <v>0</v>
      </c>
      <c r="S164" s="69">
        <f t="shared" si="42"/>
        <v>0</v>
      </c>
    </row>
    <row r="165" spans="1:19" s="45" customFormat="1">
      <c r="A165" s="44" t="s">
        <v>167</v>
      </c>
      <c r="B165" s="45" t="s">
        <v>19</v>
      </c>
      <c r="C165" s="46">
        <v>150</v>
      </c>
      <c r="D165" s="47" t="s">
        <v>162</v>
      </c>
      <c r="E165" s="48">
        <f>5+2+4</f>
        <v>11</v>
      </c>
      <c r="F165" s="49">
        <v>6</v>
      </c>
      <c r="G165" s="50" t="s">
        <v>34</v>
      </c>
      <c r="H165" s="49">
        <v>6</v>
      </c>
      <c r="I165" s="50" t="s">
        <v>162</v>
      </c>
      <c r="J165" s="51">
        <v>41500</v>
      </c>
      <c r="K165" s="47" t="s">
        <v>162</v>
      </c>
      <c r="L165" s="52">
        <v>0.125</v>
      </c>
      <c r="M165" s="52">
        <v>0.05</v>
      </c>
      <c r="N165" s="46">
        <f>36+36+72+4+36+36+36+36+72+72</f>
        <v>436</v>
      </c>
      <c r="O165" s="50" t="s">
        <v>162</v>
      </c>
      <c r="P165" s="46">
        <f t="shared" si="43"/>
        <v>110</v>
      </c>
      <c r="Q165" s="50" t="s">
        <v>162</v>
      </c>
      <c r="R165" s="51">
        <f t="shared" si="44"/>
        <v>3794656.25</v>
      </c>
      <c r="S165" s="51">
        <f>R165/1.11</f>
        <v>3418609.2342342339</v>
      </c>
    </row>
    <row r="166" spans="1:19" s="45" customFormat="1">
      <c r="A166" s="44" t="s">
        <v>168</v>
      </c>
      <c r="B166" s="45" t="s">
        <v>19</v>
      </c>
      <c r="C166" s="46">
        <v>48</v>
      </c>
      <c r="D166" s="47" t="s">
        <v>162</v>
      </c>
      <c r="E166" s="48">
        <f>2+1</f>
        <v>3</v>
      </c>
      <c r="F166" s="49">
        <v>4</v>
      </c>
      <c r="G166" s="50" t="s">
        <v>34</v>
      </c>
      <c r="H166" s="49">
        <v>6</v>
      </c>
      <c r="I166" s="50" t="s">
        <v>162</v>
      </c>
      <c r="J166" s="51">
        <v>58900</v>
      </c>
      <c r="K166" s="47" t="s">
        <v>162</v>
      </c>
      <c r="L166" s="52">
        <v>0.125</v>
      </c>
      <c r="M166" s="52">
        <v>0.05</v>
      </c>
      <c r="N166" s="46">
        <v>48</v>
      </c>
      <c r="O166" s="50" t="s">
        <v>162</v>
      </c>
      <c r="P166" s="46">
        <f t="shared" si="43"/>
        <v>72</v>
      </c>
      <c r="Q166" s="50" t="s">
        <v>162</v>
      </c>
      <c r="R166" s="51">
        <f t="shared" si="44"/>
        <v>3525165</v>
      </c>
      <c r="S166" s="51">
        <f t="shared" si="42"/>
        <v>3175824.3243243243</v>
      </c>
    </row>
    <row r="167" spans="1:19" s="45" customFormat="1">
      <c r="A167" s="44" t="s">
        <v>169</v>
      </c>
      <c r="B167" s="45" t="s">
        <v>19</v>
      </c>
      <c r="C167" s="46">
        <v>144</v>
      </c>
      <c r="D167" s="47" t="s">
        <v>162</v>
      </c>
      <c r="E167" s="48">
        <f>1+2</f>
        <v>3</v>
      </c>
      <c r="F167" s="49">
        <v>4</v>
      </c>
      <c r="G167" s="50" t="s">
        <v>34</v>
      </c>
      <c r="H167" s="49">
        <v>6</v>
      </c>
      <c r="I167" s="50" t="s">
        <v>162</v>
      </c>
      <c r="J167" s="51">
        <v>66900</v>
      </c>
      <c r="K167" s="47" t="s">
        <v>162</v>
      </c>
      <c r="L167" s="52">
        <v>0.125</v>
      </c>
      <c r="M167" s="52">
        <v>0.05</v>
      </c>
      <c r="N167" s="46">
        <f>24+4</f>
        <v>28</v>
      </c>
      <c r="O167" s="50" t="s">
        <v>162</v>
      </c>
      <c r="P167" s="46">
        <f t="shared" si="43"/>
        <v>188</v>
      </c>
      <c r="Q167" s="50" t="s">
        <v>162</v>
      </c>
      <c r="R167" s="51">
        <f t="shared" si="44"/>
        <v>10454797.5</v>
      </c>
      <c r="S167" s="51">
        <f t="shared" si="42"/>
        <v>9418736.4864864852</v>
      </c>
    </row>
    <row r="168" spans="1:19" s="63" customFormat="1">
      <c r="A168" s="72" t="s">
        <v>775</v>
      </c>
      <c r="B168" s="63" t="s">
        <v>19</v>
      </c>
      <c r="C168" s="64"/>
      <c r="D168" s="65" t="s">
        <v>162</v>
      </c>
      <c r="E168" s="66"/>
      <c r="F168" s="67">
        <v>1</v>
      </c>
      <c r="G168" s="68" t="s">
        <v>21</v>
      </c>
      <c r="H168" s="67">
        <v>24</v>
      </c>
      <c r="I168" s="68" t="s">
        <v>162</v>
      </c>
      <c r="J168" s="69">
        <v>96000</v>
      </c>
      <c r="K168" s="65" t="s">
        <v>162</v>
      </c>
      <c r="L168" s="70">
        <v>0.125</v>
      </c>
      <c r="M168" s="70">
        <v>0.05</v>
      </c>
      <c r="N168" s="64"/>
      <c r="O168" s="68" t="s">
        <v>162</v>
      </c>
      <c r="P168" s="64">
        <f t="shared" si="43"/>
        <v>0</v>
      </c>
      <c r="Q168" s="68" t="s">
        <v>162</v>
      </c>
      <c r="R168" s="69">
        <f t="shared" si="44"/>
        <v>0</v>
      </c>
      <c r="S168" s="69">
        <f t="shared" si="42"/>
        <v>0</v>
      </c>
    </row>
    <row r="169" spans="1:19" s="17" customFormat="1">
      <c r="A169" s="93" t="s">
        <v>170</v>
      </c>
      <c r="B169" s="17" t="s">
        <v>26</v>
      </c>
      <c r="C169" s="18"/>
      <c r="D169" s="19" t="s">
        <v>162</v>
      </c>
      <c r="E169" s="20"/>
      <c r="F169" s="21">
        <v>12</v>
      </c>
      <c r="G169" s="22" t="s">
        <v>43</v>
      </c>
      <c r="H169" s="21">
        <v>12</v>
      </c>
      <c r="I169" s="22" t="s">
        <v>162</v>
      </c>
      <c r="J169" s="23">
        <f>1512000/12/12</f>
        <v>10500</v>
      </c>
      <c r="K169" s="19" t="s">
        <v>162</v>
      </c>
      <c r="L169" s="24"/>
      <c r="M169" s="24">
        <v>0.17</v>
      </c>
      <c r="N169" s="18"/>
      <c r="O169" s="22" t="s">
        <v>162</v>
      </c>
      <c r="P169" s="18">
        <f t="shared" si="43"/>
        <v>0</v>
      </c>
      <c r="Q169" s="22" t="s">
        <v>162</v>
      </c>
      <c r="R169" s="23">
        <f t="shared" si="44"/>
        <v>0</v>
      </c>
      <c r="S169" s="23">
        <f t="shared" si="42"/>
        <v>0</v>
      </c>
    </row>
    <row r="170" spans="1:19" s="26" customFormat="1">
      <c r="A170" s="94" t="s">
        <v>171</v>
      </c>
      <c r="B170" s="26" t="s">
        <v>26</v>
      </c>
      <c r="C170" s="27"/>
      <c r="D170" s="28" t="s">
        <v>162</v>
      </c>
      <c r="E170" s="29">
        <v>2</v>
      </c>
      <c r="F170" s="30">
        <v>6</v>
      </c>
      <c r="G170" s="31" t="s">
        <v>43</v>
      </c>
      <c r="H170" s="30">
        <v>12</v>
      </c>
      <c r="I170" s="31" t="s">
        <v>162</v>
      </c>
      <c r="J170" s="32">
        <f>1548000/6/12</f>
        <v>21500</v>
      </c>
      <c r="K170" s="28" t="s">
        <v>162</v>
      </c>
      <c r="L170" s="33"/>
      <c r="M170" s="33">
        <v>0.17</v>
      </c>
      <c r="N170" s="27"/>
      <c r="O170" s="31" t="s">
        <v>162</v>
      </c>
      <c r="P170" s="27">
        <f t="shared" si="43"/>
        <v>144</v>
      </c>
      <c r="Q170" s="31" t="s">
        <v>162</v>
      </c>
      <c r="R170" s="32">
        <f t="shared" si="44"/>
        <v>2569680</v>
      </c>
      <c r="S170" s="32">
        <f t="shared" si="42"/>
        <v>2315027.0270270268</v>
      </c>
    </row>
    <row r="171" spans="1:19" s="17" customFormat="1">
      <c r="A171" s="93" t="s">
        <v>172</v>
      </c>
      <c r="B171" s="17" t="s">
        <v>19</v>
      </c>
      <c r="C171" s="18"/>
      <c r="D171" s="19" t="s">
        <v>162</v>
      </c>
      <c r="E171" s="20"/>
      <c r="F171" s="21">
        <v>8</v>
      </c>
      <c r="G171" s="22" t="s">
        <v>34</v>
      </c>
      <c r="H171" s="21">
        <v>12</v>
      </c>
      <c r="I171" s="22" t="s">
        <v>162</v>
      </c>
      <c r="J171" s="23">
        <v>12500</v>
      </c>
      <c r="K171" s="19" t="s">
        <v>162</v>
      </c>
      <c r="L171" s="24">
        <v>0.125</v>
      </c>
      <c r="M171" s="24">
        <v>0.05</v>
      </c>
      <c r="N171" s="18"/>
      <c r="O171" s="22" t="s">
        <v>162</v>
      </c>
      <c r="P171" s="18">
        <f t="shared" si="43"/>
        <v>0</v>
      </c>
      <c r="Q171" s="22" t="s">
        <v>162</v>
      </c>
      <c r="R171" s="23">
        <f t="shared" si="44"/>
        <v>0</v>
      </c>
      <c r="S171" s="23">
        <f t="shared" si="42"/>
        <v>0</v>
      </c>
    </row>
    <row r="172" spans="1:19" s="63" customFormat="1">
      <c r="A172" s="93" t="s">
        <v>173</v>
      </c>
      <c r="B172" s="63" t="s">
        <v>19</v>
      </c>
      <c r="C172" s="64"/>
      <c r="D172" s="65" t="s">
        <v>162</v>
      </c>
      <c r="E172" s="66"/>
      <c r="F172" s="67">
        <v>1</v>
      </c>
      <c r="G172" s="68" t="s">
        <v>21</v>
      </c>
      <c r="H172" s="67">
        <v>144</v>
      </c>
      <c r="I172" s="68" t="s">
        <v>162</v>
      </c>
      <c r="J172" s="69">
        <v>11600</v>
      </c>
      <c r="K172" s="65" t="s">
        <v>162</v>
      </c>
      <c r="L172" s="70">
        <v>0.125</v>
      </c>
      <c r="M172" s="70">
        <v>0.05</v>
      </c>
      <c r="N172" s="64"/>
      <c r="O172" s="68" t="s">
        <v>162</v>
      </c>
      <c r="P172" s="64">
        <f t="shared" si="43"/>
        <v>0</v>
      </c>
      <c r="Q172" s="68" t="s">
        <v>162</v>
      </c>
      <c r="R172" s="69">
        <f t="shared" si="44"/>
        <v>0</v>
      </c>
      <c r="S172" s="69">
        <f t="shared" si="42"/>
        <v>0</v>
      </c>
    </row>
    <row r="173" spans="1:19" s="63" customFormat="1">
      <c r="A173" s="72" t="s">
        <v>174</v>
      </c>
      <c r="B173" s="63" t="s">
        <v>26</v>
      </c>
      <c r="C173" s="64">
        <v>432</v>
      </c>
      <c r="D173" s="65" t="s">
        <v>162</v>
      </c>
      <c r="E173" s="66"/>
      <c r="F173" s="67">
        <v>12</v>
      </c>
      <c r="G173" s="68" t="s">
        <v>43</v>
      </c>
      <c r="H173" s="67">
        <v>12</v>
      </c>
      <c r="I173" s="68" t="s">
        <v>162</v>
      </c>
      <c r="J173" s="69">
        <f>2088000/144</f>
        <v>14500</v>
      </c>
      <c r="K173" s="65" t="s">
        <v>162</v>
      </c>
      <c r="L173" s="70">
        <v>0.05</v>
      </c>
      <c r="M173" s="70">
        <v>0.17</v>
      </c>
      <c r="N173" s="64">
        <f>(36*12)</f>
        <v>432</v>
      </c>
      <c r="O173" s="68" t="s">
        <v>162</v>
      </c>
      <c r="P173" s="64">
        <f t="shared" si="43"/>
        <v>0</v>
      </c>
      <c r="Q173" s="68" t="s">
        <v>162</v>
      </c>
      <c r="R173" s="69">
        <f t="shared" si="44"/>
        <v>0</v>
      </c>
      <c r="S173" s="69">
        <f t="shared" si="42"/>
        <v>0</v>
      </c>
    </row>
    <row r="174" spans="1:19" s="63" customFormat="1">
      <c r="A174" s="72" t="s">
        <v>175</v>
      </c>
      <c r="B174" s="63" t="s">
        <v>26</v>
      </c>
      <c r="C174" s="64">
        <v>216</v>
      </c>
      <c r="D174" s="65" t="s">
        <v>162</v>
      </c>
      <c r="E174" s="66"/>
      <c r="F174" s="67">
        <v>6</v>
      </c>
      <c r="G174" s="68" t="s">
        <v>43</v>
      </c>
      <c r="H174" s="67">
        <v>12</v>
      </c>
      <c r="I174" s="68" t="s">
        <v>162</v>
      </c>
      <c r="J174" s="69">
        <f>1944000/72</f>
        <v>27000</v>
      </c>
      <c r="K174" s="65" t="s">
        <v>162</v>
      </c>
      <c r="L174" s="70">
        <v>0.05</v>
      </c>
      <c r="M174" s="70">
        <v>0.17</v>
      </c>
      <c r="N174" s="64">
        <f>(18*12)</f>
        <v>216</v>
      </c>
      <c r="O174" s="68" t="s">
        <v>162</v>
      </c>
      <c r="P174" s="64">
        <f t="shared" si="43"/>
        <v>0</v>
      </c>
      <c r="Q174" s="68" t="s">
        <v>162</v>
      </c>
      <c r="R174" s="69">
        <f t="shared" si="44"/>
        <v>0</v>
      </c>
      <c r="S174" s="69">
        <f t="shared" si="42"/>
        <v>0</v>
      </c>
    </row>
    <row r="175" spans="1:19" s="63" customFormat="1">
      <c r="A175" s="72" t="s">
        <v>176</v>
      </c>
      <c r="B175" s="63" t="s">
        <v>26</v>
      </c>
      <c r="C175" s="64">
        <v>144</v>
      </c>
      <c r="D175" s="65" t="s">
        <v>162</v>
      </c>
      <c r="E175" s="66"/>
      <c r="F175" s="67">
        <v>8</v>
      </c>
      <c r="G175" s="68" t="s">
        <v>34</v>
      </c>
      <c r="H175" s="67">
        <v>6</v>
      </c>
      <c r="I175" s="68" t="s">
        <v>162</v>
      </c>
      <c r="J175" s="69">
        <f>1632000/8/6</f>
        <v>34000</v>
      </c>
      <c r="K175" s="65" t="s">
        <v>162</v>
      </c>
      <c r="L175" s="70">
        <v>0.05</v>
      </c>
      <c r="M175" s="70">
        <v>0.17</v>
      </c>
      <c r="N175" s="64">
        <v>144</v>
      </c>
      <c r="O175" s="68" t="s">
        <v>162</v>
      </c>
      <c r="P175" s="64">
        <f t="shared" si="43"/>
        <v>0</v>
      </c>
      <c r="Q175" s="68" t="s">
        <v>162</v>
      </c>
      <c r="R175" s="69">
        <f t="shared" si="44"/>
        <v>0</v>
      </c>
      <c r="S175" s="69">
        <f t="shared" si="42"/>
        <v>0</v>
      </c>
    </row>
    <row r="176" spans="1:19" s="63" customFormat="1">
      <c r="A176" s="72" t="s">
        <v>177</v>
      </c>
      <c r="B176" s="63" t="s">
        <v>26</v>
      </c>
      <c r="C176" s="64">
        <v>72</v>
      </c>
      <c r="D176" s="65" t="s">
        <v>162</v>
      </c>
      <c r="E176" s="66"/>
      <c r="F176" s="67">
        <v>6</v>
      </c>
      <c r="G176" s="68" t="s">
        <v>34</v>
      </c>
      <c r="H176" s="67">
        <v>6</v>
      </c>
      <c r="I176" s="68" t="s">
        <v>162</v>
      </c>
      <c r="J176" s="69">
        <f>1710000/6/6</f>
        <v>47500</v>
      </c>
      <c r="K176" s="65" t="s">
        <v>162</v>
      </c>
      <c r="L176" s="70">
        <v>0.05</v>
      </c>
      <c r="M176" s="70">
        <v>0.17</v>
      </c>
      <c r="N176" s="64">
        <v>72</v>
      </c>
      <c r="O176" s="68" t="s">
        <v>162</v>
      </c>
      <c r="P176" s="64">
        <f t="shared" si="43"/>
        <v>0</v>
      </c>
      <c r="Q176" s="68" t="s">
        <v>162</v>
      </c>
      <c r="R176" s="69">
        <f t="shared" si="44"/>
        <v>0</v>
      </c>
      <c r="S176" s="69">
        <f t="shared" si="42"/>
        <v>0</v>
      </c>
    </row>
    <row r="177" spans="1:19" s="63" customFormat="1">
      <c r="A177" s="72" t="s">
        <v>178</v>
      </c>
      <c r="B177" s="63" t="s">
        <v>26</v>
      </c>
      <c r="C177" s="64">
        <v>24</v>
      </c>
      <c r="D177" s="65" t="s">
        <v>162</v>
      </c>
      <c r="E177" s="66"/>
      <c r="F177" s="67">
        <v>4</v>
      </c>
      <c r="G177" s="68" t="s">
        <v>34</v>
      </c>
      <c r="H177" s="67">
        <v>6</v>
      </c>
      <c r="I177" s="68" t="s">
        <v>162</v>
      </c>
      <c r="J177" s="69">
        <f>1656000/4/6</f>
        <v>69000</v>
      </c>
      <c r="K177" s="65" t="s">
        <v>162</v>
      </c>
      <c r="L177" s="70">
        <v>0.05</v>
      </c>
      <c r="M177" s="70">
        <v>0.17</v>
      </c>
      <c r="N177" s="64">
        <v>24</v>
      </c>
      <c r="O177" s="68" t="s">
        <v>162</v>
      </c>
      <c r="P177" s="64">
        <f t="shared" si="43"/>
        <v>0</v>
      </c>
      <c r="Q177" s="68" t="s">
        <v>162</v>
      </c>
      <c r="R177" s="69">
        <f t="shared" si="44"/>
        <v>0</v>
      </c>
      <c r="S177" s="69">
        <f t="shared" si="42"/>
        <v>0</v>
      </c>
    </row>
    <row r="178" spans="1:19" s="63" customFormat="1">
      <c r="A178" s="72" t="s">
        <v>179</v>
      </c>
      <c r="B178" s="63" t="s">
        <v>26</v>
      </c>
      <c r="C178" s="64">
        <v>24</v>
      </c>
      <c r="D178" s="65" t="s">
        <v>162</v>
      </c>
      <c r="E178" s="66"/>
      <c r="F178" s="67">
        <v>4</v>
      </c>
      <c r="G178" s="68" t="s">
        <v>34</v>
      </c>
      <c r="H178" s="67">
        <v>6</v>
      </c>
      <c r="I178" s="68" t="s">
        <v>162</v>
      </c>
      <c r="J178" s="69">
        <f>1824000/4/6</f>
        <v>76000</v>
      </c>
      <c r="K178" s="65" t="s">
        <v>162</v>
      </c>
      <c r="L178" s="70">
        <v>0.05</v>
      </c>
      <c r="M178" s="70">
        <v>0.17</v>
      </c>
      <c r="N178" s="64">
        <v>24</v>
      </c>
      <c r="O178" s="68" t="s">
        <v>162</v>
      </c>
      <c r="P178" s="64">
        <f t="shared" si="43"/>
        <v>0</v>
      </c>
      <c r="Q178" s="68" t="s">
        <v>162</v>
      </c>
      <c r="R178" s="69">
        <f t="shared" si="44"/>
        <v>0</v>
      </c>
      <c r="S178" s="69">
        <f t="shared" si="42"/>
        <v>0</v>
      </c>
    </row>
    <row r="179" spans="1:19">
      <c r="A179" s="15" t="s">
        <v>180</v>
      </c>
      <c r="S179" s="23"/>
    </row>
    <row r="180" spans="1:19" s="63" customFormat="1">
      <c r="A180" s="72" t="s">
        <v>181</v>
      </c>
      <c r="B180" s="63" t="s">
        <v>182</v>
      </c>
      <c r="C180" s="64"/>
      <c r="D180" s="65" t="s">
        <v>162</v>
      </c>
      <c r="E180" s="66"/>
      <c r="F180" s="67">
        <v>1</v>
      </c>
      <c r="G180" s="68" t="s">
        <v>21</v>
      </c>
      <c r="H180" s="67">
        <v>144</v>
      </c>
      <c r="I180" s="68" t="s">
        <v>162</v>
      </c>
      <c r="J180" s="69">
        <v>14000</v>
      </c>
      <c r="K180" s="65" t="s">
        <v>162</v>
      </c>
      <c r="L180" s="70">
        <v>0.05</v>
      </c>
      <c r="M180" s="70">
        <v>0.03</v>
      </c>
      <c r="N180" s="64"/>
      <c r="O180" s="68" t="s">
        <v>162</v>
      </c>
      <c r="P180" s="64">
        <f t="shared" ref="P180:P187" si="45">(C180+(E180*F180*H180))-N180</f>
        <v>0</v>
      </c>
      <c r="Q180" s="68" t="s">
        <v>162</v>
      </c>
      <c r="R180" s="69">
        <f t="shared" ref="R180:R187" si="46">P180*(J180-(J180*L180)-((J180-(J180*L180))*M180))</f>
        <v>0</v>
      </c>
      <c r="S180" s="23">
        <f t="shared" si="42"/>
        <v>0</v>
      </c>
    </row>
    <row r="181" spans="1:19" s="63" customFormat="1">
      <c r="A181" s="72" t="s">
        <v>183</v>
      </c>
      <c r="B181" s="63" t="s">
        <v>19</v>
      </c>
      <c r="C181" s="64">
        <v>24</v>
      </c>
      <c r="D181" s="65" t="s">
        <v>162</v>
      </c>
      <c r="E181" s="66">
        <f>4+2+1</f>
        <v>7</v>
      </c>
      <c r="F181" s="67">
        <v>12</v>
      </c>
      <c r="G181" s="68" t="s">
        <v>34</v>
      </c>
      <c r="H181" s="67">
        <v>12</v>
      </c>
      <c r="I181" s="68" t="s">
        <v>162</v>
      </c>
      <c r="J181" s="69">
        <v>18000</v>
      </c>
      <c r="K181" s="65" t="s">
        <v>162</v>
      </c>
      <c r="L181" s="70">
        <v>0.125</v>
      </c>
      <c r="M181" s="70">
        <v>0.05</v>
      </c>
      <c r="N181" s="64">
        <f>12+576+144+288+12</f>
        <v>1032</v>
      </c>
      <c r="O181" s="68" t="s">
        <v>162</v>
      </c>
      <c r="P181" s="64">
        <f t="shared" si="45"/>
        <v>0</v>
      </c>
      <c r="Q181" s="68" t="s">
        <v>162</v>
      </c>
      <c r="R181" s="69">
        <f t="shared" si="46"/>
        <v>0</v>
      </c>
      <c r="S181" s="23">
        <f t="shared" si="42"/>
        <v>0</v>
      </c>
    </row>
    <row r="182" spans="1:19" s="63" customFormat="1">
      <c r="A182" s="72" t="s">
        <v>184</v>
      </c>
      <c r="B182" s="63" t="s">
        <v>19</v>
      </c>
      <c r="C182" s="64">
        <f>84+288</f>
        <v>372</v>
      </c>
      <c r="D182" s="65" t="s">
        <v>162</v>
      </c>
      <c r="E182" s="66">
        <f>4+1</f>
        <v>5</v>
      </c>
      <c r="F182" s="67">
        <v>12</v>
      </c>
      <c r="G182" s="68" t="s">
        <v>34</v>
      </c>
      <c r="H182" s="67">
        <v>12</v>
      </c>
      <c r="I182" s="68" t="s">
        <v>162</v>
      </c>
      <c r="J182" s="69">
        <v>22750</v>
      </c>
      <c r="K182" s="65" t="s">
        <v>162</v>
      </c>
      <c r="L182" s="70">
        <v>0.125</v>
      </c>
      <c r="M182" s="70">
        <v>0.05</v>
      </c>
      <c r="N182" s="64">
        <f>(7*12)+(2*12)+(3*12)+216+(1*12)+144+144+288+144</f>
        <v>1092</v>
      </c>
      <c r="O182" s="68" t="s">
        <v>162</v>
      </c>
      <c r="P182" s="64">
        <f t="shared" si="45"/>
        <v>0</v>
      </c>
      <c r="Q182" s="68" t="s">
        <v>162</v>
      </c>
      <c r="R182" s="69">
        <f t="shared" si="46"/>
        <v>0</v>
      </c>
      <c r="S182" s="69">
        <f t="shared" si="42"/>
        <v>0</v>
      </c>
    </row>
    <row r="183" spans="1:19" s="17" customFormat="1">
      <c r="A183" s="16" t="s">
        <v>185</v>
      </c>
      <c r="B183" s="17" t="s">
        <v>19</v>
      </c>
      <c r="C183" s="18"/>
      <c r="D183" s="19" t="s">
        <v>162</v>
      </c>
      <c r="E183" s="20"/>
      <c r="F183" s="21">
        <v>12</v>
      </c>
      <c r="G183" s="22" t="s">
        <v>34</v>
      </c>
      <c r="H183" s="21">
        <v>6</v>
      </c>
      <c r="I183" s="22" t="s">
        <v>162</v>
      </c>
      <c r="J183" s="23">
        <v>48000</v>
      </c>
      <c r="K183" s="19" t="s">
        <v>162</v>
      </c>
      <c r="L183" s="24">
        <v>0.125</v>
      </c>
      <c r="M183" s="24">
        <v>0.05</v>
      </c>
      <c r="N183" s="18"/>
      <c r="O183" s="22" t="s">
        <v>162</v>
      </c>
      <c r="P183" s="18">
        <f t="shared" si="45"/>
        <v>0</v>
      </c>
      <c r="Q183" s="22" t="s">
        <v>162</v>
      </c>
      <c r="R183" s="23">
        <f t="shared" si="46"/>
        <v>0</v>
      </c>
      <c r="S183" s="23">
        <f t="shared" si="42"/>
        <v>0</v>
      </c>
    </row>
    <row r="184" spans="1:19" s="17" customFormat="1">
      <c r="A184" s="16" t="s">
        <v>186</v>
      </c>
      <c r="B184" s="17" t="s">
        <v>26</v>
      </c>
      <c r="C184" s="18"/>
      <c r="D184" s="19" t="s">
        <v>162</v>
      </c>
      <c r="E184" s="20"/>
      <c r="F184" s="21">
        <v>12</v>
      </c>
      <c r="G184" s="22" t="s">
        <v>43</v>
      </c>
      <c r="H184" s="21">
        <v>12</v>
      </c>
      <c r="I184" s="22" t="s">
        <v>162</v>
      </c>
      <c r="J184" s="23">
        <f>2592000/12/12</f>
        <v>18000</v>
      </c>
      <c r="K184" s="19" t="s">
        <v>162</v>
      </c>
      <c r="L184" s="24"/>
      <c r="M184" s="24">
        <v>0.17</v>
      </c>
      <c r="N184" s="18"/>
      <c r="O184" s="22" t="s">
        <v>162</v>
      </c>
      <c r="P184" s="18">
        <f t="shared" si="45"/>
        <v>0</v>
      </c>
      <c r="Q184" s="22" t="s">
        <v>162</v>
      </c>
      <c r="R184" s="23">
        <f t="shared" si="46"/>
        <v>0</v>
      </c>
      <c r="S184" s="23">
        <f t="shared" si="42"/>
        <v>0</v>
      </c>
    </row>
    <row r="185" spans="1:19" s="17" customFormat="1">
      <c r="A185" s="16" t="s">
        <v>187</v>
      </c>
      <c r="B185" s="17" t="s">
        <v>26</v>
      </c>
      <c r="C185" s="18"/>
      <c r="D185" s="19" t="s">
        <v>162</v>
      </c>
      <c r="E185" s="20"/>
      <c r="F185" s="21">
        <v>8</v>
      </c>
      <c r="G185" s="22" t="s">
        <v>43</v>
      </c>
      <c r="H185" s="21">
        <v>12</v>
      </c>
      <c r="I185" s="22" t="s">
        <v>162</v>
      </c>
      <c r="J185" s="23">
        <v>24500</v>
      </c>
      <c r="K185" s="19" t="s">
        <v>162</v>
      </c>
      <c r="L185" s="24"/>
      <c r="M185" s="24">
        <v>0.17</v>
      </c>
      <c r="N185" s="18"/>
      <c r="O185" s="22" t="s">
        <v>162</v>
      </c>
      <c r="P185" s="18">
        <f t="shared" si="45"/>
        <v>0</v>
      </c>
      <c r="Q185" s="22" t="s">
        <v>162</v>
      </c>
      <c r="R185" s="23">
        <f t="shared" si="46"/>
        <v>0</v>
      </c>
      <c r="S185" s="23">
        <f t="shared" si="42"/>
        <v>0</v>
      </c>
    </row>
    <row r="186" spans="1:19" s="17" customFormat="1">
      <c r="A186" s="16" t="s">
        <v>188</v>
      </c>
      <c r="B186" s="17" t="s">
        <v>26</v>
      </c>
      <c r="C186" s="18"/>
      <c r="D186" s="19" t="s">
        <v>162</v>
      </c>
      <c r="E186" s="20"/>
      <c r="F186" s="21">
        <v>12</v>
      </c>
      <c r="G186" s="22" t="s">
        <v>43</v>
      </c>
      <c r="H186" s="21">
        <v>12</v>
      </c>
      <c r="I186" s="22" t="s">
        <v>162</v>
      </c>
      <c r="J186" s="23">
        <f>3528000/144</f>
        <v>24500</v>
      </c>
      <c r="K186" s="19" t="s">
        <v>162</v>
      </c>
      <c r="L186" s="24">
        <v>0.05</v>
      </c>
      <c r="M186" s="24">
        <v>0.17</v>
      </c>
      <c r="N186" s="18"/>
      <c r="O186" s="22" t="s">
        <v>162</v>
      </c>
      <c r="P186" s="18">
        <f t="shared" si="45"/>
        <v>0</v>
      </c>
      <c r="Q186" s="22" t="s">
        <v>162</v>
      </c>
      <c r="R186" s="23">
        <f t="shared" si="46"/>
        <v>0</v>
      </c>
      <c r="S186" s="23">
        <f t="shared" si="42"/>
        <v>0</v>
      </c>
    </row>
    <row r="187" spans="1:19" s="17" customFormat="1">
      <c r="A187" s="16" t="s">
        <v>189</v>
      </c>
      <c r="B187" s="17" t="s">
        <v>26</v>
      </c>
      <c r="C187" s="18"/>
      <c r="D187" s="19" t="s">
        <v>162</v>
      </c>
      <c r="E187" s="20"/>
      <c r="F187" s="21">
        <v>6</v>
      </c>
      <c r="G187" s="22" t="s">
        <v>43</v>
      </c>
      <c r="H187" s="21">
        <v>12</v>
      </c>
      <c r="I187" s="22" t="s">
        <v>162</v>
      </c>
      <c r="J187" s="23">
        <v>36000</v>
      </c>
      <c r="K187" s="19" t="s">
        <v>162</v>
      </c>
      <c r="L187" s="24">
        <v>0.05</v>
      </c>
      <c r="M187" s="24">
        <v>0.17</v>
      </c>
      <c r="N187" s="18"/>
      <c r="O187" s="22" t="s">
        <v>162</v>
      </c>
      <c r="P187" s="18">
        <f t="shared" si="45"/>
        <v>0</v>
      </c>
      <c r="Q187" s="22" t="s">
        <v>162</v>
      </c>
      <c r="R187" s="23">
        <f t="shared" si="46"/>
        <v>0</v>
      </c>
      <c r="S187" s="23">
        <f t="shared" si="42"/>
        <v>0</v>
      </c>
    </row>
    <row r="188" spans="1:19">
      <c r="A188" s="15" t="s">
        <v>190</v>
      </c>
      <c r="S188" s="23"/>
    </row>
    <row r="189" spans="1:19" s="17" customFormat="1">
      <c r="A189" s="16" t="s">
        <v>191</v>
      </c>
      <c r="B189" s="17" t="s">
        <v>192</v>
      </c>
      <c r="C189" s="18"/>
      <c r="D189" s="19" t="s">
        <v>43</v>
      </c>
      <c r="E189" s="20"/>
      <c r="F189" s="21">
        <v>1</v>
      </c>
      <c r="G189" s="22" t="s">
        <v>21</v>
      </c>
      <c r="H189" s="21">
        <v>5</v>
      </c>
      <c r="I189" s="22" t="s">
        <v>43</v>
      </c>
      <c r="J189" s="23">
        <v>475000</v>
      </c>
      <c r="K189" s="19" t="s">
        <v>43</v>
      </c>
      <c r="L189" s="24"/>
      <c r="M189" s="24"/>
      <c r="N189" s="18"/>
      <c r="O189" s="22" t="s">
        <v>43</v>
      </c>
      <c r="P189" s="18">
        <f>(C189+(E189*F189*H189))-N189</f>
        <v>0</v>
      </c>
      <c r="Q189" s="22" t="s">
        <v>43</v>
      </c>
      <c r="R189" s="23">
        <f>P189*(J189-(J189*L189)-((J189-(J189*L189))*M189))</f>
        <v>0</v>
      </c>
      <c r="S189" s="23">
        <f t="shared" si="42"/>
        <v>0</v>
      </c>
    </row>
    <row r="190" spans="1:19" s="63" customFormat="1">
      <c r="A190" s="72" t="s">
        <v>796</v>
      </c>
      <c r="B190" s="63" t="s">
        <v>19</v>
      </c>
      <c r="C190" s="64"/>
      <c r="D190" s="65" t="s">
        <v>162</v>
      </c>
      <c r="E190" s="66">
        <v>1</v>
      </c>
      <c r="F190" s="67">
        <v>8</v>
      </c>
      <c r="G190" s="68" t="s">
        <v>34</v>
      </c>
      <c r="H190" s="67">
        <v>12</v>
      </c>
      <c r="I190" s="68" t="s">
        <v>162</v>
      </c>
      <c r="J190" s="69">
        <v>25700</v>
      </c>
      <c r="K190" s="65" t="s">
        <v>162</v>
      </c>
      <c r="L190" s="70">
        <v>0.125</v>
      </c>
      <c r="M190" s="70">
        <v>0.05</v>
      </c>
      <c r="N190" s="64">
        <v>96</v>
      </c>
      <c r="O190" s="68" t="s">
        <v>162</v>
      </c>
      <c r="P190" s="64">
        <f>(C190+(E190*F190*H190))-N190</f>
        <v>0</v>
      </c>
      <c r="Q190" s="68" t="s">
        <v>162</v>
      </c>
      <c r="R190" s="69">
        <f>P190*(J190-(J190*L190)-((J190-(J190*L190))*M190))</f>
        <v>0</v>
      </c>
      <c r="S190" s="23">
        <f t="shared" si="42"/>
        <v>0</v>
      </c>
    </row>
    <row r="191" spans="1:19" s="63" customFormat="1">
      <c r="A191" s="72" t="s">
        <v>194</v>
      </c>
      <c r="B191" s="63" t="s">
        <v>19</v>
      </c>
      <c r="C191" s="64"/>
      <c r="D191" s="65" t="s">
        <v>162</v>
      </c>
      <c r="E191" s="66"/>
      <c r="F191" s="67">
        <v>6</v>
      </c>
      <c r="G191" s="68" t="s">
        <v>34</v>
      </c>
      <c r="H191" s="67">
        <v>12</v>
      </c>
      <c r="I191" s="68" t="s">
        <v>162</v>
      </c>
      <c r="J191" s="69">
        <v>41500</v>
      </c>
      <c r="K191" s="65" t="s">
        <v>162</v>
      </c>
      <c r="L191" s="70">
        <v>0.125</v>
      </c>
      <c r="M191" s="70">
        <v>0.05</v>
      </c>
      <c r="N191" s="64"/>
      <c r="O191" s="68" t="s">
        <v>162</v>
      </c>
      <c r="P191" s="64">
        <f>(C191+(E191*F191*H191))-N191</f>
        <v>0</v>
      </c>
      <c r="Q191" s="68" t="s">
        <v>162</v>
      </c>
      <c r="R191" s="69">
        <f>P191*(J191-(J191*L191)-((J191-(J191*L191))*M191))</f>
        <v>0</v>
      </c>
      <c r="S191" s="23">
        <f t="shared" si="42"/>
        <v>0</v>
      </c>
    </row>
    <row r="192" spans="1:19">
      <c r="S192" s="23"/>
    </row>
    <row r="193" spans="1:19" ht="15.75">
      <c r="A193" s="14" t="s">
        <v>195</v>
      </c>
      <c r="S193" s="23"/>
    </row>
    <row r="194" spans="1:19">
      <c r="A194" s="15" t="s">
        <v>196</v>
      </c>
      <c r="S194" s="23"/>
    </row>
    <row r="195" spans="1:19" s="17" customFormat="1">
      <c r="A195" s="16" t="s">
        <v>769</v>
      </c>
      <c r="B195" s="17" t="s">
        <v>19</v>
      </c>
      <c r="C195" s="18"/>
      <c r="D195" s="19" t="s">
        <v>43</v>
      </c>
      <c r="E195" s="20"/>
      <c r="F195" s="21">
        <v>1</v>
      </c>
      <c r="G195" s="22" t="s">
        <v>21</v>
      </c>
      <c r="H195" s="21">
        <v>24</v>
      </c>
      <c r="I195" s="22" t="s">
        <v>43</v>
      </c>
      <c r="J195" s="23">
        <v>27600</v>
      </c>
      <c r="K195" s="19" t="s">
        <v>43</v>
      </c>
      <c r="L195" s="24">
        <v>0.125</v>
      </c>
      <c r="M195" s="24">
        <v>0.05</v>
      </c>
      <c r="N195" s="18"/>
      <c r="O195" s="22" t="s">
        <v>43</v>
      </c>
      <c r="P195" s="18">
        <f t="shared" ref="P195:P204" si="47">(C195+(E195*F195*H195))-N195</f>
        <v>0</v>
      </c>
      <c r="Q195" s="22" t="s">
        <v>43</v>
      </c>
      <c r="R195" s="23">
        <f t="shared" ref="R195:R204" si="48">P195*(J195-(J195*L195)-((J195-(J195*L195))*M195))</f>
        <v>0</v>
      </c>
      <c r="S195" s="23">
        <f t="shared" ref="S195" si="49">R195/1.11</f>
        <v>0</v>
      </c>
    </row>
    <row r="196" spans="1:19" s="17" customFormat="1">
      <c r="A196" s="16" t="s">
        <v>197</v>
      </c>
      <c r="B196" s="17" t="s">
        <v>19</v>
      </c>
      <c r="C196" s="18"/>
      <c r="D196" s="19" t="s">
        <v>43</v>
      </c>
      <c r="E196" s="20"/>
      <c r="F196" s="21">
        <v>1</v>
      </c>
      <c r="G196" s="22" t="s">
        <v>21</v>
      </c>
      <c r="H196" s="21">
        <v>24</v>
      </c>
      <c r="I196" s="22" t="s">
        <v>43</v>
      </c>
      <c r="J196" s="23">
        <v>73200</v>
      </c>
      <c r="K196" s="19" t="s">
        <v>43</v>
      </c>
      <c r="L196" s="24">
        <v>0.125</v>
      </c>
      <c r="M196" s="24">
        <v>0.05</v>
      </c>
      <c r="N196" s="18"/>
      <c r="O196" s="22" t="s">
        <v>43</v>
      </c>
      <c r="P196" s="18">
        <f t="shared" si="47"/>
        <v>0</v>
      </c>
      <c r="Q196" s="22" t="s">
        <v>43</v>
      </c>
      <c r="R196" s="23">
        <f t="shared" si="48"/>
        <v>0</v>
      </c>
      <c r="S196" s="23">
        <f t="shared" si="42"/>
        <v>0</v>
      </c>
    </row>
    <row r="197" spans="1:19" s="17" customFormat="1">
      <c r="A197" s="16" t="s">
        <v>198</v>
      </c>
      <c r="B197" s="17" t="s">
        <v>19</v>
      </c>
      <c r="C197" s="18"/>
      <c r="D197" s="19" t="s">
        <v>43</v>
      </c>
      <c r="E197" s="20"/>
      <c r="F197" s="21">
        <v>1</v>
      </c>
      <c r="G197" s="22" t="s">
        <v>21</v>
      </c>
      <c r="H197" s="21">
        <v>48</v>
      </c>
      <c r="I197" s="22" t="s">
        <v>43</v>
      </c>
      <c r="J197" s="23">
        <v>50400</v>
      </c>
      <c r="K197" s="19" t="s">
        <v>43</v>
      </c>
      <c r="L197" s="24">
        <v>0.125</v>
      </c>
      <c r="M197" s="24">
        <v>0.05</v>
      </c>
      <c r="N197" s="18"/>
      <c r="O197" s="22" t="s">
        <v>43</v>
      </c>
      <c r="P197" s="18">
        <f t="shared" si="47"/>
        <v>0</v>
      </c>
      <c r="Q197" s="22" t="s">
        <v>43</v>
      </c>
      <c r="R197" s="23">
        <f t="shared" si="48"/>
        <v>0</v>
      </c>
      <c r="S197" s="23">
        <f t="shared" si="42"/>
        <v>0</v>
      </c>
    </row>
    <row r="198" spans="1:19" s="26" customFormat="1">
      <c r="A198" s="25" t="s">
        <v>199</v>
      </c>
      <c r="B198" s="26" t="s">
        <v>19</v>
      </c>
      <c r="C198" s="27">
        <v>16</v>
      </c>
      <c r="D198" s="28" t="s">
        <v>43</v>
      </c>
      <c r="E198" s="29">
        <f>1+1</f>
        <v>2</v>
      </c>
      <c r="F198" s="30">
        <v>1</v>
      </c>
      <c r="G198" s="31" t="s">
        <v>21</v>
      </c>
      <c r="H198" s="30">
        <v>48</v>
      </c>
      <c r="I198" s="31" t="s">
        <v>43</v>
      </c>
      <c r="J198" s="32">
        <v>55800</v>
      </c>
      <c r="K198" s="28" t="s">
        <v>43</v>
      </c>
      <c r="L198" s="33">
        <v>0.125</v>
      </c>
      <c r="M198" s="33">
        <v>0.05</v>
      </c>
      <c r="N198" s="27">
        <f>12+48+36</f>
        <v>96</v>
      </c>
      <c r="O198" s="31" t="s">
        <v>43</v>
      </c>
      <c r="P198" s="27">
        <f t="shared" si="47"/>
        <v>16</v>
      </c>
      <c r="Q198" s="31" t="s">
        <v>43</v>
      </c>
      <c r="R198" s="32">
        <f t="shared" si="48"/>
        <v>742140</v>
      </c>
      <c r="S198" s="32">
        <f t="shared" si="42"/>
        <v>668594.59459459456</v>
      </c>
    </row>
    <row r="199" spans="1:19" s="63" customFormat="1">
      <c r="A199" s="72" t="s">
        <v>795</v>
      </c>
      <c r="B199" s="63" t="s">
        <v>19</v>
      </c>
      <c r="C199" s="64"/>
      <c r="D199" s="65" t="s">
        <v>43</v>
      </c>
      <c r="E199" s="66">
        <v>1</v>
      </c>
      <c r="F199" s="67">
        <v>1</v>
      </c>
      <c r="G199" s="68" t="s">
        <v>21</v>
      </c>
      <c r="H199" s="67">
        <f>288/12</f>
        <v>24</v>
      </c>
      <c r="I199" s="68" t="s">
        <v>43</v>
      </c>
      <c r="J199" s="69">
        <f>10600*12</f>
        <v>127200</v>
      </c>
      <c r="K199" s="65" t="s">
        <v>43</v>
      </c>
      <c r="L199" s="70">
        <v>0.125</v>
      </c>
      <c r="M199" s="70">
        <v>0.05</v>
      </c>
      <c r="N199" s="64">
        <v>24</v>
      </c>
      <c r="O199" s="68" t="s">
        <v>43</v>
      </c>
      <c r="P199" s="64">
        <f t="shared" ref="P199" si="50">(C199+(E199*F199*H199))-N199</f>
        <v>0</v>
      </c>
      <c r="Q199" s="68" t="s">
        <v>43</v>
      </c>
      <c r="R199" s="69">
        <f t="shared" ref="R199" si="51">P199*(J199-(J199*L199)-((J199-(J199*L199))*M199))</f>
        <v>0</v>
      </c>
      <c r="S199" s="69">
        <f t="shared" ref="S199" si="52">R199/1.11</f>
        <v>0</v>
      </c>
    </row>
    <row r="200" spans="1:19" s="63" customFormat="1">
      <c r="A200" s="72" t="s">
        <v>200</v>
      </c>
      <c r="B200" s="63" t="s">
        <v>19</v>
      </c>
      <c r="C200" s="64"/>
      <c r="D200" s="65" t="s">
        <v>43</v>
      </c>
      <c r="E200" s="66">
        <f>1+1</f>
        <v>2</v>
      </c>
      <c r="F200" s="67">
        <v>1</v>
      </c>
      <c r="G200" s="68" t="s">
        <v>21</v>
      </c>
      <c r="H200" s="67">
        <v>24</v>
      </c>
      <c r="I200" s="68" t="s">
        <v>43</v>
      </c>
      <c r="J200" s="69">
        <v>162000</v>
      </c>
      <c r="K200" s="65" t="s">
        <v>43</v>
      </c>
      <c r="L200" s="70">
        <v>0.125</v>
      </c>
      <c r="M200" s="70">
        <v>0.05</v>
      </c>
      <c r="N200" s="64">
        <f>24+24</f>
        <v>48</v>
      </c>
      <c r="O200" s="68" t="s">
        <v>43</v>
      </c>
      <c r="P200" s="64">
        <f t="shared" si="47"/>
        <v>0</v>
      </c>
      <c r="Q200" s="68" t="s">
        <v>43</v>
      </c>
      <c r="R200" s="69">
        <f t="shared" si="48"/>
        <v>0</v>
      </c>
      <c r="S200" s="69">
        <f t="shared" si="42"/>
        <v>0</v>
      </c>
    </row>
    <row r="201" spans="1:19" s="63" customFormat="1">
      <c r="A201" s="72" t="s">
        <v>201</v>
      </c>
      <c r="B201" s="63" t="s">
        <v>26</v>
      </c>
      <c r="C201" s="64"/>
      <c r="D201" s="65" t="s">
        <v>43</v>
      </c>
      <c r="E201" s="66"/>
      <c r="F201" s="67">
        <v>1</v>
      </c>
      <c r="G201" s="68" t="s">
        <v>21</v>
      </c>
      <c r="H201" s="67">
        <v>30</v>
      </c>
      <c r="I201" s="68" t="s">
        <v>43</v>
      </c>
      <c r="J201" s="69">
        <f>1566000/30</f>
        <v>52200</v>
      </c>
      <c r="K201" s="65" t="s">
        <v>43</v>
      </c>
      <c r="L201" s="70"/>
      <c r="M201" s="70">
        <v>0.17</v>
      </c>
      <c r="N201" s="64"/>
      <c r="O201" s="68" t="s">
        <v>43</v>
      </c>
      <c r="P201" s="64">
        <f t="shared" si="47"/>
        <v>0</v>
      </c>
      <c r="Q201" s="68" t="s">
        <v>43</v>
      </c>
      <c r="R201" s="69">
        <f t="shared" si="48"/>
        <v>0</v>
      </c>
      <c r="S201" s="23">
        <f t="shared" si="42"/>
        <v>0</v>
      </c>
    </row>
    <row r="202" spans="1:19" s="26" customFormat="1">
      <c r="A202" s="25" t="s">
        <v>202</v>
      </c>
      <c r="B202" s="26" t="s">
        <v>26</v>
      </c>
      <c r="C202" s="27">
        <v>34</v>
      </c>
      <c r="D202" s="28" t="s">
        <v>43</v>
      </c>
      <c r="E202" s="29">
        <f>3+4+1</f>
        <v>8</v>
      </c>
      <c r="F202" s="30">
        <v>1</v>
      </c>
      <c r="G202" s="31" t="s">
        <v>21</v>
      </c>
      <c r="H202" s="30">
        <v>30</v>
      </c>
      <c r="I202" s="31" t="s">
        <v>43</v>
      </c>
      <c r="J202" s="32">
        <f>1710000/30</f>
        <v>57000</v>
      </c>
      <c r="K202" s="28" t="s">
        <v>43</v>
      </c>
      <c r="L202" s="33"/>
      <c r="M202" s="33">
        <v>0.17</v>
      </c>
      <c r="N202" s="27">
        <f>10+2+20+30+30+30+30+30+30+30+10</f>
        <v>252</v>
      </c>
      <c r="O202" s="31" t="s">
        <v>43</v>
      </c>
      <c r="P202" s="27">
        <f t="shared" si="47"/>
        <v>22</v>
      </c>
      <c r="Q202" s="31" t="s">
        <v>43</v>
      </c>
      <c r="R202" s="32">
        <f t="shared" si="48"/>
        <v>1040820</v>
      </c>
      <c r="S202" s="32">
        <f t="shared" si="42"/>
        <v>937675.67567567562</v>
      </c>
    </row>
    <row r="203" spans="1:19" s="45" customFormat="1">
      <c r="A203" s="44" t="s">
        <v>203</v>
      </c>
      <c r="B203" s="45" t="s">
        <v>26</v>
      </c>
      <c r="C203" s="46">
        <v>62</v>
      </c>
      <c r="D203" s="47" t="s">
        <v>43</v>
      </c>
      <c r="E203" s="48">
        <f>3+2+1+3+4</f>
        <v>13</v>
      </c>
      <c r="F203" s="49">
        <v>1</v>
      </c>
      <c r="G203" s="50" t="s">
        <v>21</v>
      </c>
      <c r="H203" s="49">
        <v>20</v>
      </c>
      <c r="I203" s="50" t="s">
        <v>43</v>
      </c>
      <c r="J203" s="51">
        <f>2952000/20</f>
        <v>147600</v>
      </c>
      <c r="K203" s="47" t="s">
        <v>43</v>
      </c>
      <c r="L203" s="52"/>
      <c r="M203" s="52">
        <v>0.17</v>
      </c>
      <c r="N203" s="46">
        <f>40+10+20+20+6+3+2+5+20+20+5+20+40+20+12+16</f>
        <v>259</v>
      </c>
      <c r="O203" s="50" t="s">
        <v>43</v>
      </c>
      <c r="P203" s="46">
        <f t="shared" si="47"/>
        <v>63</v>
      </c>
      <c r="Q203" s="50" t="s">
        <v>43</v>
      </c>
      <c r="R203" s="51">
        <f t="shared" si="48"/>
        <v>7718004</v>
      </c>
      <c r="S203" s="51">
        <f t="shared" si="42"/>
        <v>6953156.7567567565</v>
      </c>
    </row>
    <row r="204" spans="1:19" s="26" customFormat="1">
      <c r="A204" s="25" t="s">
        <v>737</v>
      </c>
      <c r="B204" s="26" t="s">
        <v>659</v>
      </c>
      <c r="C204" s="27">
        <v>41</v>
      </c>
      <c r="D204" s="28" t="s">
        <v>43</v>
      </c>
      <c r="E204" s="29"/>
      <c r="F204" s="30">
        <v>1</v>
      </c>
      <c r="G204" s="31" t="s">
        <v>21</v>
      </c>
      <c r="H204" s="30">
        <v>48</v>
      </c>
      <c r="I204" s="31" t="s">
        <v>43</v>
      </c>
      <c r="J204" s="32">
        <v>60600</v>
      </c>
      <c r="K204" s="28" t="s">
        <v>43</v>
      </c>
      <c r="L204" s="33">
        <v>0.15</v>
      </c>
      <c r="M204" s="33">
        <v>0.03</v>
      </c>
      <c r="N204" s="27">
        <f>2+6+2</f>
        <v>10</v>
      </c>
      <c r="O204" s="31" t="s">
        <v>43</v>
      </c>
      <c r="P204" s="27">
        <f t="shared" si="47"/>
        <v>31</v>
      </c>
      <c r="Q204" s="31" t="s">
        <v>43</v>
      </c>
      <c r="R204" s="32">
        <f t="shared" si="48"/>
        <v>1548905.7</v>
      </c>
      <c r="S204" s="32">
        <f t="shared" si="42"/>
        <v>1395410.5405405404</v>
      </c>
    </row>
    <row r="205" spans="1:19">
      <c r="A205" s="15" t="s">
        <v>204</v>
      </c>
      <c r="S205" s="23"/>
    </row>
    <row r="206" spans="1:19" s="45" customFormat="1">
      <c r="A206" s="44" t="s">
        <v>205</v>
      </c>
      <c r="B206" s="45" t="s">
        <v>19</v>
      </c>
      <c r="C206" s="46">
        <v>120</v>
      </c>
      <c r="D206" s="47" t="s">
        <v>43</v>
      </c>
      <c r="E206" s="48"/>
      <c r="F206" s="49">
        <v>1</v>
      </c>
      <c r="G206" s="50" t="s">
        <v>21</v>
      </c>
      <c r="H206" s="49">
        <v>120</v>
      </c>
      <c r="I206" s="50" t="s">
        <v>43</v>
      </c>
      <c r="J206" s="51">
        <v>24600</v>
      </c>
      <c r="K206" s="47" t="s">
        <v>43</v>
      </c>
      <c r="L206" s="52">
        <v>0.125</v>
      </c>
      <c r="M206" s="52">
        <v>0.05</v>
      </c>
      <c r="N206" s="46"/>
      <c r="O206" s="50" t="s">
        <v>43</v>
      </c>
      <c r="P206" s="46">
        <f t="shared" ref="P206:P210" si="53">(C206+(E206*F206*H206))-N206</f>
        <v>120</v>
      </c>
      <c r="Q206" s="50" t="s">
        <v>43</v>
      </c>
      <c r="R206" s="51">
        <f t="shared" ref="R206:R210" si="54">P206*(J206-(J206*L206)-((J206-(J206*L206))*M206))</f>
        <v>2453850</v>
      </c>
      <c r="S206" s="32">
        <f t="shared" si="42"/>
        <v>2210675.6756756753</v>
      </c>
    </row>
    <row r="207" spans="1:19" s="45" customFormat="1">
      <c r="A207" s="35" t="s">
        <v>206</v>
      </c>
      <c r="B207" s="36" t="s">
        <v>19</v>
      </c>
      <c r="C207" s="37">
        <v>80</v>
      </c>
      <c r="D207" s="38" t="s">
        <v>43</v>
      </c>
      <c r="E207" s="39">
        <f>1+1+2</f>
        <v>4</v>
      </c>
      <c r="F207" s="40">
        <v>1</v>
      </c>
      <c r="G207" s="41" t="s">
        <v>21</v>
      </c>
      <c r="H207" s="40">
        <v>40</v>
      </c>
      <c r="I207" s="41" t="s">
        <v>43</v>
      </c>
      <c r="J207" s="42">
        <v>49200</v>
      </c>
      <c r="K207" s="38" t="s">
        <v>43</v>
      </c>
      <c r="L207" s="43">
        <v>0.125</v>
      </c>
      <c r="M207" s="43">
        <v>0.05</v>
      </c>
      <c r="N207" s="37">
        <f>40+40+80</f>
        <v>160</v>
      </c>
      <c r="O207" s="41" t="s">
        <v>43</v>
      </c>
      <c r="P207" s="37">
        <f t="shared" si="53"/>
        <v>80</v>
      </c>
      <c r="Q207" s="41" t="s">
        <v>43</v>
      </c>
      <c r="R207" s="42">
        <f t="shared" si="54"/>
        <v>3271800</v>
      </c>
      <c r="S207" s="42">
        <f t="shared" si="42"/>
        <v>2947567.5675675673</v>
      </c>
    </row>
    <row r="208" spans="1:19" s="45" customFormat="1">
      <c r="A208" s="35" t="s">
        <v>773</v>
      </c>
      <c r="B208" s="36" t="s">
        <v>19</v>
      </c>
      <c r="C208" s="37">
        <f>7+24+24</f>
        <v>55</v>
      </c>
      <c r="D208" s="38" t="s">
        <v>43</v>
      </c>
      <c r="E208" s="39"/>
      <c r="F208" s="40">
        <v>1</v>
      </c>
      <c r="G208" s="41" t="s">
        <v>21</v>
      </c>
      <c r="H208" s="40">
        <v>40</v>
      </c>
      <c r="I208" s="41" t="s">
        <v>43</v>
      </c>
      <c r="J208" s="42">
        <v>0</v>
      </c>
      <c r="K208" s="38" t="s">
        <v>43</v>
      </c>
      <c r="L208" s="43">
        <v>0</v>
      </c>
      <c r="M208" s="43">
        <v>0</v>
      </c>
      <c r="N208" s="37">
        <f>24+24</f>
        <v>48</v>
      </c>
      <c r="O208" s="41" t="s">
        <v>43</v>
      </c>
      <c r="P208" s="37">
        <f t="shared" si="53"/>
        <v>7</v>
      </c>
      <c r="Q208" s="41" t="s">
        <v>43</v>
      </c>
      <c r="R208" s="42">
        <f t="shared" si="54"/>
        <v>0</v>
      </c>
      <c r="S208" s="42">
        <f t="shared" si="42"/>
        <v>0</v>
      </c>
    </row>
    <row r="209" spans="1:19" s="45" customFormat="1">
      <c r="A209" s="44" t="s">
        <v>208</v>
      </c>
      <c r="B209" s="45" t="s">
        <v>26</v>
      </c>
      <c r="C209" s="46">
        <v>1630</v>
      </c>
      <c r="D209" s="47" t="s">
        <v>43</v>
      </c>
      <c r="E209" s="48"/>
      <c r="F209" s="49">
        <v>1</v>
      </c>
      <c r="G209" s="50" t="s">
        <v>21</v>
      </c>
      <c r="H209" s="49">
        <v>120</v>
      </c>
      <c r="I209" s="50" t="s">
        <v>43</v>
      </c>
      <c r="J209" s="51">
        <f>3744000/120</f>
        <v>31200</v>
      </c>
      <c r="K209" s="47" t="s">
        <v>43</v>
      </c>
      <c r="L209" s="52"/>
      <c r="M209" s="52">
        <v>0.17</v>
      </c>
      <c r="N209" s="46">
        <f>25+10+60+120+30+25+120+120</f>
        <v>510</v>
      </c>
      <c r="O209" s="50" t="s">
        <v>43</v>
      </c>
      <c r="P209" s="46">
        <f t="shared" si="53"/>
        <v>1120</v>
      </c>
      <c r="Q209" s="50" t="s">
        <v>43</v>
      </c>
      <c r="R209" s="51">
        <f t="shared" si="54"/>
        <v>29003520</v>
      </c>
      <c r="S209" s="51">
        <f t="shared" si="42"/>
        <v>26129297.297297295</v>
      </c>
    </row>
    <row r="210" spans="1:19" s="45" customFormat="1">
      <c r="A210" s="44" t="s">
        <v>209</v>
      </c>
      <c r="B210" s="45" t="s">
        <v>26</v>
      </c>
      <c r="C210" s="46"/>
      <c r="D210" s="47" t="s">
        <v>43</v>
      </c>
      <c r="E210" s="48">
        <f>10+10+5</f>
        <v>25</v>
      </c>
      <c r="F210" s="49">
        <v>1</v>
      </c>
      <c r="G210" s="50" t="s">
        <v>21</v>
      </c>
      <c r="H210" s="49">
        <v>60</v>
      </c>
      <c r="I210" s="50" t="s">
        <v>43</v>
      </c>
      <c r="J210" s="51">
        <f>3888000/60</f>
        <v>64800</v>
      </c>
      <c r="K210" s="47" t="s">
        <v>43</v>
      </c>
      <c r="L210" s="52"/>
      <c r="M210" s="52">
        <v>0.17</v>
      </c>
      <c r="N210" s="46">
        <f>60+60+60+60+180+60+15+60+60+120+120+60+60+60+60+10+120</f>
        <v>1225</v>
      </c>
      <c r="O210" s="50" t="s">
        <v>43</v>
      </c>
      <c r="P210" s="46">
        <f t="shared" si="53"/>
        <v>275</v>
      </c>
      <c r="Q210" s="50" t="s">
        <v>43</v>
      </c>
      <c r="R210" s="51">
        <f t="shared" si="54"/>
        <v>14790600</v>
      </c>
      <c r="S210" s="51">
        <f t="shared" si="42"/>
        <v>13324864.864864863</v>
      </c>
    </row>
    <row r="211" spans="1:19">
      <c r="A211" s="15" t="s">
        <v>210</v>
      </c>
      <c r="S211" s="23"/>
    </row>
    <row r="212" spans="1:19" s="17" customFormat="1">
      <c r="A212" s="16" t="s">
        <v>211</v>
      </c>
      <c r="B212" s="17" t="s">
        <v>19</v>
      </c>
      <c r="C212" s="18"/>
      <c r="D212" s="19" t="s">
        <v>20</v>
      </c>
      <c r="E212" s="20">
        <v>1</v>
      </c>
      <c r="F212" s="21">
        <v>1</v>
      </c>
      <c r="G212" s="22" t="s">
        <v>21</v>
      </c>
      <c r="H212" s="21">
        <v>5</v>
      </c>
      <c r="I212" s="22" t="s">
        <v>20</v>
      </c>
      <c r="J212" s="23">
        <v>214000</v>
      </c>
      <c r="K212" s="19" t="s">
        <v>20</v>
      </c>
      <c r="L212" s="24">
        <v>0.125</v>
      </c>
      <c r="M212" s="24">
        <v>0.05</v>
      </c>
      <c r="N212" s="18">
        <v>5</v>
      </c>
      <c r="O212" s="22" t="s">
        <v>20</v>
      </c>
      <c r="P212" s="18">
        <f>(C212+(E212*F212*H212))-N212</f>
        <v>0</v>
      </c>
      <c r="Q212" s="22" t="s">
        <v>20</v>
      </c>
      <c r="R212" s="23">
        <f>P212*(J212-(J212*L212)-((J212-(J212*L212))*M212))</f>
        <v>0</v>
      </c>
      <c r="S212" s="23">
        <f t="shared" si="42"/>
        <v>0</v>
      </c>
    </row>
    <row r="213" spans="1:19" s="26" customFormat="1">
      <c r="A213" s="25" t="s">
        <v>212</v>
      </c>
      <c r="B213" s="26" t="s">
        <v>19</v>
      </c>
      <c r="C213" s="27">
        <v>5</v>
      </c>
      <c r="D213" s="28" t="s">
        <v>20</v>
      </c>
      <c r="E213" s="29"/>
      <c r="F213" s="30">
        <v>1</v>
      </c>
      <c r="G213" s="31" t="s">
        <v>21</v>
      </c>
      <c r="H213" s="30">
        <v>5</v>
      </c>
      <c r="I213" s="31" t="s">
        <v>20</v>
      </c>
      <c r="J213" s="32">
        <v>219000</v>
      </c>
      <c r="K213" s="28" t="s">
        <v>20</v>
      </c>
      <c r="L213" s="33">
        <v>0.125</v>
      </c>
      <c r="M213" s="33">
        <v>0.05</v>
      </c>
      <c r="N213" s="27"/>
      <c r="O213" s="31" t="s">
        <v>20</v>
      </c>
      <c r="P213" s="27">
        <f>(C213+(E213*F213*H213))-N213</f>
        <v>5</v>
      </c>
      <c r="Q213" s="31" t="s">
        <v>20</v>
      </c>
      <c r="R213" s="32">
        <f>P213*(J213-(J213*L213)-((J213-(J213*L213))*M213))</f>
        <v>910218.75</v>
      </c>
      <c r="S213" s="32">
        <f t="shared" si="42"/>
        <v>820016.89189189184</v>
      </c>
    </row>
    <row r="214" spans="1:19" s="17" customFormat="1">
      <c r="A214" s="16" t="s">
        <v>213</v>
      </c>
      <c r="B214" s="17" t="s">
        <v>19</v>
      </c>
      <c r="C214" s="18"/>
      <c r="D214" s="19" t="s">
        <v>20</v>
      </c>
      <c r="E214" s="20"/>
      <c r="F214" s="21">
        <v>1</v>
      </c>
      <c r="G214" s="22" t="s">
        <v>21</v>
      </c>
      <c r="H214" s="21">
        <v>4</v>
      </c>
      <c r="I214" s="22" t="s">
        <v>20</v>
      </c>
      <c r="J214" s="23">
        <v>283000</v>
      </c>
      <c r="K214" s="19" t="s">
        <v>20</v>
      </c>
      <c r="L214" s="24">
        <v>0.125</v>
      </c>
      <c r="M214" s="24">
        <v>0.05</v>
      </c>
      <c r="N214" s="18"/>
      <c r="O214" s="22" t="s">
        <v>20</v>
      </c>
      <c r="P214" s="18">
        <f>(C214+(E214*F214*H214))-N214</f>
        <v>0</v>
      </c>
      <c r="Q214" s="22" t="s">
        <v>20</v>
      </c>
      <c r="R214" s="23">
        <f>P214*(J214-(J214*L214)-((J214-(J214*L214))*M214))</f>
        <v>0</v>
      </c>
      <c r="S214" s="23">
        <f t="shared" si="42"/>
        <v>0</v>
      </c>
    </row>
    <row r="215" spans="1:19" s="17" customFormat="1">
      <c r="A215" s="16" t="s">
        <v>214</v>
      </c>
      <c r="B215" s="17" t="s">
        <v>26</v>
      </c>
      <c r="C215" s="18"/>
      <c r="D215" s="19" t="s">
        <v>20</v>
      </c>
      <c r="E215" s="20"/>
      <c r="F215" s="21">
        <v>1</v>
      </c>
      <c r="G215" s="22" t="s">
        <v>21</v>
      </c>
      <c r="H215" s="21">
        <v>5</v>
      </c>
      <c r="I215" s="22" t="s">
        <v>20</v>
      </c>
      <c r="J215" s="23">
        <f>1075000/5</f>
        <v>215000</v>
      </c>
      <c r="K215" s="19" t="s">
        <v>20</v>
      </c>
      <c r="L215" s="24"/>
      <c r="M215" s="24">
        <v>0.17</v>
      </c>
      <c r="N215" s="18"/>
      <c r="O215" s="22" t="s">
        <v>20</v>
      </c>
      <c r="P215" s="18">
        <f>(C215+(E215*F215*H215))-N215</f>
        <v>0</v>
      </c>
      <c r="Q215" s="22" t="s">
        <v>20</v>
      </c>
      <c r="R215" s="23">
        <f>P215*(J215-(J215*L215)-((J215-(J215*L215))*M215))</f>
        <v>0</v>
      </c>
      <c r="S215" s="23">
        <f t="shared" si="42"/>
        <v>0</v>
      </c>
    </row>
    <row r="216" spans="1:19" s="17" customFormat="1">
      <c r="A216" s="16" t="s">
        <v>215</v>
      </c>
      <c r="B216" s="17" t="s">
        <v>26</v>
      </c>
      <c r="C216" s="18"/>
      <c r="D216" s="19" t="s">
        <v>20</v>
      </c>
      <c r="E216" s="20"/>
      <c r="F216" s="21">
        <v>1</v>
      </c>
      <c r="G216" s="22" t="s">
        <v>21</v>
      </c>
      <c r="H216" s="21">
        <v>5</v>
      </c>
      <c r="I216" s="22" t="s">
        <v>20</v>
      </c>
      <c r="J216" s="23">
        <f>1125000/5</f>
        <v>225000</v>
      </c>
      <c r="K216" s="19" t="s">
        <v>20</v>
      </c>
      <c r="L216" s="24"/>
      <c r="M216" s="24">
        <v>0.17</v>
      </c>
      <c r="N216" s="18"/>
      <c r="O216" s="22" t="s">
        <v>20</v>
      </c>
      <c r="P216" s="18">
        <f t="shared" ref="P216:P217" si="55">(C216+(E216*F216*H216))-N216</f>
        <v>0</v>
      </c>
      <c r="Q216" s="22" t="s">
        <v>20</v>
      </c>
      <c r="R216" s="23">
        <f t="shared" ref="R216:R217" si="56">P216*(J216-(J216*L216)-((J216-(J216*L216))*M216))</f>
        <v>0</v>
      </c>
      <c r="S216" s="23">
        <f t="shared" si="42"/>
        <v>0</v>
      </c>
    </row>
    <row r="217" spans="1:19" s="17" customFormat="1">
      <c r="A217" s="16" t="s">
        <v>216</v>
      </c>
      <c r="B217" s="17" t="s">
        <v>26</v>
      </c>
      <c r="C217" s="18"/>
      <c r="D217" s="19" t="s">
        <v>20</v>
      </c>
      <c r="E217" s="20"/>
      <c r="F217" s="21">
        <v>1</v>
      </c>
      <c r="G217" s="22" t="s">
        <v>21</v>
      </c>
      <c r="H217" s="21">
        <v>4</v>
      </c>
      <c r="I217" s="22" t="s">
        <v>20</v>
      </c>
      <c r="J217" s="23">
        <f>1100000/4</f>
        <v>275000</v>
      </c>
      <c r="K217" s="19" t="s">
        <v>20</v>
      </c>
      <c r="L217" s="24"/>
      <c r="M217" s="24">
        <v>0.17</v>
      </c>
      <c r="N217" s="18"/>
      <c r="O217" s="22" t="s">
        <v>20</v>
      </c>
      <c r="P217" s="18">
        <f t="shared" si="55"/>
        <v>0</v>
      </c>
      <c r="Q217" s="22" t="s">
        <v>20</v>
      </c>
      <c r="R217" s="23">
        <f t="shared" si="56"/>
        <v>0</v>
      </c>
      <c r="S217" s="23">
        <f t="shared" ref="S217:S286" si="57">R217/1.11</f>
        <v>0</v>
      </c>
    </row>
    <row r="218" spans="1:19">
      <c r="S218" s="23"/>
    </row>
    <row r="219" spans="1:19" ht="15.75">
      <c r="A219" s="14" t="s">
        <v>217</v>
      </c>
      <c r="S219" s="23"/>
    </row>
    <row r="220" spans="1:19" s="26" customFormat="1">
      <c r="A220" s="25" t="s">
        <v>218</v>
      </c>
      <c r="B220" s="26" t="s">
        <v>19</v>
      </c>
      <c r="C220" s="27"/>
      <c r="D220" s="28" t="s">
        <v>20</v>
      </c>
      <c r="E220" s="29">
        <v>1</v>
      </c>
      <c r="F220" s="30">
        <v>1</v>
      </c>
      <c r="G220" s="31" t="s">
        <v>21</v>
      </c>
      <c r="H220" s="30">
        <v>90</v>
      </c>
      <c r="I220" s="31" t="s">
        <v>20</v>
      </c>
      <c r="J220" s="32">
        <v>24000</v>
      </c>
      <c r="K220" s="28" t="s">
        <v>20</v>
      </c>
      <c r="L220" s="33">
        <v>0.125</v>
      </c>
      <c r="M220" s="33">
        <v>0.05</v>
      </c>
      <c r="N220" s="27"/>
      <c r="O220" s="31" t="s">
        <v>20</v>
      </c>
      <c r="P220" s="27">
        <f>(C220+(E220*F220*H220))-N220</f>
        <v>90</v>
      </c>
      <c r="Q220" s="31" t="s">
        <v>20</v>
      </c>
      <c r="R220" s="32">
        <f>P220*(J220-(J220*L220)-((J220-(J220*L220))*M220))</f>
        <v>1795500</v>
      </c>
      <c r="S220" s="32">
        <f t="shared" si="57"/>
        <v>1617567.5675675673</v>
      </c>
    </row>
    <row r="221" spans="1:19" s="17" customFormat="1">
      <c r="A221" s="16" t="s">
        <v>219</v>
      </c>
      <c r="B221" s="17" t="s">
        <v>19</v>
      </c>
      <c r="C221" s="18"/>
      <c r="D221" s="19" t="s">
        <v>20</v>
      </c>
      <c r="E221" s="20"/>
      <c r="F221" s="21">
        <v>1</v>
      </c>
      <c r="G221" s="22" t="s">
        <v>21</v>
      </c>
      <c r="H221" s="21">
        <v>48</v>
      </c>
      <c r="I221" s="22" t="s">
        <v>20</v>
      </c>
      <c r="J221" s="23">
        <v>24900</v>
      </c>
      <c r="K221" s="19" t="s">
        <v>20</v>
      </c>
      <c r="L221" s="24">
        <v>0.125</v>
      </c>
      <c r="M221" s="24">
        <v>0.05</v>
      </c>
      <c r="N221" s="18"/>
      <c r="O221" s="22" t="s">
        <v>20</v>
      </c>
      <c r="P221" s="18">
        <f>(C221+(E221*F221*H221))-N221</f>
        <v>0</v>
      </c>
      <c r="Q221" s="22" t="s">
        <v>20</v>
      </c>
      <c r="R221" s="23">
        <f>P221*(J221-(J221*L221)-((J221-(J221*L221))*M221))</f>
        <v>0</v>
      </c>
      <c r="S221" s="23">
        <f t="shared" si="57"/>
        <v>0</v>
      </c>
    </row>
    <row r="222" spans="1:19" s="17" customFormat="1">
      <c r="A222" s="16" t="s">
        <v>220</v>
      </c>
      <c r="B222" s="17" t="s">
        <v>26</v>
      </c>
      <c r="C222" s="18"/>
      <c r="D222" s="19" t="s">
        <v>20</v>
      </c>
      <c r="E222" s="20"/>
      <c r="F222" s="21">
        <v>1</v>
      </c>
      <c r="G222" s="22" t="s">
        <v>21</v>
      </c>
      <c r="H222" s="21">
        <v>24</v>
      </c>
      <c r="I222" s="22" t="s">
        <v>20</v>
      </c>
      <c r="J222" s="23">
        <f>720000/24</f>
        <v>30000</v>
      </c>
      <c r="K222" s="19" t="s">
        <v>20</v>
      </c>
      <c r="L222" s="24"/>
      <c r="M222" s="24">
        <v>0.17</v>
      </c>
      <c r="N222" s="18"/>
      <c r="O222" s="22" t="s">
        <v>20</v>
      </c>
      <c r="P222" s="18">
        <f>(C222+(E222*F222*H222))-N222</f>
        <v>0</v>
      </c>
      <c r="Q222" s="22" t="s">
        <v>20</v>
      </c>
      <c r="R222" s="23">
        <f>P222*(J222-(J222*L222)-((J222-(J222*L222))*M222))</f>
        <v>0</v>
      </c>
      <c r="S222" s="23">
        <f t="shared" si="57"/>
        <v>0</v>
      </c>
    </row>
    <row r="223" spans="1:19">
      <c r="A223" s="159" t="s">
        <v>221</v>
      </c>
      <c r="B223" s="160" t="s">
        <v>26</v>
      </c>
      <c r="C223" s="161">
        <v>24</v>
      </c>
      <c r="D223" s="162" t="s">
        <v>20</v>
      </c>
      <c r="E223" s="163"/>
      <c r="F223" s="164">
        <v>1</v>
      </c>
      <c r="G223" s="165" t="s">
        <v>21</v>
      </c>
      <c r="H223" s="164">
        <v>48</v>
      </c>
      <c r="I223" s="165" t="s">
        <v>20</v>
      </c>
      <c r="J223" s="166">
        <f>1104000/48</f>
        <v>23000</v>
      </c>
      <c r="K223" s="162" t="s">
        <v>20</v>
      </c>
      <c r="L223" s="167"/>
      <c r="M223" s="167">
        <v>0.17</v>
      </c>
      <c r="N223" s="161"/>
      <c r="O223" s="165" t="s">
        <v>20</v>
      </c>
      <c r="P223" s="161">
        <f>(C223+(E223*F223*H223))-N223</f>
        <v>24</v>
      </c>
      <c r="Q223" s="165" t="s">
        <v>20</v>
      </c>
      <c r="R223" s="166">
        <f>P223*(J223-(J223*L223)-((J223-(J223*L223))*M223))</f>
        <v>458160</v>
      </c>
      <c r="S223" s="42">
        <f t="shared" si="57"/>
        <v>412756.75675675675</v>
      </c>
    </row>
    <row r="224" spans="1:19">
      <c r="A224" s="159" t="s">
        <v>221</v>
      </c>
      <c r="B224" s="160" t="s">
        <v>26</v>
      </c>
      <c r="C224" s="161"/>
      <c r="D224" s="162" t="s">
        <v>20</v>
      </c>
      <c r="E224" s="163">
        <v>5</v>
      </c>
      <c r="F224" s="164">
        <v>1</v>
      </c>
      <c r="G224" s="165" t="s">
        <v>21</v>
      </c>
      <c r="H224" s="164">
        <v>48</v>
      </c>
      <c r="I224" s="165" t="s">
        <v>20</v>
      </c>
      <c r="J224" s="166">
        <f>1152000/48</f>
        <v>24000</v>
      </c>
      <c r="K224" s="162" t="s">
        <v>20</v>
      </c>
      <c r="L224" s="167"/>
      <c r="M224" s="167">
        <v>0.17</v>
      </c>
      <c r="N224" s="161"/>
      <c r="O224" s="165" t="s">
        <v>20</v>
      </c>
      <c r="P224" s="161">
        <f>(C224+(E224*F224*H224))-N224</f>
        <v>240</v>
      </c>
      <c r="Q224" s="165" t="s">
        <v>20</v>
      </c>
      <c r="R224" s="166">
        <f>P224*(J224-(J224*L224)-((J224-(J224*L224))*M224))</f>
        <v>4780800</v>
      </c>
      <c r="S224" s="42">
        <f t="shared" ref="S224" si="58">R224/1.11</f>
        <v>4307027.0270270268</v>
      </c>
    </row>
    <row r="225" spans="1:19">
      <c r="S225" s="23"/>
    </row>
    <row r="226" spans="1:19" ht="15.75">
      <c r="A226" s="14" t="s">
        <v>222</v>
      </c>
      <c r="S226" s="23"/>
    </row>
    <row r="227" spans="1:19">
      <c r="A227" s="15" t="s">
        <v>223</v>
      </c>
      <c r="S227" s="23"/>
    </row>
    <row r="228" spans="1:19" s="17" customFormat="1">
      <c r="A228" s="16" t="s">
        <v>224</v>
      </c>
      <c r="B228" s="17" t="s">
        <v>19</v>
      </c>
      <c r="C228" s="18"/>
      <c r="D228" s="19" t="s">
        <v>20</v>
      </c>
      <c r="E228" s="20"/>
      <c r="F228" s="21">
        <v>1</v>
      </c>
      <c r="G228" s="22" t="s">
        <v>21</v>
      </c>
      <c r="H228" s="21">
        <v>40</v>
      </c>
      <c r="I228" s="22" t="s">
        <v>20</v>
      </c>
      <c r="J228" s="23">
        <v>38500</v>
      </c>
      <c r="K228" s="19" t="s">
        <v>20</v>
      </c>
      <c r="L228" s="24">
        <v>0.125</v>
      </c>
      <c r="M228" s="24">
        <v>0.05</v>
      </c>
      <c r="N228" s="18"/>
      <c r="O228" s="22" t="s">
        <v>20</v>
      </c>
      <c r="P228" s="18">
        <f>(C228+(E228*F228*H228))-N228</f>
        <v>0</v>
      </c>
      <c r="Q228" s="22" t="s">
        <v>20</v>
      </c>
      <c r="R228" s="23">
        <f>P228*(J228-(J228*L228)-((J228-(J228*L228))*M228))</f>
        <v>0</v>
      </c>
      <c r="S228" s="23">
        <f t="shared" si="57"/>
        <v>0</v>
      </c>
    </row>
    <row r="229" spans="1:19">
      <c r="A229" s="15" t="s">
        <v>225</v>
      </c>
      <c r="S229" s="23"/>
    </row>
    <row r="230" spans="1:19" s="26" customFormat="1">
      <c r="A230" s="25" t="s">
        <v>226</v>
      </c>
      <c r="B230" s="26" t="s">
        <v>19</v>
      </c>
      <c r="C230" s="27">
        <v>48</v>
      </c>
      <c r="D230" s="28" t="s">
        <v>20</v>
      </c>
      <c r="E230" s="29"/>
      <c r="F230" s="30">
        <v>1</v>
      </c>
      <c r="G230" s="31" t="s">
        <v>21</v>
      </c>
      <c r="H230" s="30">
        <v>48</v>
      </c>
      <c r="I230" s="31" t="s">
        <v>20</v>
      </c>
      <c r="J230" s="32">
        <v>17000</v>
      </c>
      <c r="K230" s="28" t="s">
        <v>20</v>
      </c>
      <c r="L230" s="33">
        <v>0.125</v>
      </c>
      <c r="M230" s="33">
        <v>0.05</v>
      </c>
      <c r="N230" s="27"/>
      <c r="O230" s="31" t="s">
        <v>20</v>
      </c>
      <c r="P230" s="27">
        <f>(C230+(E230*F230*H230))-N230</f>
        <v>48</v>
      </c>
      <c r="Q230" s="31" t="s">
        <v>20</v>
      </c>
      <c r="R230" s="32">
        <f>P230*(J230-(J230*L230)-((J230-(J230*L230))*M230))</f>
        <v>678300</v>
      </c>
      <c r="S230" s="32">
        <f t="shared" si="57"/>
        <v>611081.08108108107</v>
      </c>
    </row>
    <row r="231" spans="1:19">
      <c r="S231" s="23"/>
    </row>
    <row r="232" spans="1:19" ht="15.75">
      <c r="A232" s="14" t="s">
        <v>227</v>
      </c>
      <c r="S232" s="23"/>
    </row>
    <row r="233" spans="1:19">
      <c r="A233" s="15" t="s">
        <v>228</v>
      </c>
      <c r="S233" s="23"/>
    </row>
    <row r="234" spans="1:19" s="45" customFormat="1">
      <c r="A234" s="44" t="s">
        <v>229</v>
      </c>
      <c r="B234" s="45" t="s">
        <v>26</v>
      </c>
      <c r="C234" s="46">
        <v>40</v>
      </c>
      <c r="D234" s="47" t="s">
        <v>43</v>
      </c>
      <c r="E234" s="48"/>
      <c r="F234" s="49">
        <v>1</v>
      </c>
      <c r="G234" s="50" t="s">
        <v>21</v>
      </c>
      <c r="H234" s="49">
        <v>50</v>
      </c>
      <c r="I234" s="50" t="s">
        <v>43</v>
      </c>
      <c r="J234" s="51">
        <f>1800000/50</f>
        <v>36000</v>
      </c>
      <c r="K234" s="47" t="s">
        <v>43</v>
      </c>
      <c r="L234" s="52"/>
      <c r="M234" s="52">
        <v>0.17</v>
      </c>
      <c r="N234" s="46"/>
      <c r="O234" s="50" t="s">
        <v>43</v>
      </c>
      <c r="P234" s="46">
        <f t="shared" ref="P234:P239" si="59">(C234+(E234*F234*H234))-N234</f>
        <v>40</v>
      </c>
      <c r="Q234" s="50" t="s">
        <v>43</v>
      </c>
      <c r="R234" s="51">
        <f t="shared" ref="R234:R239" si="60">P234*(J234-(J234*L234)-((J234-(J234*L234))*M234))</f>
        <v>1195200</v>
      </c>
      <c r="S234" s="32">
        <f t="shared" si="57"/>
        <v>1076756.7567567567</v>
      </c>
    </row>
    <row r="235" spans="1:19" s="85" customFormat="1">
      <c r="A235" s="84" t="s">
        <v>230</v>
      </c>
      <c r="B235" s="85" t="s">
        <v>26</v>
      </c>
      <c r="C235" s="86">
        <v>28</v>
      </c>
      <c r="D235" s="87" t="s">
        <v>43</v>
      </c>
      <c r="E235" s="92"/>
      <c r="F235" s="88">
        <v>1</v>
      </c>
      <c r="G235" s="89" t="s">
        <v>21</v>
      </c>
      <c r="H235" s="88">
        <v>25</v>
      </c>
      <c r="I235" s="89" t="s">
        <v>43</v>
      </c>
      <c r="J235" s="90">
        <f>1860000/25</f>
        <v>74400</v>
      </c>
      <c r="K235" s="87" t="s">
        <v>43</v>
      </c>
      <c r="L235" s="91"/>
      <c r="M235" s="91">
        <v>0.17</v>
      </c>
      <c r="N235" s="86"/>
      <c r="O235" s="89" t="s">
        <v>43</v>
      </c>
      <c r="P235" s="86">
        <f t="shared" si="59"/>
        <v>28</v>
      </c>
      <c r="Q235" s="89" t="s">
        <v>43</v>
      </c>
      <c r="R235" s="90">
        <f t="shared" si="60"/>
        <v>1729056</v>
      </c>
      <c r="S235" s="32">
        <f t="shared" si="57"/>
        <v>1557708.1081081079</v>
      </c>
    </row>
    <row r="236" spans="1:19" s="17" customFormat="1">
      <c r="A236" s="16" t="s">
        <v>231</v>
      </c>
      <c r="B236" s="17" t="s">
        <v>26</v>
      </c>
      <c r="C236" s="18"/>
      <c r="D236" s="19" t="s">
        <v>43</v>
      </c>
      <c r="E236" s="20"/>
      <c r="F236" s="21">
        <v>1</v>
      </c>
      <c r="G236" s="22" t="s">
        <v>21</v>
      </c>
      <c r="H236" s="21">
        <v>10</v>
      </c>
      <c r="I236" s="22" t="s">
        <v>43</v>
      </c>
      <c r="J236" s="23">
        <v>153000</v>
      </c>
      <c r="K236" s="19" t="s">
        <v>43</v>
      </c>
      <c r="L236" s="24"/>
      <c r="M236" s="24">
        <v>0.17</v>
      </c>
      <c r="N236" s="18"/>
      <c r="O236" s="22" t="s">
        <v>43</v>
      </c>
      <c r="P236" s="18">
        <f t="shared" si="59"/>
        <v>0</v>
      </c>
      <c r="Q236" s="22" t="s">
        <v>43</v>
      </c>
      <c r="R236" s="23">
        <f t="shared" si="60"/>
        <v>0</v>
      </c>
      <c r="S236" s="23">
        <f t="shared" si="57"/>
        <v>0</v>
      </c>
    </row>
    <row r="237" spans="1:19" s="45" customFormat="1">
      <c r="A237" s="44" t="s">
        <v>232</v>
      </c>
      <c r="B237" s="45" t="s">
        <v>26</v>
      </c>
      <c r="C237" s="46">
        <v>3</v>
      </c>
      <c r="D237" s="47" t="s">
        <v>43</v>
      </c>
      <c r="E237" s="48"/>
      <c r="F237" s="49">
        <v>1</v>
      </c>
      <c r="G237" s="50" t="s">
        <v>21</v>
      </c>
      <c r="H237" s="49">
        <v>10</v>
      </c>
      <c r="I237" s="50" t="s">
        <v>43</v>
      </c>
      <c r="J237" s="51">
        <f>2028000/10</f>
        <v>202800</v>
      </c>
      <c r="K237" s="47" t="s">
        <v>43</v>
      </c>
      <c r="L237" s="52"/>
      <c r="M237" s="52">
        <v>0.17</v>
      </c>
      <c r="N237" s="46"/>
      <c r="O237" s="50" t="s">
        <v>43</v>
      </c>
      <c r="P237" s="46">
        <f t="shared" si="59"/>
        <v>3</v>
      </c>
      <c r="Q237" s="50" t="s">
        <v>43</v>
      </c>
      <c r="R237" s="51">
        <f t="shared" si="60"/>
        <v>504972</v>
      </c>
      <c r="S237" s="51">
        <f t="shared" si="57"/>
        <v>454929.7297297297</v>
      </c>
    </row>
    <row r="238" spans="1:19" s="45" customFormat="1">
      <c r="A238" s="44" t="s">
        <v>233</v>
      </c>
      <c r="B238" s="45" t="s">
        <v>26</v>
      </c>
      <c r="C238" s="46">
        <v>3</v>
      </c>
      <c r="D238" s="47" t="s">
        <v>43</v>
      </c>
      <c r="E238" s="48"/>
      <c r="F238" s="49">
        <v>1</v>
      </c>
      <c r="G238" s="50" t="s">
        <v>21</v>
      </c>
      <c r="H238" s="49">
        <v>10</v>
      </c>
      <c r="I238" s="50" t="s">
        <v>43</v>
      </c>
      <c r="J238" s="51">
        <f>2208000/10</f>
        <v>220800</v>
      </c>
      <c r="K238" s="47" t="s">
        <v>43</v>
      </c>
      <c r="L238" s="52"/>
      <c r="M238" s="52">
        <v>0.17</v>
      </c>
      <c r="N238" s="46"/>
      <c r="O238" s="50" t="s">
        <v>43</v>
      </c>
      <c r="P238" s="46">
        <f t="shared" si="59"/>
        <v>3</v>
      </c>
      <c r="Q238" s="50" t="s">
        <v>43</v>
      </c>
      <c r="R238" s="51">
        <f t="shared" si="60"/>
        <v>549792</v>
      </c>
      <c r="S238" s="32">
        <f t="shared" si="57"/>
        <v>495308.10810810805</v>
      </c>
    </row>
    <row r="239" spans="1:19" s="45" customFormat="1">
      <c r="A239" s="44" t="s">
        <v>234</v>
      </c>
      <c r="B239" s="45" t="s">
        <v>26</v>
      </c>
      <c r="C239" s="46">
        <v>36</v>
      </c>
      <c r="D239" s="47" t="s">
        <v>20</v>
      </c>
      <c r="E239" s="48"/>
      <c r="F239" s="49">
        <v>10</v>
      </c>
      <c r="G239" s="50" t="s">
        <v>43</v>
      </c>
      <c r="H239" s="49">
        <v>12</v>
      </c>
      <c r="I239" s="50" t="s">
        <v>20</v>
      </c>
      <c r="J239" s="51">
        <f>4920000/10/12</f>
        <v>41000</v>
      </c>
      <c r="K239" s="47" t="s">
        <v>20</v>
      </c>
      <c r="L239" s="52"/>
      <c r="M239" s="52">
        <v>0.17</v>
      </c>
      <c r="N239" s="46">
        <v>12</v>
      </c>
      <c r="O239" s="50" t="s">
        <v>20</v>
      </c>
      <c r="P239" s="46">
        <f t="shared" si="59"/>
        <v>24</v>
      </c>
      <c r="Q239" s="50" t="s">
        <v>20</v>
      </c>
      <c r="R239" s="51">
        <f t="shared" si="60"/>
        <v>816720</v>
      </c>
      <c r="S239" s="51">
        <f t="shared" si="57"/>
        <v>735783.78378378367</v>
      </c>
    </row>
    <row r="240" spans="1:19">
      <c r="A240" s="15" t="s">
        <v>739</v>
      </c>
      <c r="S240" s="23"/>
    </row>
    <row r="241" spans="1:19" s="45" customFormat="1">
      <c r="A241" s="44" t="s">
        <v>740</v>
      </c>
      <c r="B241" s="45" t="s">
        <v>182</v>
      </c>
      <c r="C241" s="46">
        <v>9600</v>
      </c>
      <c r="D241" s="47" t="s">
        <v>20</v>
      </c>
      <c r="E241" s="48"/>
      <c r="F241" s="49">
        <v>20</v>
      </c>
      <c r="G241" s="50" t="s">
        <v>34</v>
      </c>
      <c r="H241" s="49">
        <v>48</v>
      </c>
      <c r="I241" s="50" t="s">
        <v>20</v>
      </c>
      <c r="J241" s="51">
        <v>1400</v>
      </c>
      <c r="K241" s="47" t="s">
        <v>20</v>
      </c>
      <c r="L241" s="52">
        <v>0.05</v>
      </c>
      <c r="M241" s="52"/>
      <c r="N241" s="46"/>
      <c r="O241" s="50" t="s">
        <v>20</v>
      </c>
      <c r="P241" s="46">
        <f t="shared" ref="P241" si="61">(C241+(E241*F241*H241))-N241</f>
        <v>9600</v>
      </c>
      <c r="Q241" s="50" t="s">
        <v>20</v>
      </c>
      <c r="R241" s="51">
        <f t="shared" ref="R241" si="62">P241*(J241-(J241*L241)-((J241-(J241*L241))*M241))</f>
        <v>12768000</v>
      </c>
      <c r="S241" s="32">
        <f t="shared" ref="S241" si="63">R241/1.11</f>
        <v>11502702.702702701</v>
      </c>
    </row>
    <row r="242" spans="1:19" ht="15.75">
      <c r="A242" s="106"/>
      <c r="S242" s="23"/>
    </row>
    <row r="243" spans="1:19" ht="15.75">
      <c r="A243" s="14" t="s">
        <v>235</v>
      </c>
      <c r="S243" s="23"/>
    </row>
    <row r="244" spans="1:19" s="17" customFormat="1">
      <c r="A244" s="16" t="s">
        <v>236</v>
      </c>
      <c r="B244" s="17" t="s">
        <v>19</v>
      </c>
      <c r="C244" s="18"/>
      <c r="D244" s="19" t="s">
        <v>20</v>
      </c>
      <c r="E244" s="20"/>
      <c r="F244" s="21">
        <v>12</v>
      </c>
      <c r="G244" s="22" t="s">
        <v>34</v>
      </c>
      <c r="H244" s="21">
        <v>12</v>
      </c>
      <c r="I244" s="22" t="s">
        <v>20</v>
      </c>
      <c r="J244" s="23">
        <f>52500/12</f>
        <v>4375</v>
      </c>
      <c r="K244" s="19" t="s">
        <v>20</v>
      </c>
      <c r="L244" s="24">
        <v>0.125</v>
      </c>
      <c r="M244" s="24">
        <v>0.05</v>
      </c>
      <c r="N244" s="18"/>
      <c r="O244" s="22" t="s">
        <v>20</v>
      </c>
      <c r="P244" s="18">
        <f>(C244+(E244*F244*H244))-N244</f>
        <v>0</v>
      </c>
      <c r="Q244" s="22" t="s">
        <v>20</v>
      </c>
      <c r="R244" s="23">
        <f>P244*(J244-(J244*L244)-((J244-(J244*L244))*M244))</f>
        <v>0</v>
      </c>
      <c r="S244" s="23">
        <f t="shared" ref="S244" si="64">R244/1.11</f>
        <v>0</v>
      </c>
    </row>
    <row r="245" spans="1:19" s="26" customFormat="1">
      <c r="A245" s="25" t="s">
        <v>237</v>
      </c>
      <c r="B245" s="26" t="s">
        <v>19</v>
      </c>
      <c r="C245" s="27">
        <v>144</v>
      </c>
      <c r="D245" s="28" t="s">
        <v>20</v>
      </c>
      <c r="E245" s="29"/>
      <c r="F245" s="30">
        <v>12</v>
      </c>
      <c r="G245" s="31" t="s">
        <v>34</v>
      </c>
      <c r="H245" s="30">
        <v>12</v>
      </c>
      <c r="I245" s="31" t="s">
        <v>20</v>
      </c>
      <c r="J245" s="32">
        <v>20500</v>
      </c>
      <c r="K245" s="28" t="s">
        <v>20</v>
      </c>
      <c r="L245" s="33">
        <v>0.125</v>
      </c>
      <c r="M245" s="33">
        <v>0.05</v>
      </c>
      <c r="N245" s="27"/>
      <c r="O245" s="31" t="s">
        <v>20</v>
      </c>
      <c r="P245" s="27">
        <f>(C245+(E245*F245*H245))-N245</f>
        <v>144</v>
      </c>
      <c r="Q245" s="31" t="s">
        <v>20</v>
      </c>
      <c r="R245" s="32">
        <f>P245*(J245-(J245*L245)-((J245-(J245*L245))*M245))</f>
        <v>2453850</v>
      </c>
      <c r="S245" s="32">
        <f t="shared" si="57"/>
        <v>2210675.6756756753</v>
      </c>
    </row>
    <row r="246" spans="1:19" s="26" customFormat="1">
      <c r="A246" s="25" t="s">
        <v>238</v>
      </c>
      <c r="B246" s="26" t="s">
        <v>19</v>
      </c>
      <c r="C246" s="27">
        <v>144</v>
      </c>
      <c r="D246" s="28" t="s">
        <v>20</v>
      </c>
      <c r="E246" s="29"/>
      <c r="F246" s="30">
        <v>12</v>
      </c>
      <c r="G246" s="31" t="s">
        <v>34</v>
      </c>
      <c r="H246" s="30">
        <v>12</v>
      </c>
      <c r="I246" s="31" t="s">
        <v>20</v>
      </c>
      <c r="J246" s="32">
        <v>22000</v>
      </c>
      <c r="K246" s="28" t="s">
        <v>20</v>
      </c>
      <c r="L246" s="33">
        <v>0.125</v>
      </c>
      <c r="M246" s="33">
        <v>0.05</v>
      </c>
      <c r="N246" s="27"/>
      <c r="O246" s="31" t="s">
        <v>20</v>
      </c>
      <c r="P246" s="27">
        <f>(C246+(E246*F246*H246))-N246</f>
        <v>144</v>
      </c>
      <c r="Q246" s="31" t="s">
        <v>20</v>
      </c>
      <c r="R246" s="32">
        <f>P246*(J246-(J246*L246)-((J246-(J246*L246))*M246))</f>
        <v>2633400</v>
      </c>
      <c r="S246" s="32">
        <f t="shared" si="57"/>
        <v>2372432.4324324322</v>
      </c>
    </row>
    <row r="247" spans="1:19" s="45" customFormat="1">
      <c r="A247" s="44" t="s">
        <v>239</v>
      </c>
      <c r="B247" s="45" t="s">
        <v>19</v>
      </c>
      <c r="C247" s="46">
        <v>288</v>
      </c>
      <c r="D247" s="47" t="s">
        <v>20</v>
      </c>
      <c r="E247" s="48">
        <f>5+2+1+2</f>
        <v>10</v>
      </c>
      <c r="F247" s="49">
        <v>12</v>
      </c>
      <c r="G247" s="50" t="s">
        <v>34</v>
      </c>
      <c r="H247" s="49">
        <v>12</v>
      </c>
      <c r="I247" s="50" t="s">
        <v>20</v>
      </c>
      <c r="J247" s="51">
        <v>4100</v>
      </c>
      <c r="K247" s="47" t="s">
        <v>20</v>
      </c>
      <c r="L247" s="52">
        <v>0.125</v>
      </c>
      <c r="M247" s="52">
        <v>0.05</v>
      </c>
      <c r="N247" s="46">
        <f>144+288+288+144+288</f>
        <v>1152</v>
      </c>
      <c r="O247" s="50" t="s">
        <v>20</v>
      </c>
      <c r="P247" s="46">
        <f>(C247+(E247*F247*H247))-N247</f>
        <v>576</v>
      </c>
      <c r="Q247" s="50" t="s">
        <v>20</v>
      </c>
      <c r="R247" s="51">
        <f>P247*(J247-(J247*L247)-((J247-(J247*L247))*M247))</f>
        <v>1963080</v>
      </c>
      <c r="S247" s="51">
        <f t="shared" si="57"/>
        <v>1768540.5405405404</v>
      </c>
    </row>
    <row r="248" spans="1:19" s="45" customFormat="1">
      <c r="A248" s="44" t="s">
        <v>240</v>
      </c>
      <c r="B248" s="45" t="s">
        <v>19</v>
      </c>
      <c r="C248" s="46">
        <v>288</v>
      </c>
      <c r="D248" s="47" t="s">
        <v>20</v>
      </c>
      <c r="E248" s="48">
        <f>5+4+4+2+2</f>
        <v>17</v>
      </c>
      <c r="F248" s="49">
        <v>12</v>
      </c>
      <c r="G248" s="50" t="s">
        <v>34</v>
      </c>
      <c r="H248" s="49">
        <v>12</v>
      </c>
      <c r="I248" s="50" t="s">
        <v>20</v>
      </c>
      <c r="J248" s="51">
        <v>6300</v>
      </c>
      <c r="K248" s="47" t="s">
        <v>20</v>
      </c>
      <c r="L248" s="52">
        <v>0.125</v>
      </c>
      <c r="M248" s="52">
        <v>0.05</v>
      </c>
      <c r="N248" s="46">
        <f>144+144+144+288+576+288+288+144+288</f>
        <v>2304</v>
      </c>
      <c r="O248" s="50" t="s">
        <v>20</v>
      </c>
      <c r="P248" s="46">
        <f t="shared" ref="P248:P255" si="65">(C248+(E248*F248*H248))-N248</f>
        <v>432</v>
      </c>
      <c r="Q248" s="50" t="s">
        <v>20</v>
      </c>
      <c r="R248" s="51">
        <f t="shared" ref="R248:R255" si="66">P248*(J248-(J248*L248)-((J248-(J248*L248))*M248))</f>
        <v>2262330</v>
      </c>
      <c r="S248" s="51">
        <f t="shared" si="57"/>
        <v>2038135.1351351349</v>
      </c>
    </row>
    <row r="249" spans="1:19" s="45" customFormat="1">
      <c r="A249" s="44" t="s">
        <v>241</v>
      </c>
      <c r="B249" s="45" t="s">
        <v>19</v>
      </c>
      <c r="C249" s="46">
        <v>144</v>
      </c>
      <c r="D249" s="47" t="s">
        <v>20</v>
      </c>
      <c r="E249" s="48">
        <v>4</v>
      </c>
      <c r="F249" s="49">
        <v>12</v>
      </c>
      <c r="G249" s="50" t="s">
        <v>34</v>
      </c>
      <c r="H249" s="49">
        <v>12</v>
      </c>
      <c r="I249" s="50" t="s">
        <v>20</v>
      </c>
      <c r="J249" s="51">
        <v>9500</v>
      </c>
      <c r="K249" s="47" t="s">
        <v>20</v>
      </c>
      <c r="L249" s="52">
        <v>0.125</v>
      </c>
      <c r="M249" s="52">
        <v>0.05</v>
      </c>
      <c r="N249" s="46">
        <f>144+288+24+24</f>
        <v>480</v>
      </c>
      <c r="O249" s="50" t="s">
        <v>20</v>
      </c>
      <c r="P249" s="46">
        <f t="shared" si="65"/>
        <v>240</v>
      </c>
      <c r="Q249" s="50" t="s">
        <v>20</v>
      </c>
      <c r="R249" s="51">
        <f t="shared" si="66"/>
        <v>1895250</v>
      </c>
      <c r="S249" s="32">
        <f t="shared" si="57"/>
        <v>1707432.4324324322</v>
      </c>
    </row>
    <row r="250" spans="1:19" s="63" customFormat="1">
      <c r="A250" s="72" t="s">
        <v>242</v>
      </c>
      <c r="B250" s="63" t="s">
        <v>19</v>
      </c>
      <c r="C250" s="64"/>
      <c r="D250" s="65" t="s">
        <v>20</v>
      </c>
      <c r="E250" s="66"/>
      <c r="F250" s="67">
        <v>6</v>
      </c>
      <c r="G250" s="68" t="s">
        <v>34</v>
      </c>
      <c r="H250" s="67">
        <v>12</v>
      </c>
      <c r="I250" s="68" t="s">
        <v>20</v>
      </c>
      <c r="J250" s="69">
        <v>19200</v>
      </c>
      <c r="K250" s="65" t="s">
        <v>20</v>
      </c>
      <c r="L250" s="70">
        <v>0.125</v>
      </c>
      <c r="M250" s="70">
        <v>0.05</v>
      </c>
      <c r="N250" s="64"/>
      <c r="O250" s="68" t="s">
        <v>20</v>
      </c>
      <c r="P250" s="64">
        <f t="shared" si="65"/>
        <v>0</v>
      </c>
      <c r="Q250" s="68" t="s">
        <v>20</v>
      </c>
      <c r="R250" s="69">
        <f t="shared" si="66"/>
        <v>0</v>
      </c>
      <c r="S250" s="23">
        <f t="shared" si="57"/>
        <v>0</v>
      </c>
    </row>
    <row r="251" spans="1:19" s="17" customFormat="1">
      <c r="A251" s="16" t="s">
        <v>243</v>
      </c>
      <c r="B251" s="17" t="s">
        <v>19</v>
      </c>
      <c r="C251" s="18"/>
      <c r="D251" s="19" t="s">
        <v>20</v>
      </c>
      <c r="E251" s="20"/>
      <c r="F251" s="21">
        <v>12</v>
      </c>
      <c r="G251" s="22" t="s">
        <v>34</v>
      </c>
      <c r="H251" s="21">
        <v>12</v>
      </c>
      <c r="I251" s="22" t="s">
        <v>20</v>
      </c>
      <c r="J251" s="23">
        <v>5900</v>
      </c>
      <c r="K251" s="19" t="s">
        <v>20</v>
      </c>
      <c r="L251" s="24">
        <v>0.125</v>
      </c>
      <c r="M251" s="24">
        <v>0.05</v>
      </c>
      <c r="N251" s="18"/>
      <c r="O251" s="22" t="s">
        <v>20</v>
      </c>
      <c r="P251" s="18">
        <f t="shared" si="65"/>
        <v>0</v>
      </c>
      <c r="Q251" s="22" t="s">
        <v>20</v>
      </c>
      <c r="R251" s="23">
        <f t="shared" si="66"/>
        <v>0</v>
      </c>
      <c r="S251" s="23">
        <f t="shared" si="57"/>
        <v>0</v>
      </c>
    </row>
    <row r="252" spans="1:19" s="17" customFormat="1">
      <c r="A252" s="16" t="s">
        <v>244</v>
      </c>
      <c r="B252" s="17" t="s">
        <v>19</v>
      </c>
      <c r="C252" s="18"/>
      <c r="D252" s="19" t="s">
        <v>20</v>
      </c>
      <c r="E252" s="20">
        <v>2</v>
      </c>
      <c r="F252" s="21">
        <v>12</v>
      </c>
      <c r="G252" s="22" t="s">
        <v>34</v>
      </c>
      <c r="H252" s="21">
        <v>12</v>
      </c>
      <c r="I252" s="22" t="s">
        <v>20</v>
      </c>
      <c r="J252" s="23">
        <v>7700</v>
      </c>
      <c r="K252" s="19" t="s">
        <v>20</v>
      </c>
      <c r="L252" s="24">
        <v>0.125</v>
      </c>
      <c r="M252" s="24">
        <v>0.05</v>
      </c>
      <c r="N252" s="18">
        <v>288</v>
      </c>
      <c r="O252" s="22" t="s">
        <v>20</v>
      </c>
      <c r="P252" s="18">
        <f t="shared" si="65"/>
        <v>0</v>
      </c>
      <c r="Q252" s="22" t="s">
        <v>20</v>
      </c>
      <c r="R252" s="23">
        <f t="shared" si="66"/>
        <v>0</v>
      </c>
      <c r="S252" s="23">
        <f t="shared" si="57"/>
        <v>0</v>
      </c>
    </row>
    <row r="253" spans="1:19" s="63" customFormat="1" ht="15">
      <c r="A253" s="72" t="s">
        <v>245</v>
      </c>
      <c r="B253" s="63" t="s">
        <v>19</v>
      </c>
      <c r="C253" s="207"/>
      <c r="D253" s="65" t="s">
        <v>20</v>
      </c>
      <c r="E253" s="66"/>
      <c r="F253" s="67">
        <v>12</v>
      </c>
      <c r="G253" s="68" t="s">
        <v>34</v>
      </c>
      <c r="H253" s="67">
        <v>12</v>
      </c>
      <c r="I253" s="68" t="s">
        <v>20</v>
      </c>
      <c r="J253" s="69">
        <v>11200</v>
      </c>
      <c r="K253" s="65" t="s">
        <v>20</v>
      </c>
      <c r="L253" s="70">
        <v>0.125</v>
      </c>
      <c r="M253" s="70">
        <v>0.05</v>
      </c>
      <c r="N253" s="64"/>
      <c r="O253" s="68" t="s">
        <v>20</v>
      </c>
      <c r="P253" s="64">
        <f t="shared" si="65"/>
        <v>0</v>
      </c>
      <c r="Q253" s="68" t="s">
        <v>20</v>
      </c>
      <c r="R253" s="69">
        <f t="shared" si="66"/>
        <v>0</v>
      </c>
      <c r="S253" s="69">
        <f t="shared" si="57"/>
        <v>0</v>
      </c>
    </row>
    <row r="254" spans="1:19" s="17" customFormat="1">
      <c r="A254" s="16" t="s">
        <v>246</v>
      </c>
      <c r="B254" s="17" t="s">
        <v>19</v>
      </c>
      <c r="C254" s="18"/>
      <c r="D254" s="19" t="s">
        <v>20</v>
      </c>
      <c r="E254" s="20"/>
      <c r="F254" s="21">
        <v>12</v>
      </c>
      <c r="G254" s="22" t="s">
        <v>34</v>
      </c>
      <c r="H254" s="21">
        <v>12</v>
      </c>
      <c r="I254" s="22" t="s">
        <v>20</v>
      </c>
      <c r="J254" s="23">
        <v>7600</v>
      </c>
      <c r="K254" s="19" t="s">
        <v>20</v>
      </c>
      <c r="L254" s="24">
        <v>0.125</v>
      </c>
      <c r="M254" s="24">
        <v>0.05</v>
      </c>
      <c r="N254" s="18"/>
      <c r="O254" s="22" t="s">
        <v>20</v>
      </c>
      <c r="P254" s="18">
        <f t="shared" si="65"/>
        <v>0</v>
      </c>
      <c r="Q254" s="22" t="s">
        <v>20</v>
      </c>
      <c r="R254" s="23">
        <f t="shared" si="66"/>
        <v>0</v>
      </c>
      <c r="S254" s="23">
        <f t="shared" si="57"/>
        <v>0</v>
      </c>
    </row>
    <row r="255" spans="1:19" s="17" customFormat="1">
      <c r="A255" s="16" t="s">
        <v>247</v>
      </c>
      <c r="B255" s="17" t="s">
        <v>19</v>
      </c>
      <c r="C255" s="18"/>
      <c r="D255" s="19" t="s">
        <v>20</v>
      </c>
      <c r="E255" s="20"/>
      <c r="F255" s="21">
        <v>8</v>
      </c>
      <c r="G255" s="22" t="s">
        <v>34</v>
      </c>
      <c r="H255" s="21">
        <v>6</v>
      </c>
      <c r="I255" s="22" t="s">
        <v>20</v>
      </c>
      <c r="J255" s="23">
        <v>65000</v>
      </c>
      <c r="K255" s="19" t="s">
        <v>20</v>
      </c>
      <c r="L255" s="24">
        <v>0.125</v>
      </c>
      <c r="M255" s="24">
        <v>0.05</v>
      </c>
      <c r="N255" s="18"/>
      <c r="O255" s="22" t="s">
        <v>20</v>
      </c>
      <c r="P255" s="18">
        <f t="shared" si="65"/>
        <v>0</v>
      </c>
      <c r="Q255" s="22" t="s">
        <v>20</v>
      </c>
      <c r="R255" s="23">
        <f t="shared" si="66"/>
        <v>0</v>
      </c>
      <c r="S255" s="23">
        <f t="shared" si="57"/>
        <v>0</v>
      </c>
    </row>
    <row r="256" spans="1:19" s="45" customFormat="1">
      <c r="A256" s="44" t="s">
        <v>248</v>
      </c>
      <c r="B256" s="45" t="s">
        <v>26</v>
      </c>
      <c r="C256" s="46">
        <f>22+15</f>
        <v>37</v>
      </c>
      <c r="D256" s="47" t="s">
        <v>43</v>
      </c>
      <c r="E256" s="48">
        <v>2</v>
      </c>
      <c r="F256" s="49">
        <v>1</v>
      </c>
      <c r="G256" s="50" t="s">
        <v>21</v>
      </c>
      <c r="H256" s="49">
        <v>25</v>
      </c>
      <c r="I256" s="50" t="s">
        <v>43</v>
      </c>
      <c r="J256" s="51">
        <f>1245000/25</f>
        <v>49800</v>
      </c>
      <c r="K256" s="47" t="s">
        <v>43</v>
      </c>
      <c r="L256" s="52"/>
      <c r="M256" s="52">
        <v>0.17</v>
      </c>
      <c r="N256" s="46">
        <f>25+10+25</f>
        <v>60</v>
      </c>
      <c r="O256" s="50" t="s">
        <v>43</v>
      </c>
      <c r="P256" s="46">
        <f>(C256+(E256*F256*H256))-N256</f>
        <v>27</v>
      </c>
      <c r="Q256" s="50" t="s">
        <v>43</v>
      </c>
      <c r="R256" s="51">
        <f>P256*(J256-(J256*L256)-((J256-(J256*L256))*M256))</f>
        <v>1116018</v>
      </c>
      <c r="S256" s="51">
        <f t="shared" si="57"/>
        <v>1005421.6216216215</v>
      </c>
    </row>
    <row r="257" spans="1:19" s="45" customFormat="1">
      <c r="A257" s="44" t="s">
        <v>249</v>
      </c>
      <c r="B257" s="45" t="s">
        <v>26</v>
      </c>
      <c r="C257" s="46">
        <v>141</v>
      </c>
      <c r="D257" s="47" t="s">
        <v>43</v>
      </c>
      <c r="E257" s="48">
        <f>6+5+2</f>
        <v>13</v>
      </c>
      <c r="F257" s="49">
        <v>1</v>
      </c>
      <c r="G257" s="50" t="s">
        <v>21</v>
      </c>
      <c r="H257" s="49">
        <v>25</v>
      </c>
      <c r="I257" s="50" t="s">
        <v>43</v>
      </c>
      <c r="J257" s="51">
        <f>1890000/25</f>
        <v>75600</v>
      </c>
      <c r="K257" s="47" t="s">
        <v>43</v>
      </c>
      <c r="L257" s="52"/>
      <c r="M257" s="52">
        <v>0.17</v>
      </c>
      <c r="N257" s="46">
        <f>5+50+50+25+25+5+25+50</f>
        <v>235</v>
      </c>
      <c r="O257" s="50" t="s">
        <v>43</v>
      </c>
      <c r="P257" s="46">
        <f t="shared" ref="P257" si="67">(C257+(E257*F257*H257))-N257</f>
        <v>231</v>
      </c>
      <c r="Q257" s="50" t="s">
        <v>43</v>
      </c>
      <c r="R257" s="51">
        <f t="shared" ref="R257" si="68">P257*(J257-(J257*L257)-((J257-(J257*L257))*M257))</f>
        <v>14494788</v>
      </c>
      <c r="S257" s="51">
        <f t="shared" si="57"/>
        <v>13058367.567567566</v>
      </c>
    </row>
    <row r="258" spans="1:19" s="45" customFormat="1">
      <c r="A258" s="44" t="s">
        <v>250</v>
      </c>
      <c r="B258" s="45" t="s">
        <v>26</v>
      </c>
      <c r="C258" s="46">
        <v>51</v>
      </c>
      <c r="D258" s="47" t="s">
        <v>43</v>
      </c>
      <c r="E258" s="48">
        <f>4+6+2</f>
        <v>12</v>
      </c>
      <c r="F258" s="49">
        <v>1</v>
      </c>
      <c r="G258" s="50" t="s">
        <v>21</v>
      </c>
      <c r="H258" s="49">
        <v>10</v>
      </c>
      <c r="I258" s="50" t="s">
        <v>43</v>
      </c>
      <c r="J258" s="51">
        <f>1122000/10</f>
        <v>112200</v>
      </c>
      <c r="K258" s="47" t="s">
        <v>43</v>
      </c>
      <c r="L258" s="52"/>
      <c r="M258" s="52">
        <v>0.17</v>
      </c>
      <c r="N258" s="46">
        <f>10+20+60+20+10+10</f>
        <v>130</v>
      </c>
      <c r="O258" s="50" t="s">
        <v>43</v>
      </c>
      <c r="P258" s="46">
        <f>(C258+(E258*F258*H258))-N258</f>
        <v>41</v>
      </c>
      <c r="Q258" s="50" t="s">
        <v>43</v>
      </c>
      <c r="R258" s="51">
        <f>P258*(J258-(J258*L258)-((J258-(J258*L258))*M258))</f>
        <v>3818166</v>
      </c>
      <c r="S258" s="51">
        <f t="shared" si="57"/>
        <v>3439789.1891891891</v>
      </c>
    </row>
    <row r="259" spans="1:19" s="45" customFormat="1">
      <c r="A259" s="44" t="s">
        <v>755</v>
      </c>
      <c r="B259" s="45" t="s">
        <v>26</v>
      </c>
      <c r="C259" s="46">
        <v>15</v>
      </c>
      <c r="D259" s="47" t="s">
        <v>43</v>
      </c>
      <c r="E259" s="48"/>
      <c r="F259" s="49">
        <v>1</v>
      </c>
      <c r="G259" s="50" t="s">
        <v>21</v>
      </c>
      <c r="H259" s="49">
        <v>25</v>
      </c>
      <c r="I259" s="50" t="s">
        <v>43</v>
      </c>
      <c r="J259" s="51">
        <f>2010000/25</f>
        <v>80400</v>
      </c>
      <c r="K259" s="47" t="s">
        <v>43</v>
      </c>
      <c r="L259" s="52"/>
      <c r="M259" s="52">
        <v>0.17</v>
      </c>
      <c r="N259" s="46"/>
      <c r="O259" s="50" t="s">
        <v>43</v>
      </c>
      <c r="P259" s="46">
        <f>(C259+(E259*F259*H259))-N259</f>
        <v>15</v>
      </c>
      <c r="Q259" s="50" t="s">
        <v>43</v>
      </c>
      <c r="R259" s="51">
        <f>P259*(J259-(J259*L259)-((J259-(J259*L259))*M259))</f>
        <v>1000980</v>
      </c>
      <c r="S259" s="51">
        <f t="shared" si="57"/>
        <v>901783.78378378367</v>
      </c>
    </row>
    <row r="260" spans="1:19" s="63" customFormat="1">
      <c r="A260" s="72" t="s">
        <v>251</v>
      </c>
      <c r="B260" s="63" t="s">
        <v>26</v>
      </c>
      <c r="C260" s="64"/>
      <c r="D260" s="65" t="s">
        <v>43</v>
      </c>
      <c r="E260" s="66"/>
      <c r="F260" s="67">
        <v>1</v>
      </c>
      <c r="G260" s="68" t="s">
        <v>21</v>
      </c>
      <c r="H260" s="67">
        <v>10</v>
      </c>
      <c r="I260" s="68" t="s">
        <v>43</v>
      </c>
      <c r="J260" s="69">
        <f>1260000/10</f>
        <v>126000</v>
      </c>
      <c r="K260" s="65" t="s">
        <v>43</v>
      </c>
      <c r="L260" s="70"/>
      <c r="M260" s="70">
        <v>0.17</v>
      </c>
      <c r="N260" s="64"/>
      <c r="O260" s="68" t="s">
        <v>43</v>
      </c>
      <c r="P260" s="64">
        <f>(C260+(E260*F260*H260))-N260</f>
        <v>0</v>
      </c>
      <c r="Q260" s="68" t="s">
        <v>43</v>
      </c>
      <c r="R260" s="69">
        <f>P260*(J260-(J260*L260)-((J260-(J260*L260))*M260))</f>
        <v>0</v>
      </c>
      <c r="S260" s="69">
        <f t="shared" si="57"/>
        <v>0</v>
      </c>
    </row>
    <row r="261" spans="1:19">
      <c r="S261" s="23"/>
    </row>
    <row r="262" spans="1:19" ht="15.75">
      <c r="A262" s="14" t="s">
        <v>252</v>
      </c>
      <c r="S262" s="23"/>
    </row>
    <row r="263" spans="1:19" s="26" customFormat="1">
      <c r="A263" s="107" t="s">
        <v>253</v>
      </c>
      <c r="B263" s="26" t="s">
        <v>26</v>
      </c>
      <c r="C263" s="27">
        <v>178</v>
      </c>
      <c r="D263" s="28" t="s">
        <v>20</v>
      </c>
      <c r="E263" s="29"/>
      <c r="F263" s="30">
        <v>20</v>
      </c>
      <c r="G263" s="31" t="s">
        <v>34</v>
      </c>
      <c r="H263" s="30">
        <v>10</v>
      </c>
      <c r="I263" s="31" t="s">
        <v>20</v>
      </c>
      <c r="J263" s="32">
        <f>3800000/20/10</f>
        <v>19000</v>
      </c>
      <c r="K263" s="28" t="s">
        <v>20</v>
      </c>
      <c r="L263" s="33"/>
      <c r="M263" s="33">
        <v>0.17</v>
      </c>
      <c r="N263" s="27">
        <f>(1*12)+(1*12)+20</f>
        <v>44</v>
      </c>
      <c r="O263" s="31" t="s">
        <v>20</v>
      </c>
      <c r="P263" s="27">
        <f>(C263+(E263*F263*H263))-N263</f>
        <v>134</v>
      </c>
      <c r="Q263" s="31" t="s">
        <v>20</v>
      </c>
      <c r="R263" s="32">
        <f>P263*(J263-(J263*L263)-((J263-(J263*L263))*M263))</f>
        <v>2113180</v>
      </c>
      <c r="S263" s="32">
        <f t="shared" si="57"/>
        <v>1903765.7657657657</v>
      </c>
    </row>
    <row r="264" spans="1:19" s="26" customFormat="1">
      <c r="A264" s="107" t="s">
        <v>254</v>
      </c>
      <c r="B264" s="26" t="s">
        <v>26</v>
      </c>
      <c r="C264" s="27">
        <v>48</v>
      </c>
      <c r="D264" s="28" t="s">
        <v>20</v>
      </c>
      <c r="E264" s="29"/>
      <c r="F264" s="30">
        <v>20</v>
      </c>
      <c r="G264" s="31" t="s">
        <v>34</v>
      </c>
      <c r="H264" s="30">
        <v>12</v>
      </c>
      <c r="I264" s="31" t="s">
        <v>20</v>
      </c>
      <c r="J264" s="32">
        <f>3000000/20/12</f>
        <v>12500</v>
      </c>
      <c r="K264" s="28" t="s">
        <v>20</v>
      </c>
      <c r="L264" s="33"/>
      <c r="M264" s="33">
        <v>0.17</v>
      </c>
      <c r="N264" s="27">
        <f>(2*12)</f>
        <v>24</v>
      </c>
      <c r="O264" s="31" t="s">
        <v>20</v>
      </c>
      <c r="P264" s="27">
        <f>(C264+(E264*F264*H264))-N264</f>
        <v>24</v>
      </c>
      <c r="Q264" s="31" t="s">
        <v>20</v>
      </c>
      <c r="R264" s="32">
        <f>P264*(J264-(J264*L264)-((J264-(J264*L264))*M264))</f>
        <v>249000</v>
      </c>
      <c r="S264" s="32">
        <f t="shared" si="57"/>
        <v>224324.32432432429</v>
      </c>
    </row>
    <row r="265" spans="1:19">
      <c r="S265" s="23"/>
    </row>
    <row r="266" spans="1:19" ht="15.75">
      <c r="A266" s="14" t="s">
        <v>255</v>
      </c>
      <c r="S266" s="23"/>
    </row>
    <row r="267" spans="1:19" s="17" customFormat="1">
      <c r="A267" s="16" t="s">
        <v>256</v>
      </c>
      <c r="B267" s="17" t="s">
        <v>19</v>
      </c>
      <c r="C267" s="18">
        <v>12</v>
      </c>
      <c r="D267" s="19" t="s">
        <v>43</v>
      </c>
      <c r="E267" s="20"/>
      <c r="F267" s="21">
        <v>1</v>
      </c>
      <c r="G267" s="22" t="s">
        <v>21</v>
      </c>
      <c r="H267" s="21">
        <v>24</v>
      </c>
      <c r="I267" s="22" t="s">
        <v>43</v>
      </c>
      <c r="J267" s="23">
        <v>88200</v>
      </c>
      <c r="K267" s="19" t="s">
        <v>43</v>
      </c>
      <c r="L267" s="24">
        <v>0.125</v>
      </c>
      <c r="M267" s="24">
        <v>0.05</v>
      </c>
      <c r="N267" s="18">
        <v>12</v>
      </c>
      <c r="O267" s="22" t="s">
        <v>43</v>
      </c>
      <c r="P267" s="18">
        <f t="shared" ref="P267:P278" si="69">(C267+(E267*F267*H267))-N267</f>
        <v>0</v>
      </c>
      <c r="Q267" s="22" t="s">
        <v>43</v>
      </c>
      <c r="R267" s="23">
        <f t="shared" ref="R267:R278" si="70">P267*(J267-(J267*L267)-((J267-(J267*L267))*M267))</f>
        <v>0</v>
      </c>
      <c r="S267" s="23">
        <f t="shared" si="57"/>
        <v>0</v>
      </c>
    </row>
    <row r="268" spans="1:19" s="26" customFormat="1">
      <c r="A268" s="25" t="s">
        <v>728</v>
      </c>
      <c r="B268" s="26" t="s">
        <v>19</v>
      </c>
      <c r="C268" s="27">
        <v>20</v>
      </c>
      <c r="D268" s="28" t="s">
        <v>43</v>
      </c>
      <c r="E268" s="29"/>
      <c r="F268" s="30">
        <v>1</v>
      </c>
      <c r="G268" s="31" t="s">
        <v>21</v>
      </c>
      <c r="H268" s="30">
        <v>24</v>
      </c>
      <c r="I268" s="31" t="s">
        <v>43</v>
      </c>
      <c r="J268" s="32">
        <v>114000</v>
      </c>
      <c r="K268" s="28" t="s">
        <v>43</v>
      </c>
      <c r="L268" s="33">
        <v>0.125</v>
      </c>
      <c r="M268" s="33">
        <v>0.05</v>
      </c>
      <c r="N268" s="27">
        <f>1+1</f>
        <v>2</v>
      </c>
      <c r="O268" s="31" t="s">
        <v>43</v>
      </c>
      <c r="P268" s="27">
        <f t="shared" si="69"/>
        <v>18</v>
      </c>
      <c r="Q268" s="31" t="s">
        <v>43</v>
      </c>
      <c r="R268" s="32">
        <f t="shared" si="70"/>
        <v>1705725</v>
      </c>
      <c r="S268" s="32">
        <f t="shared" si="57"/>
        <v>1536689.1891891891</v>
      </c>
    </row>
    <row r="269" spans="1:19" s="26" customFormat="1">
      <c r="A269" s="25" t="s">
        <v>257</v>
      </c>
      <c r="B269" s="26" t="s">
        <v>19</v>
      </c>
      <c r="C269" s="27">
        <v>28</v>
      </c>
      <c r="D269" s="28" t="s">
        <v>43</v>
      </c>
      <c r="E269" s="29"/>
      <c r="F269" s="30">
        <v>1</v>
      </c>
      <c r="G269" s="31" t="s">
        <v>21</v>
      </c>
      <c r="H269" s="30">
        <v>24</v>
      </c>
      <c r="I269" s="31" t="s">
        <v>43</v>
      </c>
      <c r="J269" s="32">
        <v>88200</v>
      </c>
      <c r="K269" s="28" t="s">
        <v>43</v>
      </c>
      <c r="L269" s="33">
        <v>0.125</v>
      </c>
      <c r="M269" s="33">
        <v>0.05</v>
      </c>
      <c r="N269" s="27"/>
      <c r="O269" s="31" t="s">
        <v>43</v>
      </c>
      <c r="P269" s="27">
        <f t="shared" si="69"/>
        <v>28</v>
      </c>
      <c r="Q269" s="31" t="s">
        <v>43</v>
      </c>
      <c r="R269" s="32">
        <f t="shared" si="70"/>
        <v>2052855</v>
      </c>
      <c r="S269" s="32">
        <f t="shared" si="57"/>
        <v>1849418.9189189188</v>
      </c>
    </row>
    <row r="270" spans="1:19" s="26" customFormat="1">
      <c r="A270" s="25" t="s">
        <v>258</v>
      </c>
      <c r="B270" s="26" t="s">
        <v>19</v>
      </c>
      <c r="C270" s="27">
        <v>13</v>
      </c>
      <c r="D270" s="28" t="s">
        <v>43</v>
      </c>
      <c r="E270" s="29"/>
      <c r="F270" s="30">
        <v>1</v>
      </c>
      <c r="G270" s="31" t="s">
        <v>21</v>
      </c>
      <c r="H270" s="30">
        <v>24</v>
      </c>
      <c r="I270" s="31" t="s">
        <v>43</v>
      </c>
      <c r="J270" s="32">
        <v>89400</v>
      </c>
      <c r="K270" s="28" t="s">
        <v>43</v>
      </c>
      <c r="L270" s="33">
        <v>0.125</v>
      </c>
      <c r="M270" s="33">
        <v>0.05</v>
      </c>
      <c r="N270" s="27">
        <v>11</v>
      </c>
      <c r="O270" s="31" t="s">
        <v>43</v>
      </c>
      <c r="P270" s="27">
        <f t="shared" si="69"/>
        <v>2</v>
      </c>
      <c r="Q270" s="31" t="s">
        <v>43</v>
      </c>
      <c r="R270" s="32">
        <f t="shared" si="70"/>
        <v>148627.5</v>
      </c>
      <c r="S270" s="32">
        <f t="shared" si="57"/>
        <v>133898.64864864864</v>
      </c>
    </row>
    <row r="271" spans="1:19" s="17" customFormat="1">
      <c r="A271" s="16" t="s">
        <v>259</v>
      </c>
      <c r="B271" s="17" t="s">
        <v>19</v>
      </c>
      <c r="C271" s="18">
        <v>624</v>
      </c>
      <c r="D271" s="19" t="s">
        <v>162</v>
      </c>
      <c r="E271" s="20"/>
      <c r="F271" s="21">
        <v>12</v>
      </c>
      <c r="G271" s="22" t="s">
        <v>34</v>
      </c>
      <c r="H271" s="21">
        <v>24</v>
      </c>
      <c r="I271" s="22" t="s">
        <v>162</v>
      </c>
      <c r="J271" s="23">
        <v>12000</v>
      </c>
      <c r="K271" s="19" t="s">
        <v>162</v>
      </c>
      <c r="L271" s="24">
        <v>0.125</v>
      </c>
      <c r="M271" s="24">
        <v>0.05</v>
      </c>
      <c r="N271" s="18">
        <f>(12*12)+(30*12)+120</f>
        <v>624</v>
      </c>
      <c r="O271" s="22" t="s">
        <v>162</v>
      </c>
      <c r="P271" s="18">
        <f t="shared" si="69"/>
        <v>0</v>
      </c>
      <c r="Q271" s="22" t="s">
        <v>162</v>
      </c>
      <c r="R271" s="23">
        <f t="shared" si="70"/>
        <v>0</v>
      </c>
      <c r="S271" s="23">
        <f t="shared" si="57"/>
        <v>0</v>
      </c>
    </row>
    <row r="272" spans="1:19" s="17" customFormat="1">
      <c r="A272" s="16" t="s">
        <v>260</v>
      </c>
      <c r="B272" s="17" t="s">
        <v>19</v>
      </c>
      <c r="C272" s="18"/>
      <c r="D272" s="19" t="s">
        <v>162</v>
      </c>
      <c r="E272" s="20"/>
      <c r="F272" s="21">
        <v>10</v>
      </c>
      <c r="G272" s="22" t="s">
        <v>34</v>
      </c>
      <c r="H272" s="21">
        <v>10</v>
      </c>
      <c r="I272" s="22" t="s">
        <v>162</v>
      </c>
      <c r="J272" s="23">
        <v>28000</v>
      </c>
      <c r="K272" s="19" t="s">
        <v>162</v>
      </c>
      <c r="L272" s="24">
        <v>0.125</v>
      </c>
      <c r="M272" s="24">
        <v>0.05</v>
      </c>
      <c r="N272" s="18"/>
      <c r="O272" s="22" t="s">
        <v>162</v>
      </c>
      <c r="P272" s="18">
        <f t="shared" si="69"/>
        <v>0</v>
      </c>
      <c r="Q272" s="22" t="s">
        <v>162</v>
      </c>
      <c r="R272" s="23">
        <f t="shared" si="70"/>
        <v>0</v>
      </c>
      <c r="S272" s="23">
        <f t="shared" si="57"/>
        <v>0</v>
      </c>
    </row>
    <row r="273" spans="1:20" s="17" customFormat="1">
      <c r="A273" s="16" t="s">
        <v>261</v>
      </c>
      <c r="B273" s="17" t="s">
        <v>19</v>
      </c>
      <c r="C273" s="18"/>
      <c r="D273" s="19" t="s">
        <v>162</v>
      </c>
      <c r="E273" s="20"/>
      <c r="F273" s="21">
        <v>10</v>
      </c>
      <c r="G273" s="22" t="s">
        <v>34</v>
      </c>
      <c r="H273" s="21">
        <v>10</v>
      </c>
      <c r="I273" s="22" t="s">
        <v>162</v>
      </c>
      <c r="J273" s="23">
        <v>33500</v>
      </c>
      <c r="K273" s="19" t="s">
        <v>162</v>
      </c>
      <c r="L273" s="24">
        <v>0.125</v>
      </c>
      <c r="M273" s="24">
        <v>0.05</v>
      </c>
      <c r="N273" s="18"/>
      <c r="O273" s="22" t="s">
        <v>162</v>
      </c>
      <c r="P273" s="18">
        <f t="shared" si="69"/>
        <v>0</v>
      </c>
      <c r="Q273" s="22" t="s">
        <v>162</v>
      </c>
      <c r="R273" s="23">
        <f t="shared" si="70"/>
        <v>0</v>
      </c>
      <c r="S273" s="23">
        <f t="shared" si="57"/>
        <v>0</v>
      </c>
    </row>
    <row r="274" spans="1:20" s="17" customFormat="1">
      <c r="A274" s="16" t="s">
        <v>262</v>
      </c>
      <c r="B274" s="17" t="s">
        <v>19</v>
      </c>
      <c r="C274" s="18"/>
      <c r="D274" s="19" t="s">
        <v>162</v>
      </c>
      <c r="E274" s="20"/>
      <c r="F274" s="21">
        <v>8</v>
      </c>
      <c r="G274" s="22" t="s">
        <v>34</v>
      </c>
      <c r="H274" s="21">
        <v>10</v>
      </c>
      <c r="I274" s="22" t="s">
        <v>162</v>
      </c>
      <c r="J274" s="23">
        <v>48500</v>
      </c>
      <c r="K274" s="19" t="s">
        <v>162</v>
      </c>
      <c r="L274" s="24">
        <v>0.125</v>
      </c>
      <c r="M274" s="24">
        <v>0.05</v>
      </c>
      <c r="N274" s="18"/>
      <c r="O274" s="22" t="s">
        <v>162</v>
      </c>
      <c r="P274" s="18">
        <f t="shared" si="69"/>
        <v>0</v>
      </c>
      <c r="Q274" s="22" t="s">
        <v>162</v>
      </c>
      <c r="R274" s="23">
        <f t="shared" si="70"/>
        <v>0</v>
      </c>
      <c r="S274" s="23">
        <f t="shared" si="57"/>
        <v>0</v>
      </c>
    </row>
    <row r="275" spans="1:20" s="17" customFormat="1">
      <c r="A275" s="16" t="s">
        <v>263</v>
      </c>
      <c r="B275" s="17" t="s">
        <v>19</v>
      </c>
      <c r="C275" s="18">
        <v>12</v>
      </c>
      <c r="D275" s="19" t="s">
        <v>162</v>
      </c>
      <c r="E275" s="20"/>
      <c r="F275" s="21">
        <v>10</v>
      </c>
      <c r="G275" s="22" t="s">
        <v>34</v>
      </c>
      <c r="H275" s="21">
        <v>12</v>
      </c>
      <c r="I275" s="22" t="s">
        <v>162</v>
      </c>
      <c r="J275" s="23">
        <v>17000</v>
      </c>
      <c r="K275" s="19" t="s">
        <v>162</v>
      </c>
      <c r="L275" s="24">
        <v>0.125</v>
      </c>
      <c r="M275" s="24">
        <v>0.05</v>
      </c>
      <c r="N275" s="18">
        <v>12</v>
      </c>
      <c r="O275" s="22" t="s">
        <v>162</v>
      </c>
      <c r="P275" s="18">
        <f t="shared" si="69"/>
        <v>0</v>
      </c>
      <c r="Q275" s="22" t="s">
        <v>162</v>
      </c>
      <c r="R275" s="23">
        <f t="shared" si="70"/>
        <v>0</v>
      </c>
      <c r="S275" s="23">
        <f t="shared" si="57"/>
        <v>0</v>
      </c>
    </row>
    <row r="276" spans="1:20" s="85" customFormat="1">
      <c r="A276" s="84" t="s">
        <v>264</v>
      </c>
      <c r="B276" s="85" t="s">
        <v>19</v>
      </c>
      <c r="C276" s="86">
        <v>36</v>
      </c>
      <c r="D276" s="87" t="s">
        <v>162</v>
      </c>
      <c r="E276" s="92"/>
      <c r="F276" s="88">
        <v>24</v>
      </c>
      <c r="G276" s="89" t="s">
        <v>34</v>
      </c>
      <c r="H276" s="88">
        <v>12</v>
      </c>
      <c r="I276" s="89" t="s">
        <v>162</v>
      </c>
      <c r="J276" s="90">
        <v>13300</v>
      </c>
      <c r="K276" s="87" t="s">
        <v>162</v>
      </c>
      <c r="L276" s="91">
        <v>0.125</v>
      </c>
      <c r="M276" s="91">
        <v>0.05</v>
      </c>
      <c r="N276" s="86">
        <v>12</v>
      </c>
      <c r="O276" s="89" t="s">
        <v>162</v>
      </c>
      <c r="P276" s="86">
        <f t="shared" si="69"/>
        <v>24</v>
      </c>
      <c r="Q276" s="89" t="s">
        <v>162</v>
      </c>
      <c r="R276" s="90">
        <f t="shared" si="70"/>
        <v>265335</v>
      </c>
      <c r="S276" s="32">
        <f t="shared" si="57"/>
        <v>239040.54054054053</v>
      </c>
    </row>
    <row r="277" spans="1:20" s="26" customFormat="1">
      <c r="A277" s="94" t="s">
        <v>265</v>
      </c>
      <c r="B277" s="26" t="s">
        <v>26</v>
      </c>
      <c r="C277" s="27">
        <v>60</v>
      </c>
      <c r="D277" s="28" t="s">
        <v>20</v>
      </c>
      <c r="E277" s="29"/>
      <c r="F277" s="30">
        <v>24</v>
      </c>
      <c r="G277" s="31" t="s">
        <v>43</v>
      </c>
      <c r="H277" s="30">
        <v>12</v>
      </c>
      <c r="I277" s="31" t="s">
        <v>20</v>
      </c>
      <c r="J277" s="32">
        <f>2102400/24/12</f>
        <v>7300</v>
      </c>
      <c r="K277" s="28" t="s">
        <v>20</v>
      </c>
      <c r="L277" s="33"/>
      <c r="M277" s="33">
        <v>0.17</v>
      </c>
      <c r="N277" s="27"/>
      <c r="O277" s="31" t="s">
        <v>20</v>
      </c>
      <c r="P277" s="27">
        <f t="shared" si="69"/>
        <v>60</v>
      </c>
      <c r="Q277" s="31" t="s">
        <v>20</v>
      </c>
      <c r="R277" s="32">
        <f t="shared" si="70"/>
        <v>363540</v>
      </c>
      <c r="S277" s="32">
        <f t="shared" si="57"/>
        <v>327513.51351351349</v>
      </c>
    </row>
    <row r="278" spans="1:20" s="26" customFormat="1">
      <c r="A278" s="94" t="s">
        <v>266</v>
      </c>
      <c r="B278" s="26" t="s">
        <v>26</v>
      </c>
      <c r="C278" s="27">
        <v>96</v>
      </c>
      <c r="D278" s="28" t="s">
        <v>20</v>
      </c>
      <c r="E278" s="29"/>
      <c r="F278" s="30">
        <v>24</v>
      </c>
      <c r="G278" s="31" t="s">
        <v>43</v>
      </c>
      <c r="H278" s="30">
        <v>12</v>
      </c>
      <c r="I278" s="31" t="s">
        <v>20</v>
      </c>
      <c r="J278" s="32">
        <f>2102400/24/12</f>
        <v>7300</v>
      </c>
      <c r="K278" s="28" t="s">
        <v>20</v>
      </c>
      <c r="L278" s="33"/>
      <c r="M278" s="33">
        <v>0.17</v>
      </c>
      <c r="N278" s="27"/>
      <c r="O278" s="31" t="s">
        <v>20</v>
      </c>
      <c r="P278" s="27">
        <f t="shared" si="69"/>
        <v>96</v>
      </c>
      <c r="Q278" s="31" t="s">
        <v>20</v>
      </c>
      <c r="R278" s="32">
        <f t="shared" si="70"/>
        <v>581664</v>
      </c>
      <c r="S278" s="32">
        <f t="shared" si="57"/>
        <v>524021.6216216216</v>
      </c>
    </row>
    <row r="279" spans="1:20">
      <c r="S279" s="23"/>
    </row>
    <row r="280" spans="1:20" ht="15.75">
      <c r="A280" s="14" t="s">
        <v>267</v>
      </c>
      <c r="S280" s="23"/>
    </row>
    <row r="281" spans="1:20" s="17" customFormat="1">
      <c r="A281" s="16" t="s">
        <v>268</v>
      </c>
      <c r="B281" s="17" t="s">
        <v>19</v>
      </c>
      <c r="C281" s="18"/>
      <c r="D281" s="19" t="s">
        <v>34</v>
      </c>
      <c r="E281" s="20"/>
      <c r="F281" s="21">
        <v>1</v>
      </c>
      <c r="G281" s="22" t="s">
        <v>21</v>
      </c>
      <c r="H281" s="21">
        <v>20</v>
      </c>
      <c r="I281" s="22" t="s">
        <v>34</v>
      </c>
      <c r="J281" s="23">
        <f>6200*12</f>
        <v>74400</v>
      </c>
      <c r="K281" s="19" t="s">
        <v>34</v>
      </c>
      <c r="L281" s="24">
        <v>0.125</v>
      </c>
      <c r="M281" s="24">
        <v>0.05</v>
      </c>
      <c r="N281" s="18"/>
      <c r="O281" s="22" t="s">
        <v>34</v>
      </c>
      <c r="P281" s="18">
        <f>(C281+(E281*F281*H281))-N281</f>
        <v>0</v>
      </c>
      <c r="Q281" s="22" t="s">
        <v>34</v>
      </c>
      <c r="R281" s="23">
        <f>P281*(J281-(J281*L281)-((J281-(J281*L281))*M281))</f>
        <v>0</v>
      </c>
      <c r="S281" s="23">
        <f t="shared" si="57"/>
        <v>0</v>
      </c>
    </row>
    <row r="282" spans="1:20" s="17" customFormat="1">
      <c r="A282" s="16" t="s">
        <v>269</v>
      </c>
      <c r="B282" s="17" t="s">
        <v>19</v>
      </c>
      <c r="C282" s="18"/>
      <c r="D282" s="19" t="s">
        <v>34</v>
      </c>
      <c r="E282" s="20"/>
      <c r="F282" s="21">
        <v>1</v>
      </c>
      <c r="G282" s="22" t="s">
        <v>21</v>
      </c>
      <c r="H282" s="21">
        <v>20</v>
      </c>
      <c r="I282" s="22" t="s">
        <v>34</v>
      </c>
      <c r="J282" s="23">
        <f>6800*12</f>
        <v>81600</v>
      </c>
      <c r="K282" s="19" t="s">
        <v>34</v>
      </c>
      <c r="L282" s="24">
        <v>0.125</v>
      </c>
      <c r="M282" s="24">
        <v>0.05</v>
      </c>
      <c r="N282" s="18"/>
      <c r="O282" s="22" t="s">
        <v>34</v>
      </c>
      <c r="P282" s="18">
        <f>(C282+(E282*F282*H282))-N282</f>
        <v>0</v>
      </c>
      <c r="Q282" s="22" t="s">
        <v>34</v>
      </c>
      <c r="R282" s="23">
        <f>P282*(J282-(J282*L282)-((J282-(J282*L282))*M282))</f>
        <v>0</v>
      </c>
      <c r="S282" s="23">
        <f t="shared" si="57"/>
        <v>0</v>
      </c>
    </row>
    <row r="283" spans="1:20">
      <c r="S283" s="23"/>
    </row>
    <row r="284" spans="1:20" ht="15.75">
      <c r="A284" s="14" t="s">
        <v>270</v>
      </c>
      <c r="S284" s="23"/>
    </row>
    <row r="285" spans="1:20">
      <c r="A285" s="15" t="s">
        <v>271</v>
      </c>
      <c r="S285" s="23"/>
    </row>
    <row r="286" spans="1:20" s="17" customFormat="1">
      <c r="A286" s="16" t="s">
        <v>272</v>
      </c>
      <c r="B286" s="17" t="s">
        <v>26</v>
      </c>
      <c r="C286" s="18"/>
      <c r="D286" s="19" t="s">
        <v>104</v>
      </c>
      <c r="E286" s="20"/>
      <c r="F286" s="21">
        <v>1</v>
      </c>
      <c r="G286" s="22" t="s">
        <v>21</v>
      </c>
      <c r="H286" s="21">
        <v>50</v>
      </c>
      <c r="I286" s="22" t="s">
        <v>104</v>
      </c>
      <c r="J286" s="23">
        <f>740000/50</f>
        <v>14800</v>
      </c>
      <c r="K286" s="19" t="s">
        <v>104</v>
      </c>
      <c r="L286" s="24"/>
      <c r="M286" s="24">
        <v>0.17</v>
      </c>
      <c r="N286" s="18"/>
      <c r="O286" s="22" t="s">
        <v>104</v>
      </c>
      <c r="P286" s="18">
        <f>(C286+(E286*F286*H286))-N286</f>
        <v>0</v>
      </c>
      <c r="Q286" s="22" t="s">
        <v>104</v>
      </c>
      <c r="R286" s="23">
        <f>P286*(J286-(J286*L286)-((J286-(J286*L286))*M286))</f>
        <v>0</v>
      </c>
      <c r="S286" s="23">
        <f t="shared" si="57"/>
        <v>0</v>
      </c>
    </row>
    <row r="287" spans="1:20">
      <c r="A287" s="15" t="s">
        <v>273</v>
      </c>
      <c r="S287" s="23"/>
    </row>
    <row r="288" spans="1:20" s="17" customFormat="1">
      <c r="A288" s="25" t="s">
        <v>274</v>
      </c>
      <c r="B288" s="26" t="s">
        <v>275</v>
      </c>
      <c r="C288" s="27">
        <v>250</v>
      </c>
      <c r="D288" s="28" t="s">
        <v>104</v>
      </c>
      <c r="E288" s="29"/>
      <c r="F288" s="30">
        <v>1</v>
      </c>
      <c r="G288" s="31" t="s">
        <v>21</v>
      </c>
      <c r="H288" s="30">
        <v>50</v>
      </c>
      <c r="I288" s="31" t="s">
        <v>104</v>
      </c>
      <c r="J288" s="32">
        <v>32500</v>
      </c>
      <c r="K288" s="28" t="s">
        <v>104</v>
      </c>
      <c r="L288" s="33"/>
      <c r="M288" s="33"/>
      <c r="N288" s="27"/>
      <c r="O288" s="31" t="s">
        <v>104</v>
      </c>
      <c r="P288" s="27">
        <f>(C288+(E288*F288*H288))-N288</f>
        <v>250</v>
      </c>
      <c r="Q288" s="31" t="s">
        <v>104</v>
      </c>
      <c r="R288" s="32">
        <f>P288*(J288-(J288*L288)-((J288-(J288*L288))*M288))</f>
        <v>8125000</v>
      </c>
      <c r="S288" s="32">
        <f t="shared" ref="S288:S353" si="71">R288/1.11</f>
        <v>7319819.8198198192</v>
      </c>
      <c r="T288" s="26"/>
    </row>
    <row r="289" spans="1:19">
      <c r="S289" s="23"/>
    </row>
    <row r="290" spans="1:19" ht="15.75">
      <c r="A290" s="14" t="s">
        <v>276</v>
      </c>
      <c r="S290" s="23"/>
    </row>
    <row r="291" spans="1:19" s="17" customFormat="1">
      <c r="A291" s="16" t="s">
        <v>277</v>
      </c>
      <c r="B291" s="17" t="s">
        <v>19</v>
      </c>
      <c r="C291" s="18"/>
      <c r="D291" s="19" t="s">
        <v>108</v>
      </c>
      <c r="E291" s="20"/>
      <c r="F291" s="21">
        <v>8</v>
      </c>
      <c r="G291" s="22" t="s">
        <v>34</v>
      </c>
      <c r="H291" s="21">
        <v>25</v>
      </c>
      <c r="I291" s="22" t="s">
        <v>108</v>
      </c>
      <c r="J291" s="23">
        <v>4000</v>
      </c>
      <c r="K291" s="19" t="s">
        <v>108</v>
      </c>
      <c r="L291" s="24">
        <v>0.125</v>
      </c>
      <c r="M291" s="24">
        <v>0.05</v>
      </c>
      <c r="N291" s="18"/>
      <c r="O291" s="22" t="s">
        <v>108</v>
      </c>
      <c r="P291" s="18">
        <f>(C291+(E291*F291*H291))-N291</f>
        <v>0</v>
      </c>
      <c r="Q291" s="22" t="s">
        <v>108</v>
      </c>
      <c r="R291" s="23">
        <f>P291*(J291-(J291*L291)-((J291-(J291*L291))*M291))</f>
        <v>0</v>
      </c>
      <c r="S291" s="23">
        <f t="shared" si="71"/>
        <v>0</v>
      </c>
    </row>
    <row r="292" spans="1:19" s="26" customFormat="1">
      <c r="A292" s="25" t="s">
        <v>278</v>
      </c>
      <c r="B292" s="26" t="s">
        <v>19</v>
      </c>
      <c r="C292" s="27">
        <v>8</v>
      </c>
      <c r="D292" s="28" t="s">
        <v>80</v>
      </c>
      <c r="E292" s="29"/>
      <c r="F292" s="30">
        <v>1</v>
      </c>
      <c r="G292" s="31" t="s">
        <v>21</v>
      </c>
      <c r="H292" s="30">
        <v>48</v>
      </c>
      <c r="I292" s="31" t="s">
        <v>80</v>
      </c>
      <c r="J292" s="32">
        <v>30000</v>
      </c>
      <c r="K292" s="28" t="s">
        <v>80</v>
      </c>
      <c r="L292" s="33">
        <v>0.125</v>
      </c>
      <c r="M292" s="33">
        <v>0.05</v>
      </c>
      <c r="N292" s="27"/>
      <c r="O292" s="31" t="s">
        <v>80</v>
      </c>
      <c r="P292" s="27">
        <f>(C292+(E292*F292*H292))-N292</f>
        <v>8</v>
      </c>
      <c r="Q292" s="31" t="s">
        <v>80</v>
      </c>
      <c r="R292" s="32">
        <f>P292*(J292-(J292*L292)-((J292-(J292*L292))*M292))</f>
        <v>199500</v>
      </c>
      <c r="S292" s="32">
        <f t="shared" si="71"/>
        <v>179729.7297297297</v>
      </c>
    </row>
    <row r="293" spans="1:19" s="63" customFormat="1">
      <c r="A293" s="72" t="s">
        <v>279</v>
      </c>
      <c r="B293" s="63" t="s">
        <v>19</v>
      </c>
      <c r="C293" s="64"/>
      <c r="D293" s="65" t="s">
        <v>80</v>
      </c>
      <c r="E293" s="66"/>
      <c r="F293" s="67">
        <v>1</v>
      </c>
      <c r="G293" s="68" t="s">
        <v>21</v>
      </c>
      <c r="H293" s="67">
        <v>48</v>
      </c>
      <c r="I293" s="68" t="s">
        <v>80</v>
      </c>
      <c r="J293" s="69">
        <v>22300</v>
      </c>
      <c r="K293" s="65" t="s">
        <v>80</v>
      </c>
      <c r="L293" s="70">
        <v>0.125</v>
      </c>
      <c r="M293" s="70">
        <v>0.05</v>
      </c>
      <c r="N293" s="64"/>
      <c r="O293" s="68" t="s">
        <v>80</v>
      </c>
      <c r="P293" s="64">
        <f>(C293+(E293*F293*H293))-N293</f>
        <v>0</v>
      </c>
      <c r="Q293" s="68" t="s">
        <v>80</v>
      </c>
      <c r="R293" s="69">
        <f>P293*(J293-(J293*L293)-((J293-(J293*L293))*M293))</f>
        <v>0</v>
      </c>
      <c r="S293" s="23">
        <f t="shared" si="71"/>
        <v>0</v>
      </c>
    </row>
    <row r="294" spans="1:19" s="17" customFormat="1">
      <c r="A294" s="16" t="s">
        <v>280</v>
      </c>
      <c r="B294" s="17" t="s">
        <v>26</v>
      </c>
      <c r="C294" s="18"/>
      <c r="D294" s="19" t="s">
        <v>108</v>
      </c>
      <c r="E294" s="20"/>
      <c r="F294" s="21">
        <v>80</v>
      </c>
      <c r="G294" s="22" t="s">
        <v>34</v>
      </c>
      <c r="H294" s="21">
        <v>25</v>
      </c>
      <c r="I294" s="22" t="s">
        <v>108</v>
      </c>
      <c r="J294" s="23">
        <v>4500</v>
      </c>
      <c r="K294" s="19" t="s">
        <v>108</v>
      </c>
      <c r="L294" s="24"/>
      <c r="M294" s="24">
        <v>0.17</v>
      </c>
      <c r="N294" s="18"/>
      <c r="O294" s="22" t="s">
        <v>108</v>
      </c>
      <c r="P294" s="18">
        <f>(C294+(E294*F294*H294))-N294</f>
        <v>0</v>
      </c>
      <c r="Q294" s="22" t="s">
        <v>108</v>
      </c>
      <c r="R294" s="23">
        <f>P294*(J294-(J294*L294)-((J294-(J294*L294))*M294))</f>
        <v>0</v>
      </c>
      <c r="S294" s="23">
        <f t="shared" si="71"/>
        <v>0</v>
      </c>
    </row>
    <row r="295" spans="1:19" s="17" customFormat="1">
      <c r="A295" s="16" t="s">
        <v>281</v>
      </c>
      <c r="B295" s="17" t="s">
        <v>26</v>
      </c>
      <c r="C295" s="18"/>
      <c r="D295" s="19" t="s">
        <v>80</v>
      </c>
      <c r="E295" s="20"/>
      <c r="F295" s="21">
        <v>1</v>
      </c>
      <c r="G295" s="22" t="s">
        <v>21</v>
      </c>
      <c r="H295" s="21">
        <v>48</v>
      </c>
      <c r="I295" s="22" t="s">
        <v>80</v>
      </c>
      <c r="J295" s="23">
        <v>23500</v>
      </c>
      <c r="K295" s="19" t="s">
        <v>80</v>
      </c>
      <c r="L295" s="24"/>
      <c r="M295" s="24">
        <v>0.17</v>
      </c>
      <c r="N295" s="18"/>
      <c r="O295" s="22" t="s">
        <v>80</v>
      </c>
      <c r="P295" s="18">
        <f>(C295+(E295*F295*H295))-N295</f>
        <v>0</v>
      </c>
      <c r="Q295" s="22" t="s">
        <v>80</v>
      </c>
      <c r="R295" s="23">
        <f>P295*(J295-(J295*L295)-((J295-(J295*L295))*M295))</f>
        <v>0</v>
      </c>
      <c r="S295" s="23">
        <f t="shared" si="71"/>
        <v>0</v>
      </c>
    </row>
    <row r="296" spans="1:19">
      <c r="S296" s="23"/>
    </row>
    <row r="297" spans="1:19" ht="15.75">
      <c r="A297" s="14" t="s">
        <v>282</v>
      </c>
      <c r="S297" s="23"/>
    </row>
    <row r="298" spans="1:19" s="45" customFormat="1">
      <c r="A298" s="44" t="s">
        <v>283</v>
      </c>
      <c r="B298" s="45" t="s">
        <v>19</v>
      </c>
      <c r="C298" s="46"/>
      <c r="D298" s="47" t="s">
        <v>162</v>
      </c>
      <c r="E298" s="48">
        <f>2+1</f>
        <v>3</v>
      </c>
      <c r="F298" s="49">
        <v>10</v>
      </c>
      <c r="G298" s="50" t="s">
        <v>34</v>
      </c>
      <c r="H298" s="49">
        <v>24</v>
      </c>
      <c r="I298" s="50" t="s">
        <v>162</v>
      </c>
      <c r="J298" s="51">
        <v>8800</v>
      </c>
      <c r="K298" s="47" t="s">
        <v>162</v>
      </c>
      <c r="L298" s="52">
        <v>0.125</v>
      </c>
      <c r="M298" s="52">
        <v>0.05</v>
      </c>
      <c r="N298" s="46">
        <f>50+240+240+120</f>
        <v>650</v>
      </c>
      <c r="O298" s="50" t="s">
        <v>162</v>
      </c>
      <c r="P298" s="46">
        <f t="shared" ref="P298:P303" si="72">(C298+(E298*F298*H298))-N298</f>
        <v>70</v>
      </c>
      <c r="Q298" s="50" t="s">
        <v>162</v>
      </c>
      <c r="R298" s="51">
        <f t="shared" ref="R298:R303" si="73">P298*(J298-(J298*L298)-((J298-(J298*L298))*M298))</f>
        <v>512050</v>
      </c>
      <c r="S298" s="32">
        <f t="shared" si="71"/>
        <v>461306.30630630627</v>
      </c>
    </row>
    <row r="299" spans="1:19" s="17" customFormat="1">
      <c r="A299" s="16" t="s">
        <v>284</v>
      </c>
      <c r="B299" s="17" t="s">
        <v>19</v>
      </c>
      <c r="C299" s="18">
        <v>24</v>
      </c>
      <c r="D299" s="19" t="s">
        <v>162</v>
      </c>
      <c r="E299" s="20"/>
      <c r="F299" s="21">
        <v>6</v>
      </c>
      <c r="G299" s="22" t="s">
        <v>34</v>
      </c>
      <c r="H299" s="21">
        <v>24</v>
      </c>
      <c r="I299" s="22" t="s">
        <v>162</v>
      </c>
      <c r="J299" s="23">
        <v>29500</v>
      </c>
      <c r="K299" s="19" t="s">
        <v>162</v>
      </c>
      <c r="L299" s="24">
        <v>0.125</v>
      </c>
      <c r="M299" s="24">
        <v>0.05</v>
      </c>
      <c r="N299" s="18">
        <v>24</v>
      </c>
      <c r="O299" s="22" t="s">
        <v>162</v>
      </c>
      <c r="P299" s="18">
        <f t="shared" si="72"/>
        <v>0</v>
      </c>
      <c r="Q299" s="22" t="s">
        <v>162</v>
      </c>
      <c r="R299" s="23">
        <f t="shared" si="73"/>
        <v>0</v>
      </c>
      <c r="S299" s="23">
        <f t="shared" si="71"/>
        <v>0</v>
      </c>
    </row>
    <row r="300" spans="1:19" s="26" customFormat="1">
      <c r="A300" s="25" t="s">
        <v>285</v>
      </c>
      <c r="B300" s="26" t="s">
        <v>19</v>
      </c>
      <c r="C300" s="27">
        <v>120</v>
      </c>
      <c r="D300" s="28" t="s">
        <v>162</v>
      </c>
      <c r="E300" s="29"/>
      <c r="F300" s="30">
        <v>12</v>
      </c>
      <c r="G300" s="31" t="s">
        <v>34</v>
      </c>
      <c r="H300" s="30">
        <v>12</v>
      </c>
      <c r="I300" s="31" t="s">
        <v>162</v>
      </c>
      <c r="J300" s="32">
        <v>19600</v>
      </c>
      <c r="K300" s="28" t="s">
        <v>162</v>
      </c>
      <c r="L300" s="33">
        <v>0.125</v>
      </c>
      <c r="M300" s="33">
        <v>0.05</v>
      </c>
      <c r="N300" s="27">
        <v>24</v>
      </c>
      <c r="O300" s="31" t="s">
        <v>162</v>
      </c>
      <c r="P300" s="27">
        <f t="shared" si="72"/>
        <v>96</v>
      </c>
      <c r="Q300" s="31" t="s">
        <v>162</v>
      </c>
      <c r="R300" s="32">
        <f t="shared" si="73"/>
        <v>1564080</v>
      </c>
      <c r="S300" s="32">
        <f t="shared" si="71"/>
        <v>1409081.0810810809</v>
      </c>
    </row>
    <row r="301" spans="1:19" s="17" customFormat="1">
      <c r="A301" s="16" t="s">
        <v>286</v>
      </c>
      <c r="B301" s="17" t="s">
        <v>19</v>
      </c>
      <c r="C301" s="18">
        <f>21+3</f>
        <v>24</v>
      </c>
      <c r="D301" s="19" t="s">
        <v>162</v>
      </c>
      <c r="E301" s="20"/>
      <c r="F301" s="21">
        <v>12</v>
      </c>
      <c r="G301" s="22" t="s">
        <v>34</v>
      </c>
      <c r="H301" s="21">
        <v>12</v>
      </c>
      <c r="I301" s="22" t="s">
        <v>162</v>
      </c>
      <c r="J301" s="23">
        <v>18500</v>
      </c>
      <c r="K301" s="19" t="s">
        <v>162</v>
      </c>
      <c r="L301" s="24">
        <v>0.125</v>
      </c>
      <c r="M301" s="24">
        <v>0.05</v>
      </c>
      <c r="N301" s="18">
        <v>24</v>
      </c>
      <c r="O301" s="22" t="s">
        <v>162</v>
      </c>
      <c r="P301" s="18">
        <f t="shared" si="72"/>
        <v>0</v>
      </c>
      <c r="Q301" s="22" t="s">
        <v>162</v>
      </c>
      <c r="R301" s="23">
        <f t="shared" si="73"/>
        <v>0</v>
      </c>
      <c r="S301" s="23">
        <f t="shared" si="71"/>
        <v>0</v>
      </c>
    </row>
    <row r="302" spans="1:19" s="26" customFormat="1">
      <c r="A302" s="25" t="s">
        <v>287</v>
      </c>
      <c r="B302" s="26" t="s">
        <v>19</v>
      </c>
      <c r="C302" s="27">
        <v>156</v>
      </c>
      <c r="D302" s="28" t="s">
        <v>162</v>
      </c>
      <c r="E302" s="29"/>
      <c r="F302" s="30">
        <v>10</v>
      </c>
      <c r="G302" s="31" t="s">
        <v>34</v>
      </c>
      <c r="H302" s="30">
        <v>24</v>
      </c>
      <c r="I302" s="31" t="s">
        <v>162</v>
      </c>
      <c r="J302" s="32">
        <v>10600</v>
      </c>
      <c r="K302" s="28" t="s">
        <v>162</v>
      </c>
      <c r="L302" s="33">
        <v>0.125</v>
      </c>
      <c r="M302" s="33">
        <v>0.05</v>
      </c>
      <c r="N302" s="27">
        <v>60</v>
      </c>
      <c r="O302" s="31" t="s">
        <v>162</v>
      </c>
      <c r="P302" s="27">
        <f t="shared" si="72"/>
        <v>96</v>
      </c>
      <c r="Q302" s="31" t="s">
        <v>162</v>
      </c>
      <c r="R302" s="32">
        <f t="shared" si="73"/>
        <v>845880</v>
      </c>
      <c r="S302" s="32">
        <f t="shared" si="71"/>
        <v>762054.05405405397</v>
      </c>
    </row>
    <row r="303" spans="1:19" s="26" customFormat="1">
      <c r="A303" s="25" t="s">
        <v>288</v>
      </c>
      <c r="B303" s="26" t="s">
        <v>19</v>
      </c>
      <c r="C303" s="27">
        <v>204</v>
      </c>
      <c r="D303" s="28" t="s">
        <v>162</v>
      </c>
      <c r="E303" s="29"/>
      <c r="F303" s="30">
        <v>20</v>
      </c>
      <c r="G303" s="31" t="s">
        <v>34</v>
      </c>
      <c r="H303" s="30">
        <v>12</v>
      </c>
      <c r="I303" s="31" t="s">
        <v>162</v>
      </c>
      <c r="J303" s="32">
        <v>4000</v>
      </c>
      <c r="K303" s="28" t="s">
        <v>162</v>
      </c>
      <c r="L303" s="33">
        <v>0.4</v>
      </c>
      <c r="M303" s="33">
        <v>0.05</v>
      </c>
      <c r="N303" s="27">
        <v>25</v>
      </c>
      <c r="O303" s="31" t="s">
        <v>162</v>
      </c>
      <c r="P303" s="27">
        <f t="shared" si="72"/>
        <v>179</v>
      </c>
      <c r="Q303" s="31" t="s">
        <v>162</v>
      </c>
      <c r="R303" s="32">
        <f t="shared" si="73"/>
        <v>408120</v>
      </c>
      <c r="S303" s="32">
        <f t="shared" si="71"/>
        <v>367675.67567567562</v>
      </c>
    </row>
    <row r="304" spans="1:19">
      <c r="S304" s="23"/>
    </row>
    <row r="305" spans="1:19" ht="15.75">
      <c r="A305" s="14" t="s">
        <v>289</v>
      </c>
      <c r="S305" s="23"/>
    </row>
    <row r="306" spans="1:19">
      <c r="A306" s="15" t="s">
        <v>290</v>
      </c>
      <c r="S306" s="23"/>
    </row>
    <row r="307" spans="1:19" s="45" customFormat="1">
      <c r="A307" s="44" t="s">
        <v>291</v>
      </c>
      <c r="B307" s="45" t="s">
        <v>19</v>
      </c>
      <c r="C307" s="46">
        <v>570</v>
      </c>
      <c r="D307" s="47" t="s">
        <v>292</v>
      </c>
      <c r="E307" s="48">
        <f>5+2</f>
        <v>7</v>
      </c>
      <c r="F307" s="49">
        <v>100</v>
      </c>
      <c r="G307" s="50" t="s">
        <v>104</v>
      </c>
      <c r="H307" s="49">
        <v>10</v>
      </c>
      <c r="I307" s="50" t="s">
        <v>292</v>
      </c>
      <c r="J307" s="51">
        <v>2050</v>
      </c>
      <c r="K307" s="47" t="s">
        <v>292</v>
      </c>
      <c r="L307" s="52">
        <v>0.125</v>
      </c>
      <c r="M307" s="52">
        <v>0.05</v>
      </c>
      <c r="N307" s="46">
        <f>1000+1000+(30*10)+2000+1000+2000</f>
        <v>7300</v>
      </c>
      <c r="O307" s="50" t="s">
        <v>292</v>
      </c>
      <c r="P307" s="46">
        <f t="shared" ref="P307:P318" si="74">(C307+(E307*F307*H307))-N307</f>
        <v>270</v>
      </c>
      <c r="Q307" s="50" t="s">
        <v>292</v>
      </c>
      <c r="R307" s="51">
        <f t="shared" ref="R307:R318" si="75">P307*(J307-(J307*L307)-((J307-(J307*L307))*M307))</f>
        <v>460096.875</v>
      </c>
      <c r="S307" s="51">
        <f t="shared" si="71"/>
        <v>414501.68918918917</v>
      </c>
    </row>
    <row r="308" spans="1:19" s="63" customFormat="1">
      <c r="A308" s="72" t="s">
        <v>293</v>
      </c>
      <c r="B308" s="63" t="s">
        <v>19</v>
      </c>
      <c r="C308" s="64"/>
      <c r="D308" s="65" t="s">
        <v>292</v>
      </c>
      <c r="E308" s="66"/>
      <c r="F308" s="67">
        <v>100</v>
      </c>
      <c r="G308" s="68" t="s">
        <v>104</v>
      </c>
      <c r="H308" s="67">
        <v>10</v>
      </c>
      <c r="I308" s="68" t="s">
        <v>292</v>
      </c>
      <c r="J308" s="69">
        <v>2900</v>
      </c>
      <c r="K308" s="65" t="s">
        <v>292</v>
      </c>
      <c r="L308" s="70">
        <v>0.125</v>
      </c>
      <c r="M308" s="70">
        <v>0.05</v>
      </c>
      <c r="N308" s="64"/>
      <c r="O308" s="68" t="s">
        <v>292</v>
      </c>
      <c r="P308" s="64">
        <f t="shared" si="74"/>
        <v>0</v>
      </c>
      <c r="Q308" s="68" t="s">
        <v>292</v>
      </c>
      <c r="R308" s="69">
        <f t="shared" si="75"/>
        <v>0</v>
      </c>
      <c r="S308" s="23">
        <f t="shared" si="71"/>
        <v>0</v>
      </c>
    </row>
    <row r="309" spans="1:19" s="63" customFormat="1">
      <c r="A309" s="72" t="s">
        <v>294</v>
      </c>
      <c r="B309" s="63" t="s">
        <v>19</v>
      </c>
      <c r="C309" s="64">
        <v>500</v>
      </c>
      <c r="D309" s="65" t="s">
        <v>292</v>
      </c>
      <c r="E309" s="66"/>
      <c r="F309" s="67">
        <v>50</v>
      </c>
      <c r="G309" s="68" t="s">
        <v>104</v>
      </c>
      <c r="H309" s="67">
        <v>10</v>
      </c>
      <c r="I309" s="68" t="s">
        <v>292</v>
      </c>
      <c r="J309" s="69">
        <v>3050</v>
      </c>
      <c r="K309" s="65" t="s">
        <v>292</v>
      </c>
      <c r="L309" s="70">
        <v>0.125</v>
      </c>
      <c r="M309" s="70">
        <v>0.05</v>
      </c>
      <c r="N309" s="64">
        <v>500</v>
      </c>
      <c r="O309" s="68" t="s">
        <v>292</v>
      </c>
      <c r="P309" s="64">
        <f t="shared" si="74"/>
        <v>0</v>
      </c>
      <c r="Q309" s="68" t="s">
        <v>292</v>
      </c>
      <c r="R309" s="69">
        <f t="shared" si="75"/>
        <v>0</v>
      </c>
      <c r="S309" s="69">
        <f t="shared" si="71"/>
        <v>0</v>
      </c>
    </row>
    <row r="310" spans="1:19" s="45" customFormat="1">
      <c r="A310" s="44" t="s">
        <v>295</v>
      </c>
      <c r="B310" s="45" t="s">
        <v>19</v>
      </c>
      <c r="C310" s="46"/>
      <c r="D310" s="47" t="s">
        <v>292</v>
      </c>
      <c r="E310" s="48">
        <f>1+1</f>
        <v>2</v>
      </c>
      <c r="F310" s="49">
        <v>50</v>
      </c>
      <c r="G310" s="50" t="s">
        <v>104</v>
      </c>
      <c r="H310" s="49">
        <v>10</v>
      </c>
      <c r="I310" s="50" t="s">
        <v>292</v>
      </c>
      <c r="J310" s="51">
        <v>4200</v>
      </c>
      <c r="K310" s="47" t="s">
        <v>292</v>
      </c>
      <c r="L310" s="52">
        <v>0.125</v>
      </c>
      <c r="M310" s="52">
        <v>0.05</v>
      </c>
      <c r="N310" s="46">
        <v>300</v>
      </c>
      <c r="O310" s="50" t="s">
        <v>292</v>
      </c>
      <c r="P310" s="46">
        <f t="shared" si="74"/>
        <v>700</v>
      </c>
      <c r="Q310" s="50" t="s">
        <v>292</v>
      </c>
      <c r="R310" s="51">
        <f t="shared" si="75"/>
        <v>2443875</v>
      </c>
      <c r="S310" s="51">
        <f t="shared" si="71"/>
        <v>2201689.1891891891</v>
      </c>
    </row>
    <row r="311" spans="1:19" s="45" customFormat="1">
      <c r="A311" s="108" t="s">
        <v>296</v>
      </c>
      <c r="B311" s="45" t="s">
        <v>19</v>
      </c>
      <c r="C311" s="46">
        <v>1500</v>
      </c>
      <c r="D311" s="47" t="s">
        <v>292</v>
      </c>
      <c r="E311" s="48"/>
      <c r="F311" s="49">
        <v>50</v>
      </c>
      <c r="G311" s="50" t="s">
        <v>104</v>
      </c>
      <c r="H311" s="49">
        <v>10</v>
      </c>
      <c r="I311" s="50" t="s">
        <v>292</v>
      </c>
      <c r="J311" s="51">
        <v>4300</v>
      </c>
      <c r="K311" s="47" t="s">
        <v>292</v>
      </c>
      <c r="L311" s="52">
        <v>0.125</v>
      </c>
      <c r="M311" s="52">
        <v>0.05</v>
      </c>
      <c r="N311" s="46"/>
      <c r="O311" s="50" t="s">
        <v>292</v>
      </c>
      <c r="P311" s="46">
        <f t="shared" si="74"/>
        <v>1500</v>
      </c>
      <c r="Q311" s="50" t="s">
        <v>292</v>
      </c>
      <c r="R311" s="51">
        <f t="shared" si="75"/>
        <v>5361562.5</v>
      </c>
      <c r="S311" s="32">
        <f t="shared" si="71"/>
        <v>4830236.4864864862</v>
      </c>
    </row>
    <row r="312" spans="1:19" s="17" customFormat="1">
      <c r="A312" s="109" t="s">
        <v>297</v>
      </c>
      <c r="B312" s="17" t="s">
        <v>19</v>
      </c>
      <c r="C312" s="18"/>
      <c r="D312" s="19" t="s">
        <v>292</v>
      </c>
      <c r="E312" s="20"/>
      <c r="F312" s="21">
        <v>100</v>
      </c>
      <c r="G312" s="22" t="s">
        <v>104</v>
      </c>
      <c r="H312" s="21">
        <v>10</v>
      </c>
      <c r="I312" s="22" t="s">
        <v>292</v>
      </c>
      <c r="J312" s="23">
        <v>3000</v>
      </c>
      <c r="K312" s="19" t="s">
        <v>292</v>
      </c>
      <c r="L312" s="24">
        <v>0.125</v>
      </c>
      <c r="M312" s="24">
        <v>0.05</v>
      </c>
      <c r="N312" s="18"/>
      <c r="O312" s="22" t="s">
        <v>292</v>
      </c>
      <c r="P312" s="18">
        <f t="shared" si="74"/>
        <v>0</v>
      </c>
      <c r="Q312" s="22" t="s">
        <v>292</v>
      </c>
      <c r="R312" s="23">
        <f t="shared" si="75"/>
        <v>0</v>
      </c>
      <c r="S312" s="23">
        <f t="shared" si="71"/>
        <v>0</v>
      </c>
    </row>
    <row r="313" spans="1:19" s="17" customFormat="1">
      <c r="A313" s="109" t="s">
        <v>298</v>
      </c>
      <c r="B313" s="17" t="s">
        <v>19</v>
      </c>
      <c r="C313" s="18"/>
      <c r="D313" s="19" t="s">
        <v>292</v>
      </c>
      <c r="E313" s="20"/>
      <c r="F313" s="21">
        <v>100</v>
      </c>
      <c r="G313" s="22" t="s">
        <v>104</v>
      </c>
      <c r="H313" s="21">
        <v>10</v>
      </c>
      <c r="I313" s="22" t="s">
        <v>292</v>
      </c>
      <c r="J313" s="23">
        <v>3000</v>
      </c>
      <c r="K313" s="19" t="s">
        <v>292</v>
      </c>
      <c r="L313" s="24">
        <v>0.125</v>
      </c>
      <c r="M313" s="24">
        <v>0.05</v>
      </c>
      <c r="N313" s="18"/>
      <c r="O313" s="22" t="s">
        <v>292</v>
      </c>
      <c r="P313" s="18">
        <f t="shared" si="74"/>
        <v>0</v>
      </c>
      <c r="Q313" s="22" t="s">
        <v>292</v>
      </c>
      <c r="R313" s="23">
        <f t="shared" si="75"/>
        <v>0</v>
      </c>
      <c r="S313" s="23">
        <f t="shared" si="71"/>
        <v>0</v>
      </c>
    </row>
    <row r="314" spans="1:19" s="17" customFormat="1">
      <c r="A314" s="109" t="s">
        <v>299</v>
      </c>
      <c r="B314" s="17" t="s">
        <v>19</v>
      </c>
      <c r="C314" s="18"/>
      <c r="D314" s="19" t="s">
        <v>292</v>
      </c>
      <c r="E314" s="20"/>
      <c r="F314" s="21">
        <v>50</v>
      </c>
      <c r="G314" s="22" t="s">
        <v>104</v>
      </c>
      <c r="H314" s="21">
        <v>10</v>
      </c>
      <c r="I314" s="22" t="s">
        <v>292</v>
      </c>
      <c r="J314" s="23">
        <v>4300</v>
      </c>
      <c r="K314" s="19" t="s">
        <v>292</v>
      </c>
      <c r="L314" s="24">
        <v>0.125</v>
      </c>
      <c r="M314" s="24">
        <v>0.05</v>
      </c>
      <c r="N314" s="18"/>
      <c r="O314" s="22" t="s">
        <v>292</v>
      </c>
      <c r="P314" s="18">
        <f t="shared" si="74"/>
        <v>0</v>
      </c>
      <c r="Q314" s="22" t="s">
        <v>292</v>
      </c>
      <c r="R314" s="23">
        <f t="shared" si="75"/>
        <v>0</v>
      </c>
      <c r="S314" s="23">
        <f t="shared" si="71"/>
        <v>0</v>
      </c>
    </row>
    <row r="315" spans="1:19" s="17" customFormat="1">
      <c r="A315" s="109" t="s">
        <v>300</v>
      </c>
      <c r="B315" s="17" t="s">
        <v>19</v>
      </c>
      <c r="C315" s="18"/>
      <c r="D315" s="19" t="s">
        <v>104</v>
      </c>
      <c r="E315" s="20"/>
      <c r="F315" s="21">
        <v>1</v>
      </c>
      <c r="G315" s="22" t="s">
        <v>21</v>
      </c>
      <c r="H315" s="21">
        <v>50</v>
      </c>
      <c r="I315" s="22" t="s">
        <v>104</v>
      </c>
      <c r="J315" s="23">
        <v>15500</v>
      </c>
      <c r="K315" s="19" t="s">
        <v>104</v>
      </c>
      <c r="L315" s="24">
        <v>0.125</v>
      </c>
      <c r="M315" s="24">
        <v>0.05</v>
      </c>
      <c r="N315" s="18"/>
      <c r="O315" s="22" t="s">
        <v>104</v>
      </c>
      <c r="P315" s="18">
        <f t="shared" si="74"/>
        <v>0</v>
      </c>
      <c r="Q315" s="22" t="s">
        <v>104</v>
      </c>
      <c r="R315" s="23">
        <f t="shared" si="75"/>
        <v>0</v>
      </c>
      <c r="S315" s="23">
        <f t="shared" si="71"/>
        <v>0</v>
      </c>
    </row>
    <row r="316" spans="1:19" s="63" customFormat="1">
      <c r="A316" s="95" t="s">
        <v>301</v>
      </c>
      <c r="B316" s="96" t="s">
        <v>26</v>
      </c>
      <c r="C316" s="97">
        <v>200</v>
      </c>
      <c r="D316" s="98" t="s">
        <v>302</v>
      </c>
      <c r="E316" s="105"/>
      <c r="F316" s="100">
        <v>1</v>
      </c>
      <c r="G316" s="101" t="s">
        <v>21</v>
      </c>
      <c r="H316" s="100">
        <v>50</v>
      </c>
      <c r="I316" s="101" t="s">
        <v>302</v>
      </c>
      <c r="J316" s="102">
        <f>975000/50</f>
        <v>19500</v>
      </c>
      <c r="K316" s="98" t="s">
        <v>302</v>
      </c>
      <c r="L316" s="103"/>
      <c r="M316" s="103">
        <v>0.17</v>
      </c>
      <c r="N316" s="97">
        <f>(500/10)+(1000/10)+(500/10)</f>
        <v>200</v>
      </c>
      <c r="O316" s="101" t="s">
        <v>302</v>
      </c>
      <c r="P316" s="97">
        <f t="shared" si="74"/>
        <v>0</v>
      </c>
      <c r="Q316" s="101" t="s">
        <v>302</v>
      </c>
      <c r="R316" s="102">
        <f t="shared" si="75"/>
        <v>0</v>
      </c>
      <c r="S316" s="102">
        <f t="shared" si="71"/>
        <v>0</v>
      </c>
    </row>
    <row r="317" spans="1:19" s="45" customFormat="1">
      <c r="A317" s="35" t="s">
        <v>301</v>
      </c>
      <c r="B317" s="36" t="s">
        <v>26</v>
      </c>
      <c r="C317" s="37"/>
      <c r="D317" s="38" t="s">
        <v>302</v>
      </c>
      <c r="E317" s="39">
        <f>10+5</f>
        <v>15</v>
      </c>
      <c r="F317" s="40">
        <v>1</v>
      </c>
      <c r="G317" s="41" t="s">
        <v>21</v>
      </c>
      <c r="H317" s="40">
        <v>50</v>
      </c>
      <c r="I317" s="41" t="s">
        <v>302</v>
      </c>
      <c r="J317" s="42">
        <f>1050000/50</f>
        <v>21000</v>
      </c>
      <c r="K317" s="38" t="s">
        <v>302</v>
      </c>
      <c r="L317" s="43"/>
      <c r="M317" s="43">
        <v>0.17</v>
      </c>
      <c r="N317" s="37">
        <f>30+(500/10)+(1000/10)+(1500/10)+(500/10)+(500/10)</f>
        <v>430</v>
      </c>
      <c r="O317" s="41" t="s">
        <v>302</v>
      </c>
      <c r="P317" s="37">
        <f t="shared" ref="P317" si="76">(C317+(E317*F317*H317))-N317</f>
        <v>320</v>
      </c>
      <c r="Q317" s="41" t="s">
        <v>302</v>
      </c>
      <c r="R317" s="42">
        <f t="shared" ref="R317" si="77">P317*(J317-(J317*L317)-((J317-(J317*L317))*M317))</f>
        <v>5577600</v>
      </c>
      <c r="S317" s="42">
        <f t="shared" ref="S317" si="78">R317/1.11</f>
        <v>5024864.8648648644</v>
      </c>
    </row>
    <row r="318" spans="1:19">
      <c r="A318" s="34" t="s">
        <v>303</v>
      </c>
      <c r="B318" s="2" t="s">
        <v>26</v>
      </c>
      <c r="C318" s="3">
        <v>40</v>
      </c>
      <c r="D318" s="4" t="s">
        <v>302</v>
      </c>
      <c r="E318" s="5">
        <v>10</v>
      </c>
      <c r="F318" s="6">
        <v>1</v>
      </c>
      <c r="G318" s="7" t="s">
        <v>21</v>
      </c>
      <c r="H318" s="6">
        <v>50</v>
      </c>
      <c r="I318" s="7" t="s">
        <v>302</v>
      </c>
      <c r="J318" s="8">
        <f>1275000/50</f>
        <v>25500</v>
      </c>
      <c r="K318" s="4" t="s">
        <v>302</v>
      </c>
      <c r="M318" s="9">
        <v>0.17</v>
      </c>
      <c r="N318" s="3">
        <f>(500/10)+20+(500/10)+(500/10)+(500/10)</f>
        <v>220</v>
      </c>
      <c r="O318" s="7" t="s">
        <v>302</v>
      </c>
      <c r="P318" s="3">
        <f t="shared" si="74"/>
        <v>320</v>
      </c>
      <c r="Q318" s="7" t="s">
        <v>302</v>
      </c>
      <c r="R318" s="8">
        <f t="shared" si="75"/>
        <v>6772800</v>
      </c>
      <c r="S318" s="32">
        <f t="shared" si="71"/>
        <v>6101621.6216216208</v>
      </c>
    </row>
    <row r="319" spans="1:19">
      <c r="A319" s="15" t="s">
        <v>304</v>
      </c>
      <c r="S319" s="23"/>
    </row>
    <row r="320" spans="1:19" s="63" customFormat="1">
      <c r="A320" s="72" t="s">
        <v>305</v>
      </c>
      <c r="B320" s="63" t="s">
        <v>19</v>
      </c>
      <c r="C320" s="64"/>
      <c r="D320" s="65" t="s">
        <v>20</v>
      </c>
      <c r="E320" s="66">
        <v>1</v>
      </c>
      <c r="F320" s="67">
        <v>1</v>
      </c>
      <c r="G320" s="68" t="s">
        <v>21</v>
      </c>
      <c r="H320" s="67">
        <v>20</v>
      </c>
      <c r="I320" s="68" t="s">
        <v>20</v>
      </c>
      <c r="J320" s="69">
        <v>40500</v>
      </c>
      <c r="K320" s="65" t="s">
        <v>20</v>
      </c>
      <c r="L320" s="70">
        <v>0.125</v>
      </c>
      <c r="M320" s="70">
        <v>0.05</v>
      </c>
      <c r="N320" s="64">
        <v>20</v>
      </c>
      <c r="O320" s="68" t="s">
        <v>20</v>
      </c>
      <c r="P320" s="64">
        <f t="shared" ref="P320:P323" si="79">(C320+(E320*F320*H320))-N320</f>
        <v>0</v>
      </c>
      <c r="Q320" s="68" t="s">
        <v>20</v>
      </c>
      <c r="R320" s="69">
        <f t="shared" ref="R320:R323" si="80">P320*(J320-(J320*L320)-((J320-(J320*L320))*M320))</f>
        <v>0</v>
      </c>
      <c r="S320" s="69">
        <f t="shared" si="71"/>
        <v>0</v>
      </c>
    </row>
    <row r="321" spans="1:19" s="45" customFormat="1">
      <c r="A321" s="44" t="s">
        <v>306</v>
      </c>
      <c r="B321" s="45" t="s">
        <v>26</v>
      </c>
      <c r="C321" s="46">
        <v>4</v>
      </c>
      <c r="D321" s="47" t="s">
        <v>20</v>
      </c>
      <c r="E321" s="48">
        <f>2+2</f>
        <v>4</v>
      </c>
      <c r="F321" s="49">
        <v>1</v>
      </c>
      <c r="G321" s="50" t="s">
        <v>21</v>
      </c>
      <c r="H321" s="49">
        <v>50</v>
      </c>
      <c r="I321" s="50" t="s">
        <v>20</v>
      </c>
      <c r="J321" s="51">
        <f>2250000/50</f>
        <v>45000</v>
      </c>
      <c r="K321" s="47" t="s">
        <v>20</v>
      </c>
      <c r="L321" s="52"/>
      <c r="M321" s="52">
        <v>0.17</v>
      </c>
      <c r="N321" s="46">
        <f>25+20+12+12+6+10+24+49</f>
        <v>158</v>
      </c>
      <c r="O321" s="50" t="s">
        <v>20</v>
      </c>
      <c r="P321" s="46">
        <f t="shared" si="79"/>
        <v>46</v>
      </c>
      <c r="Q321" s="50" t="s">
        <v>20</v>
      </c>
      <c r="R321" s="51">
        <f t="shared" si="80"/>
        <v>1718100</v>
      </c>
      <c r="S321" s="51">
        <f t="shared" si="71"/>
        <v>1547837.8378378376</v>
      </c>
    </row>
    <row r="322" spans="1:19" s="85" customFormat="1">
      <c r="A322" s="84" t="s">
        <v>307</v>
      </c>
      <c r="B322" s="85" t="s">
        <v>26</v>
      </c>
      <c r="C322" s="86">
        <v>21</v>
      </c>
      <c r="D322" s="87" t="s">
        <v>20</v>
      </c>
      <c r="E322" s="92"/>
      <c r="F322" s="88">
        <v>1</v>
      </c>
      <c r="G322" s="89" t="s">
        <v>21</v>
      </c>
      <c r="H322" s="88">
        <v>50</v>
      </c>
      <c r="I322" s="89" t="s">
        <v>20</v>
      </c>
      <c r="J322" s="90">
        <f>2750000/50</f>
        <v>55000</v>
      </c>
      <c r="K322" s="87" t="s">
        <v>20</v>
      </c>
      <c r="L322" s="91"/>
      <c r="M322" s="91">
        <v>0.17</v>
      </c>
      <c r="N322" s="86">
        <v>10</v>
      </c>
      <c r="O322" s="89" t="s">
        <v>20</v>
      </c>
      <c r="P322" s="86">
        <f t="shared" si="79"/>
        <v>11</v>
      </c>
      <c r="Q322" s="89" t="s">
        <v>20</v>
      </c>
      <c r="R322" s="90">
        <f t="shared" si="80"/>
        <v>502150</v>
      </c>
      <c r="S322" s="32">
        <f t="shared" si="71"/>
        <v>452387.38738738734</v>
      </c>
    </row>
    <row r="323" spans="1:19" s="26" customFormat="1">
      <c r="A323" s="94" t="s">
        <v>308</v>
      </c>
      <c r="B323" s="26" t="s">
        <v>26</v>
      </c>
      <c r="C323" s="27">
        <v>69</v>
      </c>
      <c r="D323" s="28" t="s">
        <v>20</v>
      </c>
      <c r="E323" s="29"/>
      <c r="F323" s="30">
        <v>1</v>
      </c>
      <c r="G323" s="31" t="s">
        <v>21</v>
      </c>
      <c r="H323" s="30">
        <v>50</v>
      </c>
      <c r="I323" s="31" t="s">
        <v>20</v>
      </c>
      <c r="J323" s="32">
        <f>4750000/50</f>
        <v>95000</v>
      </c>
      <c r="K323" s="28" t="s">
        <v>20</v>
      </c>
      <c r="L323" s="33"/>
      <c r="M323" s="33">
        <v>0.17</v>
      </c>
      <c r="N323" s="27">
        <v>5</v>
      </c>
      <c r="O323" s="31" t="s">
        <v>20</v>
      </c>
      <c r="P323" s="27">
        <f t="shared" si="79"/>
        <v>64</v>
      </c>
      <c r="Q323" s="31" t="s">
        <v>20</v>
      </c>
      <c r="R323" s="32">
        <f t="shared" si="80"/>
        <v>5046400</v>
      </c>
      <c r="S323" s="32">
        <f t="shared" si="71"/>
        <v>4546306.3063063063</v>
      </c>
    </row>
    <row r="324" spans="1:19">
      <c r="S324" s="23"/>
    </row>
    <row r="325" spans="1:19" ht="15.75">
      <c r="A325" s="14" t="s">
        <v>309</v>
      </c>
      <c r="S325" s="23"/>
    </row>
    <row r="326" spans="1:19" s="17" customFormat="1">
      <c r="A326" s="16" t="s">
        <v>310</v>
      </c>
      <c r="B326" s="17" t="s">
        <v>19</v>
      </c>
      <c r="C326" s="18"/>
      <c r="D326" s="19" t="s">
        <v>104</v>
      </c>
      <c r="E326" s="20">
        <v>2</v>
      </c>
      <c r="F326" s="21">
        <v>1</v>
      </c>
      <c r="G326" s="22" t="s">
        <v>21</v>
      </c>
      <c r="H326" s="21">
        <v>10</v>
      </c>
      <c r="I326" s="22" t="s">
        <v>104</v>
      </c>
      <c r="J326" s="23">
        <v>114000</v>
      </c>
      <c r="K326" s="19" t="s">
        <v>104</v>
      </c>
      <c r="L326" s="24">
        <v>0.125</v>
      </c>
      <c r="M326" s="24">
        <v>0.05</v>
      </c>
      <c r="N326" s="18">
        <v>20</v>
      </c>
      <c r="O326" s="22" t="s">
        <v>104</v>
      </c>
      <c r="P326" s="18">
        <f>(C326+(E326*F326*H326))-N326</f>
        <v>0</v>
      </c>
      <c r="Q326" s="22" t="s">
        <v>104</v>
      </c>
      <c r="R326" s="23">
        <f>P326*(J326-(J326*L326)-((J326-(J326*L326))*M326))</f>
        <v>0</v>
      </c>
      <c r="S326" s="23">
        <f t="shared" si="71"/>
        <v>0</v>
      </c>
    </row>
    <row r="327" spans="1:19" s="26" customFormat="1">
      <c r="A327" s="25" t="s">
        <v>311</v>
      </c>
      <c r="B327" s="26" t="s">
        <v>26</v>
      </c>
      <c r="C327" s="27">
        <v>100</v>
      </c>
      <c r="D327" s="28" t="s">
        <v>104</v>
      </c>
      <c r="E327" s="29">
        <f>2+5+6</f>
        <v>13</v>
      </c>
      <c r="F327" s="30">
        <v>1</v>
      </c>
      <c r="G327" s="31" t="s">
        <v>21</v>
      </c>
      <c r="H327" s="30">
        <v>10</v>
      </c>
      <c r="I327" s="31" t="s">
        <v>104</v>
      </c>
      <c r="J327" s="32">
        <f>1150000/10</f>
        <v>115000</v>
      </c>
      <c r="K327" s="28" t="s">
        <v>104</v>
      </c>
      <c r="L327" s="33"/>
      <c r="M327" s="33">
        <v>0.17</v>
      </c>
      <c r="N327" s="27">
        <f>10+10+20+10+50</f>
        <v>100</v>
      </c>
      <c r="O327" s="31" t="s">
        <v>104</v>
      </c>
      <c r="P327" s="27">
        <f>(C327+(E327*F327*H327))-N327</f>
        <v>130</v>
      </c>
      <c r="Q327" s="31" t="s">
        <v>104</v>
      </c>
      <c r="R327" s="32">
        <f>P327*(J327-(J327*L327)-((J327-(J327*L327))*M327))</f>
        <v>12408500</v>
      </c>
      <c r="S327" s="32">
        <f t="shared" si="71"/>
        <v>11178828.828828828</v>
      </c>
    </row>
    <row r="328" spans="1:19">
      <c r="S328" s="23"/>
    </row>
    <row r="329" spans="1:19" ht="15.75">
      <c r="A329" s="14" t="s">
        <v>312</v>
      </c>
      <c r="S329" s="23"/>
    </row>
    <row r="330" spans="1:19">
      <c r="A330" s="15" t="s">
        <v>313</v>
      </c>
      <c r="S330" s="23"/>
    </row>
    <row r="331" spans="1:19" s="17" customFormat="1">
      <c r="A331" s="16" t="s">
        <v>314</v>
      </c>
      <c r="B331" s="17" t="s">
        <v>19</v>
      </c>
      <c r="C331" s="18"/>
      <c r="D331" s="19" t="s">
        <v>43</v>
      </c>
      <c r="E331" s="20"/>
      <c r="F331" s="21">
        <v>48</v>
      </c>
      <c r="G331" s="22" t="s">
        <v>34</v>
      </c>
      <c r="H331" s="21">
        <v>1</v>
      </c>
      <c r="I331" s="22" t="s">
        <v>43</v>
      </c>
      <c r="J331" s="23">
        <f>1625*12</f>
        <v>19500</v>
      </c>
      <c r="K331" s="19" t="s">
        <v>43</v>
      </c>
      <c r="L331" s="24">
        <v>0.125</v>
      </c>
      <c r="M331" s="24">
        <v>0.05</v>
      </c>
      <c r="N331" s="18"/>
      <c r="O331" s="22" t="s">
        <v>43</v>
      </c>
      <c r="P331" s="18">
        <f t="shared" ref="P331:P338" si="81">(C331+(E331*F331*H331))-N331</f>
        <v>0</v>
      </c>
      <c r="Q331" s="22" t="s">
        <v>43</v>
      </c>
      <c r="R331" s="23">
        <f t="shared" ref="R331:R338" si="82">P331*(J331-(J331*L331)-((J331-(J331*L331))*M331))</f>
        <v>0</v>
      </c>
      <c r="S331" s="23">
        <f t="shared" si="71"/>
        <v>0</v>
      </c>
    </row>
    <row r="332" spans="1:19" s="26" customFormat="1">
      <c r="A332" s="25" t="s">
        <v>828</v>
      </c>
      <c r="B332" s="26" t="s">
        <v>19</v>
      </c>
      <c r="C332" s="27"/>
      <c r="D332" s="28" t="s">
        <v>43</v>
      </c>
      <c r="E332" s="29">
        <v>2</v>
      </c>
      <c r="F332" s="30">
        <v>24</v>
      </c>
      <c r="G332" s="31" t="s">
        <v>34</v>
      </c>
      <c r="H332" s="30">
        <v>1</v>
      </c>
      <c r="I332" s="31" t="s">
        <v>43</v>
      </c>
      <c r="J332" s="32">
        <f>2500*12</f>
        <v>30000</v>
      </c>
      <c r="K332" s="28" t="s">
        <v>43</v>
      </c>
      <c r="L332" s="33">
        <v>0.125</v>
      </c>
      <c r="M332" s="33">
        <v>0.05</v>
      </c>
      <c r="N332" s="27">
        <v>24</v>
      </c>
      <c r="O332" s="31" t="s">
        <v>43</v>
      </c>
      <c r="P332" s="27">
        <f t="shared" ref="P332" si="83">(C332+(E332*F332*H332))-N332</f>
        <v>24</v>
      </c>
      <c r="Q332" s="31" t="s">
        <v>43</v>
      </c>
      <c r="R332" s="32">
        <f t="shared" ref="R332" si="84">P332*(J332-(J332*L332)-((J332-(J332*L332))*M332))</f>
        <v>598500</v>
      </c>
      <c r="S332" s="32">
        <f t="shared" ref="S332" si="85">R332/1.11</f>
        <v>539189.18918918911</v>
      </c>
    </row>
    <row r="333" spans="1:19" s="17" customFormat="1">
      <c r="A333" s="71" t="s">
        <v>315</v>
      </c>
      <c r="B333" s="17" t="s">
        <v>19</v>
      </c>
      <c r="C333" s="18"/>
      <c r="D333" s="19" t="s">
        <v>43</v>
      </c>
      <c r="E333" s="20">
        <v>1</v>
      </c>
      <c r="F333" s="21">
        <v>48</v>
      </c>
      <c r="G333" s="22" t="s">
        <v>34</v>
      </c>
      <c r="H333" s="21">
        <v>1</v>
      </c>
      <c r="I333" s="22" t="s">
        <v>43</v>
      </c>
      <c r="J333" s="23">
        <f>1550*12</f>
        <v>18600</v>
      </c>
      <c r="K333" s="19" t="s">
        <v>43</v>
      </c>
      <c r="L333" s="24">
        <v>0.125</v>
      </c>
      <c r="M333" s="24">
        <v>0.05</v>
      </c>
      <c r="N333" s="18">
        <v>48</v>
      </c>
      <c r="O333" s="22" t="s">
        <v>43</v>
      </c>
      <c r="P333" s="18">
        <f t="shared" si="81"/>
        <v>0</v>
      </c>
      <c r="Q333" s="22" t="s">
        <v>43</v>
      </c>
      <c r="R333" s="23">
        <f t="shared" si="82"/>
        <v>0</v>
      </c>
      <c r="S333" s="23">
        <f t="shared" si="71"/>
        <v>0</v>
      </c>
    </row>
    <row r="334" spans="1:19" s="26" customFormat="1">
      <c r="A334" s="110" t="s">
        <v>316</v>
      </c>
      <c r="B334" s="26" t="s">
        <v>19</v>
      </c>
      <c r="C334" s="27"/>
      <c r="D334" s="28" t="s">
        <v>43</v>
      </c>
      <c r="E334" s="29">
        <v>1</v>
      </c>
      <c r="F334" s="30">
        <v>24</v>
      </c>
      <c r="G334" s="31" t="s">
        <v>34</v>
      </c>
      <c r="H334" s="30">
        <v>1</v>
      </c>
      <c r="I334" s="31" t="s">
        <v>43</v>
      </c>
      <c r="J334" s="32">
        <f>2150*12</f>
        <v>25800</v>
      </c>
      <c r="K334" s="28" t="s">
        <v>43</v>
      </c>
      <c r="L334" s="33">
        <v>0.125</v>
      </c>
      <c r="M334" s="33">
        <v>0.05</v>
      </c>
      <c r="N334" s="27"/>
      <c r="O334" s="31" t="s">
        <v>43</v>
      </c>
      <c r="P334" s="27">
        <f t="shared" si="81"/>
        <v>24</v>
      </c>
      <c r="Q334" s="31" t="s">
        <v>43</v>
      </c>
      <c r="R334" s="32">
        <f t="shared" si="82"/>
        <v>514710</v>
      </c>
      <c r="S334" s="32">
        <f t="shared" si="71"/>
        <v>463702.70270270266</v>
      </c>
    </row>
    <row r="335" spans="1:19" s="17" customFormat="1">
      <c r="A335" s="16" t="s">
        <v>317</v>
      </c>
      <c r="B335" s="17" t="s">
        <v>19</v>
      </c>
      <c r="C335" s="18"/>
      <c r="D335" s="19" t="s">
        <v>43</v>
      </c>
      <c r="E335" s="20"/>
      <c r="F335" s="21">
        <v>24</v>
      </c>
      <c r="G335" s="22" t="s">
        <v>34</v>
      </c>
      <c r="H335" s="21">
        <v>1</v>
      </c>
      <c r="I335" s="22" t="s">
        <v>43</v>
      </c>
      <c r="J335" s="23">
        <f>3000*12</f>
        <v>36000</v>
      </c>
      <c r="K335" s="19" t="s">
        <v>43</v>
      </c>
      <c r="L335" s="24">
        <v>0.125</v>
      </c>
      <c r="M335" s="24">
        <v>0.05</v>
      </c>
      <c r="N335" s="18"/>
      <c r="O335" s="22" t="s">
        <v>43</v>
      </c>
      <c r="P335" s="18">
        <f t="shared" si="81"/>
        <v>0</v>
      </c>
      <c r="Q335" s="22" t="s">
        <v>43</v>
      </c>
      <c r="R335" s="23">
        <f t="shared" si="82"/>
        <v>0</v>
      </c>
      <c r="S335" s="23">
        <f t="shared" si="71"/>
        <v>0</v>
      </c>
    </row>
    <row r="336" spans="1:19" s="63" customFormat="1">
      <c r="A336" s="72" t="s">
        <v>318</v>
      </c>
      <c r="B336" s="63" t="s">
        <v>26</v>
      </c>
      <c r="C336" s="64"/>
      <c r="D336" s="65" t="s">
        <v>43</v>
      </c>
      <c r="E336" s="66"/>
      <c r="F336" s="67">
        <v>1</v>
      </c>
      <c r="G336" s="68" t="s">
        <v>21</v>
      </c>
      <c r="H336" s="67">
        <v>20</v>
      </c>
      <c r="I336" s="68" t="s">
        <v>43</v>
      </c>
      <c r="J336" s="69">
        <f>396000/20</f>
        <v>19800</v>
      </c>
      <c r="K336" s="65" t="s">
        <v>43</v>
      </c>
      <c r="L336" s="70"/>
      <c r="M336" s="70">
        <v>0.17</v>
      </c>
      <c r="N336" s="64"/>
      <c r="O336" s="68" t="s">
        <v>43</v>
      </c>
      <c r="P336" s="64">
        <f t="shared" si="81"/>
        <v>0</v>
      </c>
      <c r="Q336" s="68" t="s">
        <v>43</v>
      </c>
      <c r="R336" s="69">
        <f t="shared" si="82"/>
        <v>0</v>
      </c>
      <c r="S336" s="23">
        <f t="shared" si="71"/>
        <v>0</v>
      </c>
    </row>
    <row r="337" spans="1:19" s="45" customFormat="1">
      <c r="A337" s="44" t="s">
        <v>319</v>
      </c>
      <c r="B337" s="45" t="s">
        <v>26</v>
      </c>
      <c r="C337" s="46">
        <v>25</v>
      </c>
      <c r="D337" s="47" t="s">
        <v>43</v>
      </c>
      <c r="E337" s="48">
        <f>5+10</f>
        <v>15</v>
      </c>
      <c r="F337" s="49">
        <v>1</v>
      </c>
      <c r="G337" s="50" t="s">
        <v>21</v>
      </c>
      <c r="H337" s="49">
        <v>20</v>
      </c>
      <c r="I337" s="50" t="s">
        <v>43</v>
      </c>
      <c r="J337" s="51">
        <f>504000/20</f>
        <v>25200</v>
      </c>
      <c r="K337" s="47" t="s">
        <v>43</v>
      </c>
      <c r="L337" s="52"/>
      <c r="M337" s="52">
        <v>0.17</v>
      </c>
      <c r="N337" s="46">
        <f>3+20+10+1+10+20+20+40+20+20+1</f>
        <v>165</v>
      </c>
      <c r="O337" s="50" t="s">
        <v>43</v>
      </c>
      <c r="P337" s="46">
        <f t="shared" si="81"/>
        <v>160</v>
      </c>
      <c r="Q337" s="50" t="s">
        <v>43</v>
      </c>
      <c r="R337" s="51">
        <f t="shared" si="82"/>
        <v>3346560</v>
      </c>
      <c r="S337" s="32">
        <f t="shared" si="71"/>
        <v>3014918.9189189188</v>
      </c>
    </row>
    <row r="338" spans="1:19" s="63" customFormat="1">
      <c r="A338" s="72" t="s">
        <v>320</v>
      </c>
      <c r="B338" s="63" t="s">
        <v>26</v>
      </c>
      <c r="C338" s="64"/>
      <c r="D338" s="65" t="s">
        <v>43</v>
      </c>
      <c r="E338" s="66"/>
      <c r="F338" s="67">
        <v>1</v>
      </c>
      <c r="G338" s="68" t="s">
        <v>21</v>
      </c>
      <c r="H338" s="67">
        <v>20</v>
      </c>
      <c r="I338" s="68" t="s">
        <v>43</v>
      </c>
      <c r="J338" s="69">
        <f>480000/20</f>
        <v>24000</v>
      </c>
      <c r="K338" s="65" t="s">
        <v>43</v>
      </c>
      <c r="L338" s="70"/>
      <c r="M338" s="70">
        <v>0.17</v>
      </c>
      <c r="N338" s="64"/>
      <c r="O338" s="68" t="s">
        <v>43</v>
      </c>
      <c r="P338" s="64">
        <f t="shared" si="81"/>
        <v>0</v>
      </c>
      <c r="Q338" s="68" t="s">
        <v>43</v>
      </c>
      <c r="R338" s="69">
        <f t="shared" si="82"/>
        <v>0</v>
      </c>
      <c r="S338" s="23">
        <f t="shared" si="71"/>
        <v>0</v>
      </c>
    </row>
    <row r="339" spans="1:19">
      <c r="A339" s="15" t="s">
        <v>321</v>
      </c>
      <c r="S339" s="23">
        <f t="shared" si="71"/>
        <v>0</v>
      </c>
    </row>
    <row r="340" spans="1:19" s="26" customFormat="1">
      <c r="A340" s="25" t="s">
        <v>322</v>
      </c>
      <c r="B340" s="26" t="s">
        <v>19</v>
      </c>
      <c r="C340" s="27"/>
      <c r="D340" s="28" t="s">
        <v>34</v>
      </c>
      <c r="E340" s="29">
        <f>2+1+1</f>
        <v>4</v>
      </c>
      <c r="F340" s="30">
        <v>1</v>
      </c>
      <c r="G340" s="31" t="s">
        <v>21</v>
      </c>
      <c r="H340" s="30">
        <v>64</v>
      </c>
      <c r="I340" s="31" t="s">
        <v>34</v>
      </c>
      <c r="J340" s="32">
        <f>2200*12</f>
        <v>26400</v>
      </c>
      <c r="K340" s="28" t="s">
        <v>34</v>
      </c>
      <c r="L340" s="33">
        <v>0.125</v>
      </c>
      <c r="M340" s="33">
        <v>0.05</v>
      </c>
      <c r="N340" s="27">
        <v>128</v>
      </c>
      <c r="O340" s="31" t="s">
        <v>34</v>
      </c>
      <c r="P340" s="27">
        <f t="shared" ref="P340:P349" si="86">(C340+(E340*F340*H340))-N340</f>
        <v>128</v>
      </c>
      <c r="Q340" s="31" t="s">
        <v>34</v>
      </c>
      <c r="R340" s="32">
        <f t="shared" ref="R340:R349" si="87">P340*(J340-(J340*L340)-((J340-(J340*L340))*M340))</f>
        <v>2808960</v>
      </c>
      <c r="S340" s="32">
        <f t="shared" si="71"/>
        <v>2530594.5945945946</v>
      </c>
    </row>
    <row r="341" spans="1:19" s="63" customFormat="1">
      <c r="A341" s="72" t="s">
        <v>324</v>
      </c>
      <c r="B341" s="63" t="s">
        <v>19</v>
      </c>
      <c r="C341" s="64">
        <v>72</v>
      </c>
      <c r="D341" s="65" t="s">
        <v>34</v>
      </c>
      <c r="E341" s="66">
        <f>4+5</f>
        <v>9</v>
      </c>
      <c r="F341" s="67">
        <v>1</v>
      </c>
      <c r="G341" s="68" t="s">
        <v>21</v>
      </c>
      <c r="H341" s="67">
        <v>36</v>
      </c>
      <c r="I341" s="68" t="s">
        <v>34</v>
      </c>
      <c r="J341" s="69">
        <f>2200*24</f>
        <v>52800</v>
      </c>
      <c r="K341" s="65" t="s">
        <v>34</v>
      </c>
      <c r="L341" s="70">
        <v>0.125</v>
      </c>
      <c r="M341" s="70">
        <v>0.05</v>
      </c>
      <c r="N341" s="64">
        <f>72+72+180+72</f>
        <v>396</v>
      </c>
      <c r="O341" s="68" t="s">
        <v>34</v>
      </c>
      <c r="P341" s="64">
        <f>(C341+(E341*F341*H341))-N341</f>
        <v>0</v>
      </c>
      <c r="Q341" s="68" t="s">
        <v>34</v>
      </c>
      <c r="R341" s="69">
        <f>P341*(J341-(J341*L341)-((J341-(J341*L341))*M341))</f>
        <v>0</v>
      </c>
      <c r="S341" s="23">
        <f>R341/1.11</f>
        <v>0</v>
      </c>
    </row>
    <row r="342" spans="1:19" s="63" customFormat="1">
      <c r="A342" s="111" t="s">
        <v>827</v>
      </c>
      <c r="B342" s="63" t="s">
        <v>19</v>
      </c>
      <c r="C342" s="64"/>
      <c r="D342" s="65" t="s">
        <v>34</v>
      </c>
      <c r="E342" s="66">
        <v>1</v>
      </c>
      <c r="F342" s="67">
        <v>1</v>
      </c>
      <c r="G342" s="68" t="s">
        <v>21</v>
      </c>
      <c r="H342" s="67">
        <v>36</v>
      </c>
      <c r="I342" s="68" t="s">
        <v>34</v>
      </c>
      <c r="J342" s="69">
        <f>2300*24</f>
        <v>55200</v>
      </c>
      <c r="K342" s="65" t="s">
        <v>34</v>
      </c>
      <c r="L342" s="70">
        <v>0.125</v>
      </c>
      <c r="M342" s="70">
        <v>0.05</v>
      </c>
      <c r="N342" s="64">
        <v>36</v>
      </c>
      <c r="O342" s="68" t="s">
        <v>34</v>
      </c>
      <c r="P342" s="64">
        <f>(C342+(E342*F342*H342))-N342</f>
        <v>0</v>
      </c>
      <c r="Q342" s="68" t="s">
        <v>34</v>
      </c>
      <c r="R342" s="69">
        <f>P342*(J342-(J342*L342)-((J342-(J342*L342))*M342))</f>
        <v>0</v>
      </c>
      <c r="S342" s="23">
        <f>R342/1.11</f>
        <v>0</v>
      </c>
    </row>
    <row r="343" spans="1:19" s="17" customFormat="1">
      <c r="A343" s="16" t="s">
        <v>826</v>
      </c>
      <c r="B343" s="17" t="s">
        <v>19</v>
      </c>
      <c r="C343" s="18"/>
      <c r="D343" s="19" t="s">
        <v>34</v>
      </c>
      <c r="E343" s="20"/>
      <c r="F343" s="21">
        <v>1</v>
      </c>
      <c r="G343" s="22" t="s">
        <v>21</v>
      </c>
      <c r="H343" s="21">
        <v>32</v>
      </c>
      <c r="I343" s="22" t="s">
        <v>34</v>
      </c>
      <c r="J343" s="23">
        <f>1300*12</f>
        <v>15600</v>
      </c>
      <c r="K343" s="19" t="s">
        <v>34</v>
      </c>
      <c r="L343" s="24">
        <v>0.125</v>
      </c>
      <c r="M343" s="24">
        <v>0.05</v>
      </c>
      <c r="N343" s="18"/>
      <c r="O343" s="22" t="s">
        <v>34</v>
      </c>
      <c r="P343" s="18">
        <f>(C343+(E343*F343*H343))-N343</f>
        <v>0</v>
      </c>
      <c r="Q343" s="22" t="s">
        <v>34</v>
      </c>
      <c r="R343" s="23">
        <f>P343*(J343-(J343*L343)-((J343-(J343*L343))*M343))</f>
        <v>0</v>
      </c>
      <c r="S343" s="23">
        <f>R343/1.11</f>
        <v>0</v>
      </c>
    </row>
    <row r="344" spans="1:19" s="26" customFormat="1">
      <c r="A344" s="25" t="s">
        <v>323</v>
      </c>
      <c r="B344" s="26" t="s">
        <v>19</v>
      </c>
      <c r="C344" s="27">
        <v>44</v>
      </c>
      <c r="D344" s="28" t="s">
        <v>34</v>
      </c>
      <c r="E344" s="29">
        <f>1+1</f>
        <v>2</v>
      </c>
      <c r="F344" s="30">
        <v>1</v>
      </c>
      <c r="G344" s="31" t="s">
        <v>21</v>
      </c>
      <c r="H344" s="30">
        <v>54</v>
      </c>
      <c r="I344" s="31" t="s">
        <v>34</v>
      </c>
      <c r="J344" s="32">
        <f>3400*12</f>
        <v>40800</v>
      </c>
      <c r="K344" s="28" t="s">
        <v>34</v>
      </c>
      <c r="L344" s="33">
        <v>0.125</v>
      </c>
      <c r="M344" s="33">
        <v>0.05</v>
      </c>
      <c r="N344" s="27">
        <f>54+54+1</f>
        <v>109</v>
      </c>
      <c r="O344" s="31" t="s">
        <v>34</v>
      </c>
      <c r="P344" s="27">
        <f t="shared" si="86"/>
        <v>43</v>
      </c>
      <c r="Q344" s="31" t="s">
        <v>34</v>
      </c>
      <c r="R344" s="32">
        <f t="shared" si="87"/>
        <v>1458345</v>
      </c>
      <c r="S344" s="32">
        <f t="shared" si="71"/>
        <v>1313824.3243243243</v>
      </c>
    </row>
    <row r="345" spans="1:19" s="63" customFormat="1">
      <c r="A345" s="111" t="s">
        <v>327</v>
      </c>
      <c r="B345" s="63" t="s">
        <v>19</v>
      </c>
      <c r="C345" s="64"/>
      <c r="D345" s="65" t="s">
        <v>34</v>
      </c>
      <c r="E345" s="66">
        <v>1</v>
      </c>
      <c r="F345" s="67">
        <v>1</v>
      </c>
      <c r="G345" s="68" t="s">
        <v>21</v>
      </c>
      <c r="H345" s="67">
        <v>36</v>
      </c>
      <c r="I345" s="68" t="s">
        <v>34</v>
      </c>
      <c r="J345" s="69">
        <f>2450*24</f>
        <v>58800</v>
      </c>
      <c r="K345" s="65" t="s">
        <v>34</v>
      </c>
      <c r="L345" s="70">
        <v>0.125</v>
      </c>
      <c r="M345" s="70">
        <v>0.05</v>
      </c>
      <c r="N345" s="64">
        <v>36</v>
      </c>
      <c r="O345" s="68" t="s">
        <v>34</v>
      </c>
      <c r="P345" s="64">
        <f>(C345+(E345*F345*H345))-N345</f>
        <v>0</v>
      </c>
      <c r="Q345" s="68" t="s">
        <v>34</v>
      </c>
      <c r="R345" s="69">
        <f>P345*(J345-(J345*L345)-((J345-(J345*L345))*M345))</f>
        <v>0</v>
      </c>
      <c r="S345" s="69">
        <f>R345/1.11</f>
        <v>0</v>
      </c>
    </row>
    <row r="346" spans="1:19" s="45" customFormat="1">
      <c r="A346" s="44" t="s">
        <v>823</v>
      </c>
      <c r="B346" s="45" t="s">
        <v>19</v>
      </c>
      <c r="C346" s="46"/>
      <c r="D346" s="47" t="s">
        <v>34</v>
      </c>
      <c r="E346" s="48">
        <v>1</v>
      </c>
      <c r="F346" s="49">
        <v>1</v>
      </c>
      <c r="G346" s="50" t="s">
        <v>21</v>
      </c>
      <c r="H346" s="49">
        <v>36</v>
      </c>
      <c r="I346" s="50" t="s">
        <v>34</v>
      </c>
      <c r="J346" s="51">
        <f>4600*12</f>
        <v>55200</v>
      </c>
      <c r="K346" s="47" t="s">
        <v>34</v>
      </c>
      <c r="L346" s="52">
        <v>0.125</v>
      </c>
      <c r="M346" s="52">
        <v>0.05</v>
      </c>
      <c r="N346" s="46"/>
      <c r="O346" s="50" t="s">
        <v>34</v>
      </c>
      <c r="P346" s="46">
        <f t="shared" ref="P346" si="88">(C346+(E346*F346*H346))-N346</f>
        <v>36</v>
      </c>
      <c r="Q346" s="50" t="s">
        <v>34</v>
      </c>
      <c r="R346" s="51">
        <f t="shared" ref="R346" si="89">P346*(J346-(J346*L346)-((J346-(J346*L346))*M346))</f>
        <v>1651860</v>
      </c>
      <c r="S346" s="32">
        <f t="shared" ref="S346" si="90">R346/1.11</f>
        <v>1488162.1621621621</v>
      </c>
    </row>
    <row r="347" spans="1:19" s="63" customFormat="1">
      <c r="A347" s="72" t="s">
        <v>328</v>
      </c>
      <c r="B347" s="63" t="s">
        <v>26</v>
      </c>
      <c r="C347" s="64">
        <v>1</v>
      </c>
      <c r="D347" s="65" t="s">
        <v>34</v>
      </c>
      <c r="E347" s="66">
        <f>3+2</f>
        <v>5</v>
      </c>
      <c r="F347" s="67">
        <v>1</v>
      </c>
      <c r="G347" s="68" t="s">
        <v>21</v>
      </c>
      <c r="H347" s="67">
        <v>36</v>
      </c>
      <c r="I347" s="68" t="s">
        <v>34</v>
      </c>
      <c r="J347" s="69">
        <f>2376000/36</f>
        <v>66000</v>
      </c>
      <c r="K347" s="65" t="s">
        <v>34</v>
      </c>
      <c r="L347" s="70"/>
      <c r="M347" s="70">
        <v>0.17</v>
      </c>
      <c r="N347" s="64">
        <f>36+36+36+36+36+1</f>
        <v>181</v>
      </c>
      <c r="O347" s="68" t="s">
        <v>34</v>
      </c>
      <c r="P347" s="64">
        <f t="shared" si="86"/>
        <v>0</v>
      </c>
      <c r="Q347" s="68" t="s">
        <v>34</v>
      </c>
      <c r="R347" s="69">
        <f t="shared" si="87"/>
        <v>0</v>
      </c>
      <c r="S347" s="69">
        <f t="shared" si="71"/>
        <v>0</v>
      </c>
    </row>
    <row r="348" spans="1:19">
      <c r="A348" s="34" t="s">
        <v>329</v>
      </c>
      <c r="B348" s="2" t="s">
        <v>26</v>
      </c>
      <c r="C348" s="3">
        <v>128</v>
      </c>
      <c r="D348" s="4" t="s">
        <v>34</v>
      </c>
      <c r="E348" s="5">
        <f>3+2+2</f>
        <v>7</v>
      </c>
      <c r="F348" s="6">
        <v>1</v>
      </c>
      <c r="G348" s="7" t="s">
        <v>21</v>
      </c>
      <c r="H348" s="6">
        <v>36</v>
      </c>
      <c r="I348" s="7" t="s">
        <v>34</v>
      </c>
      <c r="J348" s="8">
        <f>2592000/36</f>
        <v>72000</v>
      </c>
      <c r="K348" s="4" t="s">
        <v>34</v>
      </c>
      <c r="M348" s="9">
        <v>0.17</v>
      </c>
      <c r="N348" s="3">
        <f>7+2+36+3+36+36+15+36+36</f>
        <v>207</v>
      </c>
      <c r="O348" s="7" t="s">
        <v>34</v>
      </c>
      <c r="P348" s="3">
        <f t="shared" si="86"/>
        <v>173</v>
      </c>
      <c r="Q348" s="7" t="s">
        <v>34</v>
      </c>
      <c r="R348" s="8">
        <f t="shared" si="87"/>
        <v>10338480</v>
      </c>
      <c r="S348" s="32">
        <f t="shared" si="71"/>
        <v>9313945.9459459446</v>
      </c>
    </row>
    <row r="349" spans="1:19" s="45" customFormat="1">
      <c r="A349" s="44" t="s">
        <v>330</v>
      </c>
      <c r="B349" s="45" t="s">
        <v>26</v>
      </c>
      <c r="C349" s="46"/>
      <c r="D349" s="47" t="s">
        <v>34</v>
      </c>
      <c r="E349" s="48">
        <f>3+2+1</f>
        <v>6</v>
      </c>
      <c r="F349" s="49">
        <v>1</v>
      </c>
      <c r="G349" s="50" t="s">
        <v>21</v>
      </c>
      <c r="H349" s="49">
        <v>36</v>
      </c>
      <c r="I349" s="50" t="s">
        <v>34</v>
      </c>
      <c r="J349" s="51">
        <f>2160000/36</f>
        <v>60000</v>
      </c>
      <c r="K349" s="47" t="s">
        <v>34</v>
      </c>
      <c r="L349" s="52"/>
      <c r="M349" s="52">
        <v>0.17</v>
      </c>
      <c r="N349" s="46">
        <f>3+36+36+36+10+5+3+7+1+36</f>
        <v>173</v>
      </c>
      <c r="O349" s="50" t="s">
        <v>34</v>
      </c>
      <c r="P349" s="46">
        <f t="shared" si="86"/>
        <v>43</v>
      </c>
      <c r="Q349" s="50" t="s">
        <v>34</v>
      </c>
      <c r="R349" s="51">
        <f t="shared" si="87"/>
        <v>2141400</v>
      </c>
      <c r="S349" s="32">
        <f t="shared" si="71"/>
        <v>1929189.1891891891</v>
      </c>
    </row>
    <row r="350" spans="1:19">
      <c r="A350" s="15" t="s">
        <v>331</v>
      </c>
      <c r="S350" s="23"/>
    </row>
    <row r="351" spans="1:19" s="63" customFormat="1">
      <c r="A351" s="72" t="s">
        <v>332</v>
      </c>
      <c r="B351" s="63" t="s">
        <v>26</v>
      </c>
      <c r="C351" s="64">
        <v>2</v>
      </c>
      <c r="D351" s="65" t="s">
        <v>108</v>
      </c>
      <c r="E351" s="66"/>
      <c r="F351" s="67">
        <v>1</v>
      </c>
      <c r="G351" s="68" t="s">
        <v>21</v>
      </c>
      <c r="H351" s="67">
        <v>60</v>
      </c>
      <c r="I351" s="68" t="s">
        <v>108</v>
      </c>
      <c r="J351" s="69">
        <v>18600</v>
      </c>
      <c r="K351" s="65" t="s">
        <v>108</v>
      </c>
      <c r="L351" s="70"/>
      <c r="M351" s="70">
        <v>0.17</v>
      </c>
      <c r="N351" s="64">
        <v>2</v>
      </c>
      <c r="O351" s="68" t="s">
        <v>108</v>
      </c>
      <c r="P351" s="64">
        <f>(C351+(E351*F351*H351))-N351</f>
        <v>0</v>
      </c>
      <c r="Q351" s="68" t="s">
        <v>108</v>
      </c>
      <c r="R351" s="69">
        <f>P351*(J351-(J351*L351)-((J351-(J351*L351))*M351))</f>
        <v>0</v>
      </c>
      <c r="S351" s="23">
        <f t="shared" si="71"/>
        <v>0</v>
      </c>
    </row>
    <row r="352" spans="1:19">
      <c r="A352" s="15" t="s">
        <v>333</v>
      </c>
      <c r="S352" s="23"/>
    </row>
    <row r="353" spans="1:20" s="45" customFormat="1">
      <c r="A353" s="44" t="s">
        <v>334</v>
      </c>
      <c r="B353" s="45" t="s">
        <v>335</v>
      </c>
      <c r="C353" s="46">
        <v>673</v>
      </c>
      <c r="D353" s="47" t="s">
        <v>336</v>
      </c>
      <c r="E353" s="48"/>
      <c r="F353" s="49">
        <v>1</v>
      </c>
      <c r="G353" s="50" t="s">
        <v>21</v>
      </c>
      <c r="H353" s="49">
        <v>25</v>
      </c>
      <c r="I353" s="50" t="s">
        <v>336</v>
      </c>
      <c r="J353" s="51">
        <v>55000</v>
      </c>
      <c r="K353" s="47" t="s">
        <v>336</v>
      </c>
      <c r="L353" s="52"/>
      <c r="M353" s="52"/>
      <c r="N353" s="46">
        <v>25</v>
      </c>
      <c r="O353" s="50" t="s">
        <v>336</v>
      </c>
      <c r="P353" s="46">
        <f>(C353+(E353*F353*H353))-N353</f>
        <v>648</v>
      </c>
      <c r="Q353" s="50" t="s">
        <v>336</v>
      </c>
      <c r="R353" s="51">
        <f>P353*(J353-(J353*L353)-((J353-(J353*L353))*M353))</f>
        <v>35640000</v>
      </c>
      <c r="S353" s="32">
        <f t="shared" si="71"/>
        <v>32108108.108108107</v>
      </c>
    </row>
    <row r="354" spans="1:20">
      <c r="S354" s="23"/>
    </row>
    <row r="355" spans="1:20" ht="15.75">
      <c r="A355" s="14" t="s">
        <v>337</v>
      </c>
      <c r="S355" s="23"/>
    </row>
    <row r="356" spans="1:20" s="17" customFormat="1">
      <c r="A356" s="16" t="s">
        <v>338</v>
      </c>
      <c r="B356" s="17" t="s">
        <v>19</v>
      </c>
      <c r="C356" s="18">
        <v>881</v>
      </c>
      <c r="D356" s="19" t="s">
        <v>104</v>
      </c>
      <c r="E356" s="20"/>
      <c r="F356" s="21">
        <v>1</v>
      </c>
      <c r="G356" s="22" t="s">
        <v>21</v>
      </c>
      <c r="H356" s="21">
        <v>192</v>
      </c>
      <c r="I356" s="22" t="s">
        <v>104</v>
      </c>
      <c r="J356" s="23">
        <v>3450</v>
      </c>
      <c r="K356" s="19" t="s">
        <v>104</v>
      </c>
      <c r="L356" s="24">
        <v>0.125</v>
      </c>
      <c r="M356" s="24">
        <v>0.05</v>
      </c>
      <c r="N356" s="18">
        <f>50+192+25+384+100+100+30</f>
        <v>881</v>
      </c>
      <c r="O356" s="22" t="s">
        <v>104</v>
      </c>
      <c r="P356" s="18">
        <f t="shared" ref="P356:P364" si="91">(C356+(E356*F356*H356))-N356</f>
        <v>0</v>
      </c>
      <c r="Q356" s="22" t="s">
        <v>104</v>
      </c>
      <c r="R356" s="23">
        <f t="shared" ref="R356:R364" si="92">P356*(J356-(J356*L356)-((J356-(J356*L356))*M356))</f>
        <v>0</v>
      </c>
      <c r="S356" s="23">
        <f t="shared" ref="S356:S426" si="93">R356/1.11</f>
        <v>0</v>
      </c>
    </row>
    <row r="357" spans="1:20" s="17" customFormat="1">
      <c r="A357" s="16" t="s">
        <v>339</v>
      </c>
      <c r="B357" s="17" t="s">
        <v>19</v>
      </c>
      <c r="C357" s="18">
        <v>600</v>
      </c>
      <c r="D357" s="19" t="s">
        <v>104</v>
      </c>
      <c r="E357" s="20"/>
      <c r="F357" s="21">
        <v>1</v>
      </c>
      <c r="G357" s="22" t="s">
        <v>21</v>
      </c>
      <c r="H357" s="21">
        <v>160</v>
      </c>
      <c r="I357" s="22" t="s">
        <v>104</v>
      </c>
      <c r="J357" s="23">
        <v>5400</v>
      </c>
      <c r="K357" s="19" t="s">
        <v>104</v>
      </c>
      <c r="L357" s="24">
        <v>0.125</v>
      </c>
      <c r="M357" s="24">
        <v>0.05</v>
      </c>
      <c r="N357" s="18">
        <f>25+320+25+100+100+30</f>
        <v>600</v>
      </c>
      <c r="O357" s="22" t="s">
        <v>104</v>
      </c>
      <c r="P357" s="18">
        <f t="shared" si="91"/>
        <v>0</v>
      </c>
      <c r="Q357" s="22" t="s">
        <v>104</v>
      </c>
      <c r="R357" s="23">
        <f t="shared" si="92"/>
        <v>0</v>
      </c>
      <c r="S357" s="23">
        <f t="shared" si="93"/>
        <v>0</v>
      </c>
    </row>
    <row r="358" spans="1:20" s="45" customFormat="1">
      <c r="A358" s="44" t="s">
        <v>341</v>
      </c>
      <c r="B358" s="45" t="s">
        <v>19</v>
      </c>
      <c r="C358" s="46">
        <v>43</v>
      </c>
      <c r="D358" s="47" t="s">
        <v>104</v>
      </c>
      <c r="E358" s="48"/>
      <c r="F358" s="49">
        <v>1</v>
      </c>
      <c r="G358" s="50" t="s">
        <v>21</v>
      </c>
      <c r="H358" s="49">
        <v>96</v>
      </c>
      <c r="I358" s="50" t="s">
        <v>104</v>
      </c>
      <c r="J358" s="51">
        <v>7000</v>
      </c>
      <c r="K358" s="47" t="s">
        <v>104</v>
      </c>
      <c r="L358" s="52">
        <v>0.125</v>
      </c>
      <c r="M358" s="52">
        <v>0.05</v>
      </c>
      <c r="N358" s="46"/>
      <c r="O358" s="50" t="s">
        <v>104</v>
      </c>
      <c r="P358" s="46">
        <f t="shared" si="91"/>
        <v>43</v>
      </c>
      <c r="Q358" s="50" t="s">
        <v>104</v>
      </c>
      <c r="R358" s="51">
        <f t="shared" si="92"/>
        <v>250206.25</v>
      </c>
      <c r="S358" s="51">
        <f t="shared" si="93"/>
        <v>225411.03603603601</v>
      </c>
    </row>
    <row r="359" spans="1:20" s="17" customFormat="1">
      <c r="A359" s="16" t="s">
        <v>342</v>
      </c>
      <c r="B359" s="17" t="s">
        <v>19</v>
      </c>
      <c r="C359" s="18"/>
      <c r="D359" s="19" t="s">
        <v>104</v>
      </c>
      <c r="E359" s="20"/>
      <c r="F359" s="21">
        <v>1</v>
      </c>
      <c r="G359" s="22" t="s">
        <v>21</v>
      </c>
      <c r="H359" s="21">
        <v>80</v>
      </c>
      <c r="I359" s="22" t="s">
        <v>104</v>
      </c>
      <c r="J359" s="23">
        <v>10200</v>
      </c>
      <c r="K359" s="19" t="s">
        <v>104</v>
      </c>
      <c r="L359" s="24">
        <v>0.125</v>
      </c>
      <c r="M359" s="24">
        <v>0.05</v>
      </c>
      <c r="N359" s="18"/>
      <c r="O359" s="22" t="s">
        <v>104</v>
      </c>
      <c r="P359" s="18">
        <f t="shared" si="91"/>
        <v>0</v>
      </c>
      <c r="Q359" s="22" t="s">
        <v>104</v>
      </c>
      <c r="R359" s="23">
        <f t="shared" si="92"/>
        <v>0</v>
      </c>
      <c r="S359" s="23">
        <f t="shared" si="93"/>
        <v>0</v>
      </c>
    </row>
    <row r="360" spans="1:20" s="26" customFormat="1">
      <c r="A360" s="25" t="s">
        <v>343</v>
      </c>
      <c r="B360" s="26" t="s">
        <v>26</v>
      </c>
      <c r="C360" s="27">
        <v>1152</v>
      </c>
      <c r="D360" s="28" t="s">
        <v>104</v>
      </c>
      <c r="E360" s="29">
        <f>1+5</f>
        <v>6</v>
      </c>
      <c r="F360" s="30">
        <v>1</v>
      </c>
      <c r="G360" s="31" t="s">
        <v>21</v>
      </c>
      <c r="H360" s="30">
        <v>192</v>
      </c>
      <c r="I360" s="31" t="s">
        <v>104</v>
      </c>
      <c r="J360" s="32">
        <f>729600/192</f>
        <v>3800</v>
      </c>
      <c r="K360" s="28" t="s">
        <v>104</v>
      </c>
      <c r="L360" s="33"/>
      <c r="M360" s="33">
        <v>0.17</v>
      </c>
      <c r="N360" s="27">
        <v>192</v>
      </c>
      <c r="O360" s="31" t="s">
        <v>104</v>
      </c>
      <c r="P360" s="27">
        <f t="shared" si="91"/>
        <v>2112</v>
      </c>
      <c r="Q360" s="31" t="s">
        <v>104</v>
      </c>
      <c r="R360" s="32">
        <f t="shared" si="92"/>
        <v>6661248</v>
      </c>
      <c r="S360" s="32">
        <f t="shared" si="93"/>
        <v>6001124.3243243238</v>
      </c>
    </row>
    <row r="361" spans="1:20" s="45" customFormat="1">
      <c r="A361" s="44" t="s">
        <v>344</v>
      </c>
      <c r="B361" s="45" t="s">
        <v>26</v>
      </c>
      <c r="C361" s="46">
        <v>125</v>
      </c>
      <c r="D361" s="47" t="s">
        <v>104</v>
      </c>
      <c r="E361" s="48">
        <v>1</v>
      </c>
      <c r="F361" s="49">
        <v>1</v>
      </c>
      <c r="G361" s="50" t="s">
        <v>21</v>
      </c>
      <c r="H361" s="49">
        <v>96</v>
      </c>
      <c r="I361" s="50" t="s">
        <v>104</v>
      </c>
      <c r="J361" s="51">
        <f>700800/96</f>
        <v>7300</v>
      </c>
      <c r="K361" s="47" t="s">
        <v>104</v>
      </c>
      <c r="L361" s="52"/>
      <c r="M361" s="52">
        <v>0.17</v>
      </c>
      <c r="N361" s="46">
        <f>96+96</f>
        <v>192</v>
      </c>
      <c r="O361" s="50" t="s">
        <v>104</v>
      </c>
      <c r="P361" s="46">
        <f t="shared" si="91"/>
        <v>29</v>
      </c>
      <c r="Q361" s="50" t="s">
        <v>104</v>
      </c>
      <c r="R361" s="51">
        <f t="shared" si="92"/>
        <v>175711</v>
      </c>
      <c r="S361" s="51">
        <f t="shared" si="93"/>
        <v>158298.1981981982</v>
      </c>
    </row>
    <row r="362" spans="1:20" s="17" customFormat="1">
      <c r="A362" s="16" t="s">
        <v>345</v>
      </c>
      <c r="B362" s="17" t="s">
        <v>26</v>
      </c>
      <c r="C362" s="18"/>
      <c r="D362" s="19" t="s">
        <v>104</v>
      </c>
      <c r="E362" s="20"/>
      <c r="F362" s="21">
        <v>1</v>
      </c>
      <c r="G362" s="22" t="s">
        <v>21</v>
      </c>
      <c r="H362" s="21">
        <v>160</v>
      </c>
      <c r="I362" s="22" t="s">
        <v>104</v>
      </c>
      <c r="J362" s="23">
        <f>960000/160</f>
        <v>6000</v>
      </c>
      <c r="K362" s="19" t="s">
        <v>104</v>
      </c>
      <c r="L362" s="24"/>
      <c r="M362" s="24">
        <v>0.17</v>
      </c>
      <c r="N362" s="18"/>
      <c r="O362" s="22" t="s">
        <v>104</v>
      </c>
      <c r="P362" s="18">
        <f t="shared" si="91"/>
        <v>0</v>
      </c>
      <c r="Q362" s="22" t="s">
        <v>104</v>
      </c>
      <c r="R362" s="23">
        <f t="shared" si="92"/>
        <v>0</v>
      </c>
      <c r="S362" s="23">
        <f t="shared" si="93"/>
        <v>0</v>
      </c>
    </row>
    <row r="363" spans="1:20">
      <c r="A363" s="159" t="s">
        <v>346</v>
      </c>
      <c r="B363" s="160" t="s">
        <v>26</v>
      </c>
      <c r="C363" s="161">
        <v>4</v>
      </c>
      <c r="D363" s="162" t="s">
        <v>104</v>
      </c>
      <c r="E363" s="163"/>
      <c r="F363" s="164">
        <v>1</v>
      </c>
      <c r="G363" s="165" t="s">
        <v>21</v>
      </c>
      <c r="H363" s="164">
        <v>80</v>
      </c>
      <c r="I363" s="165" t="s">
        <v>104</v>
      </c>
      <c r="J363" s="166">
        <f>852000/80</f>
        <v>10650</v>
      </c>
      <c r="K363" s="162" t="s">
        <v>104</v>
      </c>
      <c r="L363" s="167"/>
      <c r="M363" s="167">
        <v>0.17</v>
      </c>
      <c r="N363" s="161"/>
      <c r="O363" s="165" t="s">
        <v>104</v>
      </c>
      <c r="P363" s="161">
        <f t="shared" si="91"/>
        <v>4</v>
      </c>
      <c r="Q363" s="165" t="s">
        <v>104</v>
      </c>
      <c r="R363" s="166">
        <f t="shared" si="92"/>
        <v>35358</v>
      </c>
      <c r="S363" s="42">
        <f t="shared" si="93"/>
        <v>31854.05405405405</v>
      </c>
    </row>
    <row r="364" spans="1:20">
      <c r="A364" s="159" t="s">
        <v>346</v>
      </c>
      <c r="B364" s="160" t="s">
        <v>26</v>
      </c>
      <c r="C364" s="161">
        <v>160</v>
      </c>
      <c r="D364" s="162" t="s">
        <v>104</v>
      </c>
      <c r="E364" s="163"/>
      <c r="F364" s="164">
        <v>1</v>
      </c>
      <c r="G364" s="165" t="s">
        <v>21</v>
      </c>
      <c r="H364" s="164">
        <v>80</v>
      </c>
      <c r="I364" s="165" t="s">
        <v>104</v>
      </c>
      <c r="J364" s="166">
        <f>912000/80</f>
        <v>11400</v>
      </c>
      <c r="K364" s="162" t="s">
        <v>104</v>
      </c>
      <c r="L364" s="167"/>
      <c r="M364" s="167">
        <v>0.17</v>
      </c>
      <c r="N364" s="161"/>
      <c r="O364" s="165" t="s">
        <v>104</v>
      </c>
      <c r="P364" s="161">
        <f t="shared" si="91"/>
        <v>160</v>
      </c>
      <c r="Q364" s="165" t="s">
        <v>104</v>
      </c>
      <c r="R364" s="166">
        <f t="shared" si="92"/>
        <v>1513920</v>
      </c>
      <c r="S364" s="42">
        <f t="shared" si="93"/>
        <v>1363891.8918918918</v>
      </c>
    </row>
    <row r="365" spans="1:20">
      <c r="S365" s="23"/>
    </row>
    <row r="366" spans="1:20" ht="15.75">
      <c r="A366" s="14" t="s">
        <v>225</v>
      </c>
      <c r="L366" s="112"/>
      <c r="M366" s="112"/>
      <c r="S366" s="23"/>
    </row>
    <row r="367" spans="1:20">
      <c r="A367" s="15" t="s">
        <v>225</v>
      </c>
      <c r="L367" s="112"/>
      <c r="M367" s="112"/>
      <c r="S367" s="23"/>
    </row>
    <row r="368" spans="1:20" s="26" customFormat="1">
      <c r="A368" s="25" t="s">
        <v>347</v>
      </c>
      <c r="B368" s="26" t="s">
        <v>19</v>
      </c>
      <c r="C368" s="27">
        <v>1</v>
      </c>
      <c r="D368" s="28" t="s">
        <v>20</v>
      </c>
      <c r="E368" s="29"/>
      <c r="F368" s="30">
        <v>1</v>
      </c>
      <c r="G368" s="31" t="s">
        <v>21</v>
      </c>
      <c r="H368" s="30">
        <v>48</v>
      </c>
      <c r="I368" s="31" t="s">
        <v>20</v>
      </c>
      <c r="J368" s="32">
        <v>17000</v>
      </c>
      <c r="K368" s="28" t="s">
        <v>20</v>
      </c>
      <c r="L368" s="33">
        <v>0.125</v>
      </c>
      <c r="M368" s="33">
        <v>0.05</v>
      </c>
      <c r="N368" s="27"/>
      <c r="O368" s="31" t="s">
        <v>20</v>
      </c>
      <c r="P368" s="27">
        <f>(C368+(E368*F368*H368))-N368</f>
        <v>1</v>
      </c>
      <c r="Q368" s="31" t="s">
        <v>20</v>
      </c>
      <c r="R368" s="32">
        <f>P368*(J368-(J368*L368)-((J368-(J368*L368))*M368))</f>
        <v>14131.25</v>
      </c>
      <c r="S368" s="32">
        <f t="shared" si="93"/>
        <v>12730.855855855854</v>
      </c>
      <c r="T368" s="32"/>
    </row>
    <row r="369" spans="1:20">
      <c r="S369" s="32"/>
    </row>
    <row r="370" spans="1:20" ht="15.75">
      <c r="A370" s="14" t="s">
        <v>348</v>
      </c>
      <c r="L370" s="112"/>
      <c r="M370" s="112"/>
      <c r="S370" s="32"/>
    </row>
    <row r="371" spans="1:20">
      <c r="A371" s="15" t="s">
        <v>349</v>
      </c>
      <c r="L371" s="112"/>
      <c r="M371" s="112"/>
      <c r="S371" s="32"/>
    </row>
    <row r="372" spans="1:20" s="17" customFormat="1">
      <c r="A372" s="16" t="s">
        <v>350</v>
      </c>
      <c r="B372" s="17" t="s">
        <v>19</v>
      </c>
      <c r="C372" s="18"/>
      <c r="D372" s="19" t="s">
        <v>20</v>
      </c>
      <c r="E372" s="20"/>
      <c r="F372" s="21">
        <v>1</v>
      </c>
      <c r="G372" s="22" t="s">
        <v>21</v>
      </c>
      <c r="H372" s="21">
        <v>24</v>
      </c>
      <c r="I372" s="22" t="s">
        <v>20</v>
      </c>
      <c r="J372" s="23">
        <v>35000</v>
      </c>
      <c r="K372" s="19" t="s">
        <v>20</v>
      </c>
      <c r="L372" s="24">
        <v>0.125</v>
      </c>
      <c r="M372" s="24">
        <v>0.05</v>
      </c>
      <c r="N372" s="18"/>
      <c r="O372" s="22" t="s">
        <v>20</v>
      </c>
      <c r="P372" s="18">
        <f t="shared" ref="P372:P381" si="94">(C372+(E372*F372*H372))-N372</f>
        <v>0</v>
      </c>
      <c r="Q372" s="22" t="s">
        <v>20</v>
      </c>
      <c r="R372" s="23">
        <f t="shared" ref="R372:R379" si="95">P372*(J372-(J372*L372)-((J372-(J372*L372))*M372))</f>
        <v>0</v>
      </c>
      <c r="S372" s="23">
        <f t="shared" si="93"/>
        <v>0</v>
      </c>
    </row>
    <row r="373" spans="1:20" s="45" customFormat="1">
      <c r="A373" s="44" t="s">
        <v>351</v>
      </c>
      <c r="B373" s="45" t="s">
        <v>19</v>
      </c>
      <c r="C373" s="139"/>
      <c r="D373" s="47" t="s">
        <v>20</v>
      </c>
      <c r="E373" s="48">
        <f>(1+1+1+1)+(1+1+1+1+1+1+1+1+1+1)+(1+1+1+1+1)+(1+1+1+1+1)</f>
        <v>24</v>
      </c>
      <c r="F373" s="49">
        <v>1</v>
      </c>
      <c r="G373" s="50" t="s">
        <v>21</v>
      </c>
      <c r="H373" s="49">
        <v>72</v>
      </c>
      <c r="I373" s="50" t="s">
        <v>20</v>
      </c>
      <c r="J373" s="51">
        <v>15800</v>
      </c>
      <c r="K373" s="47" t="s">
        <v>20</v>
      </c>
      <c r="L373" s="52">
        <v>0.125</v>
      </c>
      <c r="M373" s="52">
        <v>0.05</v>
      </c>
      <c r="N373" s="46">
        <f>288+720+360+72+216+24</f>
        <v>1680</v>
      </c>
      <c r="O373" s="50" t="s">
        <v>20</v>
      </c>
      <c r="P373" s="46">
        <f t="shared" si="94"/>
        <v>48</v>
      </c>
      <c r="Q373" s="50" t="s">
        <v>20</v>
      </c>
      <c r="R373" s="51">
        <f t="shared" si="95"/>
        <v>630420</v>
      </c>
      <c r="S373" s="51">
        <f t="shared" si="93"/>
        <v>567945.94594594592</v>
      </c>
      <c r="T373" s="51"/>
    </row>
    <row r="374" spans="1:20" s="26" customFormat="1">
      <c r="A374" s="25" t="s">
        <v>352</v>
      </c>
      <c r="B374" s="26" t="s">
        <v>19</v>
      </c>
      <c r="C374" s="27">
        <v>432</v>
      </c>
      <c r="D374" s="28" t="s">
        <v>20</v>
      </c>
      <c r="E374" s="29"/>
      <c r="F374" s="30">
        <v>1</v>
      </c>
      <c r="G374" s="31" t="s">
        <v>21</v>
      </c>
      <c r="H374" s="30">
        <v>72</v>
      </c>
      <c r="I374" s="31" t="s">
        <v>20</v>
      </c>
      <c r="J374" s="32">
        <v>15500</v>
      </c>
      <c r="K374" s="28" t="s">
        <v>20</v>
      </c>
      <c r="L374" s="33">
        <v>0.125</v>
      </c>
      <c r="M374" s="33">
        <v>0.05</v>
      </c>
      <c r="N374" s="27">
        <v>72</v>
      </c>
      <c r="O374" s="31" t="s">
        <v>20</v>
      </c>
      <c r="P374" s="27">
        <f t="shared" si="94"/>
        <v>360</v>
      </c>
      <c r="Q374" s="31" t="s">
        <v>20</v>
      </c>
      <c r="R374" s="32">
        <f t="shared" si="95"/>
        <v>4638375</v>
      </c>
      <c r="S374" s="32">
        <f t="shared" si="93"/>
        <v>4178716.2162162159</v>
      </c>
      <c r="T374" s="32"/>
    </row>
    <row r="375" spans="1:20" s="17" customFormat="1">
      <c r="A375" s="95" t="s">
        <v>353</v>
      </c>
      <c r="B375" s="96" t="s">
        <v>19</v>
      </c>
      <c r="C375" s="97">
        <v>240</v>
      </c>
      <c r="D375" s="98" t="s">
        <v>20</v>
      </c>
      <c r="E375" s="105"/>
      <c r="F375" s="100">
        <v>1</v>
      </c>
      <c r="G375" s="101" t="s">
        <v>21</v>
      </c>
      <c r="H375" s="100">
        <v>72</v>
      </c>
      <c r="I375" s="101" t="s">
        <v>20</v>
      </c>
      <c r="J375" s="102">
        <v>20000</v>
      </c>
      <c r="K375" s="98" t="s">
        <v>20</v>
      </c>
      <c r="L375" s="103">
        <v>0.125</v>
      </c>
      <c r="M375" s="103">
        <v>0.05</v>
      </c>
      <c r="N375" s="97">
        <f>360-120</f>
        <v>240</v>
      </c>
      <c r="O375" s="101" t="s">
        <v>20</v>
      </c>
      <c r="P375" s="97">
        <f t="shared" si="94"/>
        <v>0</v>
      </c>
      <c r="Q375" s="101" t="s">
        <v>20</v>
      </c>
      <c r="R375" s="102">
        <f t="shared" si="95"/>
        <v>0</v>
      </c>
      <c r="S375" s="102">
        <f t="shared" si="93"/>
        <v>0</v>
      </c>
    </row>
    <row r="376" spans="1:20" s="17" customFormat="1">
      <c r="A376" s="95" t="s">
        <v>353</v>
      </c>
      <c r="B376" s="96" t="s">
        <v>19</v>
      </c>
      <c r="C376" s="97">
        <v>360</v>
      </c>
      <c r="D376" s="98" t="s">
        <v>20</v>
      </c>
      <c r="E376" s="105">
        <f>(1+0.5+0.5)</f>
        <v>2</v>
      </c>
      <c r="F376" s="100">
        <v>1</v>
      </c>
      <c r="G376" s="101" t="s">
        <v>21</v>
      </c>
      <c r="H376" s="100">
        <v>72</v>
      </c>
      <c r="I376" s="101" t="s">
        <v>20</v>
      </c>
      <c r="J376" s="102">
        <v>20700</v>
      </c>
      <c r="K376" s="98" t="s">
        <v>20</v>
      </c>
      <c r="L376" s="103">
        <v>0.125</v>
      </c>
      <c r="M376" s="103">
        <v>0.05</v>
      </c>
      <c r="N376" s="97">
        <f>(360-240)+216+144+24</f>
        <v>504</v>
      </c>
      <c r="O376" s="101" t="s">
        <v>20</v>
      </c>
      <c r="P376" s="97">
        <f t="shared" si="94"/>
        <v>0</v>
      </c>
      <c r="Q376" s="101" t="s">
        <v>20</v>
      </c>
      <c r="R376" s="102">
        <f t="shared" si="95"/>
        <v>0</v>
      </c>
      <c r="S376" s="102">
        <f t="shared" si="93"/>
        <v>0</v>
      </c>
    </row>
    <row r="377" spans="1:20" s="26" customFormat="1">
      <c r="A377" s="25" t="s">
        <v>354</v>
      </c>
      <c r="B377" s="26" t="s">
        <v>19</v>
      </c>
      <c r="C377" s="27">
        <v>120</v>
      </c>
      <c r="D377" s="28" t="s">
        <v>20</v>
      </c>
      <c r="E377" s="29"/>
      <c r="F377" s="30">
        <v>1</v>
      </c>
      <c r="G377" s="31" t="s">
        <v>21</v>
      </c>
      <c r="H377" s="30">
        <v>72</v>
      </c>
      <c r="I377" s="31" t="s">
        <v>20</v>
      </c>
      <c r="J377" s="32">
        <v>20000</v>
      </c>
      <c r="K377" s="28" t="s">
        <v>20</v>
      </c>
      <c r="L377" s="33">
        <v>0.125</v>
      </c>
      <c r="M377" s="33">
        <v>0.05</v>
      </c>
      <c r="N377" s="27"/>
      <c r="O377" s="31" t="s">
        <v>20</v>
      </c>
      <c r="P377" s="27">
        <f t="shared" si="94"/>
        <v>120</v>
      </c>
      <c r="Q377" s="31" t="s">
        <v>20</v>
      </c>
      <c r="R377" s="32">
        <f t="shared" si="95"/>
        <v>1995000</v>
      </c>
      <c r="S377" s="32">
        <f t="shared" si="93"/>
        <v>1797297.297297297</v>
      </c>
    </row>
    <row r="378" spans="1:20" s="17" customFormat="1">
      <c r="A378" s="16" t="s">
        <v>791</v>
      </c>
      <c r="B378" s="17" t="s">
        <v>26</v>
      </c>
      <c r="C378" s="18">
        <v>72</v>
      </c>
      <c r="D378" s="19" t="s">
        <v>20</v>
      </c>
      <c r="E378" s="20"/>
      <c r="F378" s="21">
        <v>1</v>
      </c>
      <c r="G378" s="22" t="s">
        <v>21</v>
      </c>
      <c r="H378" s="21">
        <v>72</v>
      </c>
      <c r="I378" s="22" t="s">
        <v>20</v>
      </c>
      <c r="J378" s="23">
        <f>1224000/72</f>
        <v>17000</v>
      </c>
      <c r="K378" s="19" t="s">
        <v>20</v>
      </c>
      <c r="L378" s="24"/>
      <c r="M378" s="24">
        <v>0.17</v>
      </c>
      <c r="N378" s="18">
        <v>72</v>
      </c>
      <c r="O378" s="22" t="s">
        <v>20</v>
      </c>
      <c r="P378" s="18">
        <f t="shared" si="94"/>
        <v>0</v>
      </c>
      <c r="Q378" s="22" t="s">
        <v>20</v>
      </c>
      <c r="R378" s="23">
        <f t="shared" si="95"/>
        <v>0</v>
      </c>
      <c r="S378" s="23">
        <f t="shared" si="93"/>
        <v>0</v>
      </c>
    </row>
    <row r="379" spans="1:20" s="26" customFormat="1">
      <c r="A379" s="25" t="s">
        <v>356</v>
      </c>
      <c r="B379" s="26" t="s">
        <v>26</v>
      </c>
      <c r="C379" s="27">
        <v>12</v>
      </c>
      <c r="D379" s="28" t="s">
        <v>20</v>
      </c>
      <c r="E379" s="29"/>
      <c r="F379" s="30">
        <v>1</v>
      </c>
      <c r="G379" s="31" t="s">
        <v>21</v>
      </c>
      <c r="H379" s="30">
        <v>72</v>
      </c>
      <c r="I379" s="31" t="s">
        <v>20</v>
      </c>
      <c r="J379" s="32">
        <f>1512000/72</f>
        <v>21000</v>
      </c>
      <c r="K379" s="28" t="s">
        <v>20</v>
      </c>
      <c r="L379" s="33">
        <v>0.125</v>
      </c>
      <c r="M379" s="33">
        <v>0.05</v>
      </c>
      <c r="N379" s="27">
        <v>12</v>
      </c>
      <c r="O379" s="31" t="s">
        <v>20</v>
      </c>
      <c r="P379" s="27">
        <v>36</v>
      </c>
      <c r="Q379" s="31" t="s">
        <v>20</v>
      </c>
      <c r="R379" s="32">
        <f t="shared" si="95"/>
        <v>628425</v>
      </c>
      <c r="S379" s="32">
        <f t="shared" si="93"/>
        <v>566148.64864864864</v>
      </c>
    </row>
    <row r="380" spans="1:20" s="45" customFormat="1">
      <c r="A380" s="44" t="s">
        <v>792</v>
      </c>
      <c r="B380" s="45" t="s">
        <v>26</v>
      </c>
      <c r="C380" s="46"/>
      <c r="D380" s="47" t="s">
        <v>20</v>
      </c>
      <c r="E380" s="48">
        <v>2</v>
      </c>
      <c r="F380" s="49">
        <v>1</v>
      </c>
      <c r="G380" s="50" t="s">
        <v>21</v>
      </c>
      <c r="H380" s="49">
        <v>72</v>
      </c>
      <c r="I380" s="50" t="s">
        <v>20</v>
      </c>
      <c r="J380" s="51">
        <f>1188000/72</f>
        <v>16500</v>
      </c>
      <c r="K380" s="47" t="s">
        <v>20</v>
      </c>
      <c r="L380" s="52"/>
      <c r="M380" s="52">
        <v>0.17</v>
      </c>
      <c r="N380" s="46"/>
      <c r="O380" s="50" t="s">
        <v>20</v>
      </c>
      <c r="P380" s="46">
        <f t="shared" ref="P380" si="96">(C380+(E380*F380*H380))-N380</f>
        <v>144</v>
      </c>
      <c r="Q380" s="50" t="s">
        <v>20</v>
      </c>
      <c r="R380" s="51">
        <f>P380*(J380-(J380*L380)-((J380-(J380*L380))*M380))</f>
        <v>1972080</v>
      </c>
      <c r="S380" s="32">
        <f t="shared" ref="S380" si="97">R380/1.11</f>
        <v>1776648.6486486485</v>
      </c>
    </row>
    <row r="381" spans="1:20" s="63" customFormat="1">
      <c r="A381" s="72" t="s">
        <v>357</v>
      </c>
      <c r="B381" s="63" t="s">
        <v>26</v>
      </c>
      <c r="C381" s="64"/>
      <c r="D381" s="65" t="s">
        <v>20</v>
      </c>
      <c r="E381" s="66"/>
      <c r="F381" s="67">
        <v>1</v>
      </c>
      <c r="G381" s="68" t="s">
        <v>21</v>
      </c>
      <c r="H381" s="67">
        <v>120</v>
      </c>
      <c r="I381" s="68" t="s">
        <v>20</v>
      </c>
      <c r="J381" s="69">
        <v>9000</v>
      </c>
      <c r="K381" s="65" t="s">
        <v>20</v>
      </c>
      <c r="L381" s="70"/>
      <c r="M381" s="70">
        <v>0.17</v>
      </c>
      <c r="N381" s="64"/>
      <c r="O381" s="68" t="s">
        <v>20</v>
      </c>
      <c r="P381" s="64">
        <f t="shared" si="94"/>
        <v>0</v>
      </c>
      <c r="Q381" s="68" t="s">
        <v>20</v>
      </c>
      <c r="R381" s="69">
        <f>P381*(J381-(J381*L381)-((J381-(J381*L381))*M381))</f>
        <v>0</v>
      </c>
      <c r="S381" s="23">
        <f t="shared" si="93"/>
        <v>0</v>
      </c>
    </row>
    <row r="382" spans="1:20">
      <c r="A382" s="15" t="s">
        <v>358</v>
      </c>
      <c r="S382" s="23"/>
    </row>
    <row r="383" spans="1:20" s="17" customFormat="1">
      <c r="A383" s="16" t="s">
        <v>359</v>
      </c>
      <c r="B383" s="17" t="s">
        <v>19</v>
      </c>
      <c r="C383" s="18"/>
      <c r="D383" s="19" t="s">
        <v>20</v>
      </c>
      <c r="E383" s="20"/>
      <c r="F383" s="21">
        <v>2</v>
      </c>
      <c r="G383" s="22" t="s">
        <v>34</v>
      </c>
      <c r="H383" s="21">
        <v>24</v>
      </c>
      <c r="I383" s="22" t="s">
        <v>20</v>
      </c>
      <c r="J383" s="23">
        <v>8000</v>
      </c>
      <c r="K383" s="19" t="s">
        <v>20</v>
      </c>
      <c r="L383" s="24">
        <v>0.125</v>
      </c>
      <c r="M383" s="24">
        <v>0.05</v>
      </c>
      <c r="N383" s="18"/>
      <c r="O383" s="22" t="s">
        <v>20</v>
      </c>
      <c r="P383" s="18">
        <f t="shared" ref="P383" si="98">(C383+(E383*F383*H383))-N383</f>
        <v>0</v>
      </c>
      <c r="Q383" s="22" t="s">
        <v>20</v>
      </c>
      <c r="R383" s="23">
        <f t="shared" ref="R383" si="99">P383*(J383-(J383*L383)-((J383-(J383*L383))*M383))</f>
        <v>0</v>
      </c>
      <c r="S383" s="23">
        <f t="shared" si="93"/>
        <v>0</v>
      </c>
    </row>
    <row r="384" spans="1:20" s="63" customFormat="1">
      <c r="A384" s="72" t="s">
        <v>360</v>
      </c>
      <c r="B384" s="63" t="s">
        <v>26</v>
      </c>
      <c r="C384" s="64"/>
      <c r="D384" s="65" t="s">
        <v>43</v>
      </c>
      <c r="E384" s="66"/>
      <c r="F384" s="67">
        <v>1</v>
      </c>
      <c r="G384" s="68" t="s">
        <v>21</v>
      </c>
      <c r="H384" s="67">
        <v>12</v>
      </c>
      <c r="I384" s="68" t="s">
        <v>43</v>
      </c>
      <c r="J384" s="69">
        <f>669600/12</f>
        <v>55800</v>
      </c>
      <c r="K384" s="65" t="s">
        <v>43</v>
      </c>
      <c r="L384" s="70"/>
      <c r="M384" s="70">
        <v>0.17</v>
      </c>
      <c r="N384" s="64"/>
      <c r="O384" s="68" t="s">
        <v>43</v>
      </c>
      <c r="P384" s="64">
        <f>(C384+(E384*F384*H384))-N384</f>
        <v>0</v>
      </c>
      <c r="Q384" s="68" t="s">
        <v>43</v>
      </c>
      <c r="R384" s="69">
        <f>P384*(J384-(J384*L384)-((J384-(J384*L384))*M384))</f>
        <v>0</v>
      </c>
      <c r="S384" s="69">
        <f t="shared" si="93"/>
        <v>0</v>
      </c>
    </row>
    <row r="385" spans="1:20" s="63" customFormat="1">
      <c r="A385" s="72" t="s">
        <v>361</v>
      </c>
      <c r="B385" s="63" t="s">
        <v>26</v>
      </c>
      <c r="C385" s="64">
        <f>63+6</f>
        <v>69</v>
      </c>
      <c r="D385" s="65" t="s">
        <v>43</v>
      </c>
      <c r="E385" s="66"/>
      <c r="F385" s="67">
        <v>1</v>
      </c>
      <c r="G385" s="68" t="s">
        <v>21</v>
      </c>
      <c r="H385" s="67">
        <v>20</v>
      </c>
      <c r="I385" s="68" t="s">
        <v>43</v>
      </c>
      <c r="J385" s="69">
        <f>684000/20</f>
        <v>34200</v>
      </c>
      <c r="K385" s="65" t="s">
        <v>43</v>
      </c>
      <c r="L385" s="70"/>
      <c r="M385" s="70">
        <v>0.17</v>
      </c>
      <c r="N385" s="64">
        <f>12+40+5+6+6</f>
        <v>69</v>
      </c>
      <c r="O385" s="68" t="s">
        <v>43</v>
      </c>
      <c r="P385" s="64">
        <f>(C385+(E385*F385*H385))-N385</f>
        <v>0</v>
      </c>
      <c r="Q385" s="68" t="s">
        <v>43</v>
      </c>
      <c r="R385" s="69">
        <f>P385*(J385-(J385*L385)-((J385-(J385*L385))*M385))</f>
        <v>0</v>
      </c>
      <c r="S385" s="23">
        <f t="shared" si="93"/>
        <v>0</v>
      </c>
    </row>
    <row r="386" spans="1:20" s="45" customFormat="1">
      <c r="A386" s="44" t="s">
        <v>362</v>
      </c>
      <c r="B386" s="45" t="s">
        <v>26</v>
      </c>
      <c r="C386" s="46"/>
      <c r="D386" s="47" t="s">
        <v>43</v>
      </c>
      <c r="E386" s="48">
        <v>5</v>
      </c>
      <c r="F386" s="49">
        <v>1</v>
      </c>
      <c r="G386" s="50" t="s">
        <v>21</v>
      </c>
      <c r="H386" s="49">
        <v>6</v>
      </c>
      <c r="I386" s="50" t="s">
        <v>43</v>
      </c>
      <c r="J386" s="51">
        <f>720000/6</f>
        <v>120000</v>
      </c>
      <c r="K386" s="47" t="s">
        <v>43</v>
      </c>
      <c r="L386" s="52"/>
      <c r="M386" s="52">
        <v>0.17</v>
      </c>
      <c r="N386" s="46">
        <f>3+18+6</f>
        <v>27</v>
      </c>
      <c r="O386" s="50" t="s">
        <v>43</v>
      </c>
      <c r="P386" s="46">
        <f>(C386+(E386*F386*H386))-N386</f>
        <v>3</v>
      </c>
      <c r="Q386" s="50" t="s">
        <v>43</v>
      </c>
      <c r="R386" s="51">
        <f>P386*(J386-(J386*L386)-((J386-(J386*L386))*M386))</f>
        <v>298800</v>
      </c>
      <c r="S386" s="51">
        <f t="shared" si="93"/>
        <v>269189.18918918917</v>
      </c>
    </row>
    <row r="387" spans="1:20">
      <c r="A387" s="15" t="s">
        <v>363</v>
      </c>
      <c r="L387" s="112"/>
      <c r="M387" s="112"/>
      <c r="S387" s="23"/>
    </row>
    <row r="388" spans="1:20" s="17" customFormat="1">
      <c r="A388" s="16" t="s">
        <v>364</v>
      </c>
      <c r="B388" s="17" t="s">
        <v>19</v>
      </c>
      <c r="C388" s="18"/>
      <c r="D388" s="19" t="s">
        <v>162</v>
      </c>
      <c r="E388" s="20"/>
      <c r="F388" s="21">
        <v>36</v>
      </c>
      <c r="G388" s="22" t="s">
        <v>34</v>
      </c>
      <c r="H388" s="21">
        <v>30</v>
      </c>
      <c r="I388" s="22" t="s">
        <v>162</v>
      </c>
      <c r="J388" s="23">
        <v>3200</v>
      </c>
      <c r="K388" s="19" t="s">
        <v>162</v>
      </c>
      <c r="L388" s="24">
        <v>0.125</v>
      </c>
      <c r="M388" s="24">
        <v>0.05</v>
      </c>
      <c r="N388" s="18"/>
      <c r="O388" s="22" t="s">
        <v>162</v>
      </c>
      <c r="P388" s="18">
        <f>(C388+(E388*F388*H388))-N388</f>
        <v>0</v>
      </c>
      <c r="Q388" s="22" t="s">
        <v>162</v>
      </c>
      <c r="R388" s="23">
        <f>P388*(J388-(J388*L388)-((J388-(J388*L388))*M388))</f>
        <v>0</v>
      </c>
      <c r="S388" s="23">
        <f t="shared" si="93"/>
        <v>0</v>
      </c>
      <c r="T388" s="23"/>
    </row>
    <row r="389" spans="1:20" s="17" customFormat="1">
      <c r="A389" s="16" t="s">
        <v>365</v>
      </c>
      <c r="B389" s="17" t="s">
        <v>19</v>
      </c>
      <c r="C389" s="18"/>
      <c r="D389" s="19" t="s">
        <v>162</v>
      </c>
      <c r="E389" s="20"/>
      <c r="F389" s="21">
        <v>36</v>
      </c>
      <c r="G389" s="22" t="s">
        <v>34</v>
      </c>
      <c r="H389" s="21">
        <v>30</v>
      </c>
      <c r="I389" s="22" t="s">
        <v>162</v>
      </c>
      <c r="J389" s="23">
        <v>2900</v>
      </c>
      <c r="K389" s="19" t="s">
        <v>162</v>
      </c>
      <c r="L389" s="24">
        <v>0.125</v>
      </c>
      <c r="M389" s="24">
        <v>0.05</v>
      </c>
      <c r="N389" s="18"/>
      <c r="O389" s="22" t="s">
        <v>162</v>
      </c>
      <c r="P389" s="18">
        <f>(C389+(E389*F389*H389))-N389</f>
        <v>0</v>
      </c>
      <c r="Q389" s="22" t="s">
        <v>162</v>
      </c>
      <c r="R389" s="23">
        <f>P389*(J389-(J389*L389)-((J389-(J389*L389))*M389))</f>
        <v>0</v>
      </c>
      <c r="S389" s="23">
        <f t="shared" si="93"/>
        <v>0</v>
      </c>
      <c r="T389" s="23"/>
    </row>
    <row r="390" spans="1:20">
      <c r="S390" s="23"/>
    </row>
    <row r="391" spans="1:20" ht="15.75">
      <c r="A391" s="14" t="s">
        <v>366</v>
      </c>
      <c r="S391" s="23"/>
    </row>
    <row r="392" spans="1:20" s="26" customFormat="1">
      <c r="A392" s="94" t="s">
        <v>367</v>
      </c>
      <c r="B392" s="26" t="s">
        <v>26</v>
      </c>
      <c r="C392" s="27">
        <v>80</v>
      </c>
      <c r="D392" s="28" t="s">
        <v>34</v>
      </c>
      <c r="E392" s="29"/>
      <c r="F392" s="30">
        <v>10</v>
      </c>
      <c r="G392" s="31" t="s">
        <v>104</v>
      </c>
      <c r="H392" s="30">
        <v>10</v>
      </c>
      <c r="I392" s="31" t="s">
        <v>34</v>
      </c>
      <c r="J392" s="32">
        <f>980000/100</f>
        <v>9800</v>
      </c>
      <c r="K392" s="28" t="s">
        <v>34</v>
      </c>
      <c r="L392" s="33"/>
      <c r="M392" s="33">
        <v>0.17</v>
      </c>
      <c r="N392" s="27"/>
      <c r="O392" s="31" t="s">
        <v>34</v>
      </c>
      <c r="P392" s="27">
        <f>(C392+(E392*F392*H392))-N392</f>
        <v>80</v>
      </c>
      <c r="Q392" s="31" t="s">
        <v>34</v>
      </c>
      <c r="R392" s="32">
        <f>P392*(J392-(J392*L392)-((J392-(J392*L392))*M392))</f>
        <v>650720</v>
      </c>
      <c r="S392" s="32">
        <f t="shared" si="93"/>
        <v>586234.2342342342</v>
      </c>
    </row>
    <row r="393" spans="1:20" s="26" customFormat="1">
      <c r="A393" s="94" t="s">
        <v>368</v>
      </c>
      <c r="B393" s="26" t="s">
        <v>26</v>
      </c>
      <c r="C393" s="27">
        <v>30</v>
      </c>
      <c r="D393" s="28" t="s">
        <v>34</v>
      </c>
      <c r="E393" s="29"/>
      <c r="F393" s="30">
        <v>10</v>
      </c>
      <c r="G393" s="31" t="s">
        <v>104</v>
      </c>
      <c r="H393" s="30">
        <v>10</v>
      </c>
      <c r="I393" s="31" t="s">
        <v>34</v>
      </c>
      <c r="J393" s="32">
        <f>980000/100</f>
        <v>9800</v>
      </c>
      <c r="K393" s="28" t="s">
        <v>34</v>
      </c>
      <c r="L393" s="33"/>
      <c r="M393" s="33">
        <v>0.17</v>
      </c>
      <c r="N393" s="27">
        <v>20</v>
      </c>
      <c r="O393" s="31" t="s">
        <v>34</v>
      </c>
      <c r="P393" s="27">
        <f>(C393+(E393*F393*H393))-N393</f>
        <v>10</v>
      </c>
      <c r="Q393" s="31" t="s">
        <v>34</v>
      </c>
      <c r="R393" s="32">
        <f>P393*(J393-(J393*L393)-((J393-(J393*L393))*M393))</f>
        <v>81340</v>
      </c>
      <c r="S393" s="32">
        <f t="shared" si="93"/>
        <v>73279.279279279275</v>
      </c>
    </row>
    <row r="394" spans="1:20" s="17" customFormat="1">
      <c r="A394" s="93" t="s">
        <v>369</v>
      </c>
      <c r="B394" s="17" t="s">
        <v>19</v>
      </c>
      <c r="C394" s="18"/>
      <c r="D394" s="19" t="s">
        <v>104</v>
      </c>
      <c r="E394" s="20"/>
      <c r="F394" s="21">
        <v>1</v>
      </c>
      <c r="G394" s="22" t="s">
        <v>21</v>
      </c>
      <c r="H394" s="21">
        <v>100</v>
      </c>
      <c r="I394" s="22" t="s">
        <v>104</v>
      </c>
      <c r="J394" s="23">
        <v>7800</v>
      </c>
      <c r="K394" s="19" t="s">
        <v>104</v>
      </c>
      <c r="L394" s="24">
        <v>0.125</v>
      </c>
      <c r="M394" s="24">
        <v>0.05</v>
      </c>
      <c r="N394" s="18"/>
      <c r="O394" s="22" t="s">
        <v>104</v>
      </c>
      <c r="P394" s="18">
        <f>(C394+(E394*F394*H394))-N394</f>
        <v>0</v>
      </c>
      <c r="Q394" s="22" t="s">
        <v>104</v>
      </c>
      <c r="R394" s="23">
        <f>P394*(J394-(J394*L394)-((J394-(J394*L394))*M394))</f>
        <v>0</v>
      </c>
      <c r="S394" s="23">
        <f t="shared" si="93"/>
        <v>0</v>
      </c>
      <c r="T394" s="23"/>
    </row>
    <row r="395" spans="1:20" s="17" customFormat="1">
      <c r="A395" s="93" t="s">
        <v>370</v>
      </c>
      <c r="B395" s="17" t="s">
        <v>19</v>
      </c>
      <c r="C395" s="18"/>
      <c r="D395" s="19" t="s">
        <v>104</v>
      </c>
      <c r="E395" s="20"/>
      <c r="F395" s="21">
        <v>1</v>
      </c>
      <c r="G395" s="22" t="s">
        <v>21</v>
      </c>
      <c r="H395" s="21">
        <v>100</v>
      </c>
      <c r="I395" s="22" t="s">
        <v>104</v>
      </c>
      <c r="J395" s="23">
        <v>7800</v>
      </c>
      <c r="K395" s="19" t="s">
        <v>104</v>
      </c>
      <c r="L395" s="24">
        <v>0.125</v>
      </c>
      <c r="M395" s="24">
        <v>0.05</v>
      </c>
      <c r="N395" s="18"/>
      <c r="O395" s="22" t="s">
        <v>104</v>
      </c>
      <c r="P395" s="18">
        <f>(C395+(E395*F395*H395))-N395</f>
        <v>0</v>
      </c>
      <c r="Q395" s="22" t="s">
        <v>104</v>
      </c>
      <c r="R395" s="23">
        <f>P395*(J395-(J395*L395)-((J395-(J395*L395))*M395))</f>
        <v>0</v>
      </c>
      <c r="S395" s="23">
        <f t="shared" si="93"/>
        <v>0</v>
      </c>
      <c r="T395" s="23"/>
    </row>
    <row r="396" spans="1:20">
      <c r="S396" s="23"/>
    </row>
    <row r="397" spans="1:20" ht="15.75">
      <c r="A397" s="14" t="s">
        <v>371</v>
      </c>
      <c r="S397" s="23"/>
    </row>
    <row r="398" spans="1:20">
      <c r="A398" s="15" t="s">
        <v>372</v>
      </c>
      <c r="S398" s="23"/>
    </row>
    <row r="399" spans="1:20" s="17" customFormat="1">
      <c r="A399" s="16" t="s">
        <v>373</v>
      </c>
      <c r="B399" s="17" t="s">
        <v>19</v>
      </c>
      <c r="C399" s="18"/>
      <c r="D399" s="19" t="s">
        <v>43</v>
      </c>
      <c r="E399" s="20"/>
      <c r="F399" s="21">
        <v>1</v>
      </c>
      <c r="G399" s="22" t="s">
        <v>21</v>
      </c>
      <c r="H399" s="21">
        <v>144</v>
      </c>
      <c r="I399" s="22" t="s">
        <v>43</v>
      </c>
      <c r="J399" s="23">
        <v>28200</v>
      </c>
      <c r="K399" s="19" t="s">
        <v>43</v>
      </c>
      <c r="L399" s="24">
        <v>0.125</v>
      </c>
      <c r="M399" s="24">
        <v>0.05</v>
      </c>
      <c r="N399" s="18"/>
      <c r="O399" s="22" t="s">
        <v>43</v>
      </c>
      <c r="P399" s="18">
        <f t="shared" ref="P399:P417" si="100">(C399+(E399*F399*H399))-N399</f>
        <v>0</v>
      </c>
      <c r="Q399" s="22" t="s">
        <v>43</v>
      </c>
      <c r="R399" s="23">
        <f t="shared" ref="R399:R417" si="101">P399*(J399-(J399*L399)-((J399-(J399*L399))*M399))</f>
        <v>0</v>
      </c>
      <c r="S399" s="69">
        <f t="shared" si="93"/>
        <v>0</v>
      </c>
    </row>
    <row r="400" spans="1:20" s="63" customFormat="1">
      <c r="A400" s="72" t="s">
        <v>374</v>
      </c>
      <c r="B400" s="63" t="s">
        <v>19</v>
      </c>
      <c r="C400" s="64"/>
      <c r="D400" s="65" t="s">
        <v>43</v>
      </c>
      <c r="E400" s="66"/>
      <c r="F400" s="67">
        <v>1</v>
      </c>
      <c r="G400" s="68" t="s">
        <v>21</v>
      </c>
      <c r="H400" s="67">
        <v>144</v>
      </c>
      <c r="I400" s="68" t="s">
        <v>43</v>
      </c>
      <c r="J400" s="69">
        <v>7800</v>
      </c>
      <c r="K400" s="65" t="s">
        <v>43</v>
      </c>
      <c r="L400" s="70">
        <v>0.1</v>
      </c>
      <c r="M400" s="70">
        <v>0.05</v>
      </c>
      <c r="N400" s="64"/>
      <c r="O400" s="68" t="s">
        <v>43</v>
      </c>
      <c r="P400" s="64">
        <f t="shared" si="100"/>
        <v>0</v>
      </c>
      <c r="Q400" s="68" t="s">
        <v>43</v>
      </c>
      <c r="R400" s="69">
        <f t="shared" si="101"/>
        <v>0</v>
      </c>
      <c r="S400" s="69">
        <f t="shared" si="93"/>
        <v>0</v>
      </c>
    </row>
    <row r="401" spans="1:19" s="45" customFormat="1">
      <c r="A401" s="44" t="s">
        <v>376</v>
      </c>
      <c r="B401" s="45" t="s">
        <v>19</v>
      </c>
      <c r="C401" s="46">
        <v>114</v>
      </c>
      <c r="D401" s="47" t="s">
        <v>43</v>
      </c>
      <c r="E401" s="48">
        <v>1</v>
      </c>
      <c r="F401" s="49">
        <v>1</v>
      </c>
      <c r="G401" s="50" t="s">
        <v>21</v>
      </c>
      <c r="H401" s="49">
        <v>144</v>
      </c>
      <c r="I401" s="50" t="s">
        <v>43</v>
      </c>
      <c r="J401" s="51">
        <v>6900</v>
      </c>
      <c r="K401" s="47" t="s">
        <v>43</v>
      </c>
      <c r="L401" s="52">
        <v>0.125</v>
      </c>
      <c r="M401" s="52">
        <v>0.05</v>
      </c>
      <c r="N401" s="46">
        <f>12+144</f>
        <v>156</v>
      </c>
      <c r="O401" s="50" t="s">
        <v>43</v>
      </c>
      <c r="P401" s="46">
        <f t="shared" si="100"/>
        <v>102</v>
      </c>
      <c r="Q401" s="50" t="s">
        <v>43</v>
      </c>
      <c r="R401" s="51">
        <f t="shared" si="101"/>
        <v>585033.75</v>
      </c>
      <c r="S401" s="51">
        <f t="shared" si="93"/>
        <v>527057.43243243243</v>
      </c>
    </row>
    <row r="402" spans="1:19" s="17" customFormat="1">
      <c r="A402" s="16" t="s">
        <v>377</v>
      </c>
      <c r="B402" s="17" t="s">
        <v>19</v>
      </c>
      <c r="C402" s="18"/>
      <c r="D402" s="19" t="s">
        <v>43</v>
      </c>
      <c r="E402" s="20">
        <v>1</v>
      </c>
      <c r="F402" s="21">
        <v>1</v>
      </c>
      <c r="G402" s="22" t="s">
        <v>21</v>
      </c>
      <c r="H402" s="21">
        <v>144</v>
      </c>
      <c r="I402" s="22" t="s">
        <v>43</v>
      </c>
      <c r="J402" s="23">
        <v>7020</v>
      </c>
      <c r="K402" s="19" t="s">
        <v>43</v>
      </c>
      <c r="L402" s="24">
        <v>0.125</v>
      </c>
      <c r="M402" s="24">
        <v>0.05</v>
      </c>
      <c r="N402" s="18">
        <v>144</v>
      </c>
      <c r="O402" s="22" t="s">
        <v>43</v>
      </c>
      <c r="P402" s="18">
        <f t="shared" si="100"/>
        <v>0</v>
      </c>
      <c r="Q402" s="22" t="s">
        <v>43</v>
      </c>
      <c r="R402" s="23">
        <f t="shared" si="101"/>
        <v>0</v>
      </c>
      <c r="S402" s="23">
        <f t="shared" si="93"/>
        <v>0</v>
      </c>
    </row>
    <row r="403" spans="1:19" s="17" customFormat="1">
      <c r="A403" s="16" t="s">
        <v>825</v>
      </c>
      <c r="B403" s="17" t="s">
        <v>19</v>
      </c>
      <c r="C403" s="18"/>
      <c r="D403" s="19" t="s">
        <v>43</v>
      </c>
      <c r="E403" s="20">
        <v>1</v>
      </c>
      <c r="F403" s="21">
        <v>1</v>
      </c>
      <c r="G403" s="22" t="s">
        <v>21</v>
      </c>
      <c r="H403" s="21">
        <v>144</v>
      </c>
      <c r="I403" s="22" t="s">
        <v>43</v>
      </c>
      <c r="J403" s="23">
        <v>6600</v>
      </c>
      <c r="K403" s="19" t="s">
        <v>43</v>
      </c>
      <c r="L403" s="24">
        <v>0.125</v>
      </c>
      <c r="M403" s="24">
        <v>0.05</v>
      </c>
      <c r="N403" s="18">
        <v>144</v>
      </c>
      <c r="O403" s="22" t="s">
        <v>43</v>
      </c>
      <c r="P403" s="18">
        <f t="shared" ref="P403" si="102">(C403+(E403*F403*H403))-N403</f>
        <v>0</v>
      </c>
      <c r="Q403" s="22" t="s">
        <v>43</v>
      </c>
      <c r="R403" s="23">
        <f t="shared" ref="R403" si="103">P403*(J403-(J403*L403)-((J403-(J403*L403))*M403))</f>
        <v>0</v>
      </c>
      <c r="S403" s="23">
        <f t="shared" ref="S403" si="104">R403/1.11</f>
        <v>0</v>
      </c>
    </row>
    <row r="404" spans="1:19" s="17" customFormat="1">
      <c r="A404" s="16" t="s">
        <v>721</v>
      </c>
      <c r="B404" s="17" t="s">
        <v>19</v>
      </c>
      <c r="C404" s="18"/>
      <c r="D404" s="19" t="s">
        <v>43</v>
      </c>
      <c r="E404" s="20"/>
      <c r="F404" s="21">
        <v>1</v>
      </c>
      <c r="G404" s="22" t="s">
        <v>21</v>
      </c>
      <c r="H404" s="21">
        <v>144</v>
      </c>
      <c r="I404" s="22" t="s">
        <v>43</v>
      </c>
      <c r="J404" s="23">
        <v>6000</v>
      </c>
      <c r="K404" s="19" t="s">
        <v>43</v>
      </c>
      <c r="L404" s="24">
        <v>0.125</v>
      </c>
      <c r="M404" s="24">
        <v>0.05</v>
      </c>
      <c r="N404" s="18"/>
      <c r="O404" s="22" t="s">
        <v>43</v>
      </c>
      <c r="P404" s="18">
        <f t="shared" si="100"/>
        <v>0</v>
      </c>
      <c r="Q404" s="22" t="s">
        <v>43</v>
      </c>
      <c r="R404" s="23">
        <f t="shared" si="101"/>
        <v>0</v>
      </c>
      <c r="S404" s="23">
        <f t="shared" si="93"/>
        <v>0</v>
      </c>
    </row>
    <row r="405" spans="1:19" s="17" customFormat="1">
      <c r="A405" s="16" t="s">
        <v>774</v>
      </c>
      <c r="B405" s="17" t="s">
        <v>19</v>
      </c>
      <c r="C405" s="18"/>
      <c r="D405" s="19" t="s">
        <v>43</v>
      </c>
      <c r="E405" s="20"/>
      <c r="F405" s="21">
        <v>1</v>
      </c>
      <c r="G405" s="22" t="s">
        <v>21</v>
      </c>
      <c r="H405" s="21">
        <v>144</v>
      </c>
      <c r="I405" s="22" t="s">
        <v>43</v>
      </c>
      <c r="J405" s="23">
        <v>6000</v>
      </c>
      <c r="K405" s="19" t="s">
        <v>43</v>
      </c>
      <c r="L405" s="24">
        <v>0.125</v>
      </c>
      <c r="M405" s="24">
        <v>0.05</v>
      </c>
      <c r="N405" s="18"/>
      <c r="O405" s="22" t="s">
        <v>43</v>
      </c>
      <c r="P405" s="18">
        <f t="shared" si="100"/>
        <v>0</v>
      </c>
      <c r="Q405" s="22" t="s">
        <v>43</v>
      </c>
      <c r="R405" s="23">
        <f t="shared" si="101"/>
        <v>0</v>
      </c>
      <c r="S405" s="23">
        <f t="shared" si="93"/>
        <v>0</v>
      </c>
    </row>
    <row r="406" spans="1:19" s="26" customFormat="1">
      <c r="A406" s="25" t="s">
        <v>378</v>
      </c>
      <c r="B406" s="26" t="s">
        <v>19</v>
      </c>
      <c r="C406" s="27">
        <v>864</v>
      </c>
      <c r="D406" s="28" t="s">
        <v>43</v>
      </c>
      <c r="E406" s="29"/>
      <c r="F406" s="30">
        <v>1</v>
      </c>
      <c r="G406" s="31" t="s">
        <v>21</v>
      </c>
      <c r="H406" s="30">
        <v>144</v>
      </c>
      <c r="I406" s="31" t="s">
        <v>43</v>
      </c>
      <c r="J406" s="32">
        <v>5100</v>
      </c>
      <c r="K406" s="28" t="s">
        <v>43</v>
      </c>
      <c r="L406" s="33">
        <v>0.125</v>
      </c>
      <c r="M406" s="33">
        <v>0.05</v>
      </c>
      <c r="N406" s="27"/>
      <c r="O406" s="31" t="s">
        <v>43</v>
      </c>
      <c r="P406" s="27">
        <f t="shared" si="100"/>
        <v>864</v>
      </c>
      <c r="Q406" s="31" t="s">
        <v>43</v>
      </c>
      <c r="R406" s="32">
        <f t="shared" si="101"/>
        <v>3662820</v>
      </c>
      <c r="S406" s="32">
        <f t="shared" si="93"/>
        <v>3299837.8378378376</v>
      </c>
    </row>
    <row r="407" spans="1:19" s="17" customFormat="1">
      <c r="A407" s="95" t="s">
        <v>379</v>
      </c>
      <c r="B407" s="96" t="s">
        <v>19</v>
      </c>
      <c r="C407" s="276">
        <v>267</v>
      </c>
      <c r="D407" s="98" t="s">
        <v>43</v>
      </c>
      <c r="E407" s="105"/>
      <c r="F407" s="100">
        <v>1</v>
      </c>
      <c r="G407" s="101" t="s">
        <v>21</v>
      </c>
      <c r="H407" s="100">
        <v>144</v>
      </c>
      <c r="I407" s="101" t="s">
        <v>43</v>
      </c>
      <c r="J407" s="102">
        <v>12000</v>
      </c>
      <c r="K407" s="98" t="s">
        <v>43</v>
      </c>
      <c r="L407" s="103">
        <v>0.1</v>
      </c>
      <c r="M407" s="103">
        <v>0.05</v>
      </c>
      <c r="N407" s="97">
        <f>144+12+144-33</f>
        <v>267</v>
      </c>
      <c r="O407" s="101" t="s">
        <v>43</v>
      </c>
      <c r="P407" s="97">
        <f t="shared" si="100"/>
        <v>0</v>
      </c>
      <c r="Q407" s="101" t="s">
        <v>43</v>
      </c>
      <c r="R407" s="102">
        <f t="shared" si="101"/>
        <v>0</v>
      </c>
      <c r="S407" s="102">
        <f t="shared" si="93"/>
        <v>0</v>
      </c>
    </row>
    <row r="408" spans="1:19" s="26" customFormat="1">
      <c r="A408" s="35" t="s">
        <v>379</v>
      </c>
      <c r="B408" s="36" t="s">
        <v>19</v>
      </c>
      <c r="C408" s="198">
        <v>432</v>
      </c>
      <c r="D408" s="38" t="s">
        <v>43</v>
      </c>
      <c r="E408" s="39"/>
      <c r="F408" s="40">
        <v>1</v>
      </c>
      <c r="G408" s="41" t="s">
        <v>21</v>
      </c>
      <c r="H408" s="40">
        <v>144</v>
      </c>
      <c r="I408" s="41" t="s">
        <v>43</v>
      </c>
      <c r="J408" s="42">
        <v>12000</v>
      </c>
      <c r="K408" s="38" t="s">
        <v>43</v>
      </c>
      <c r="L408" s="43">
        <v>0.125</v>
      </c>
      <c r="M408" s="43">
        <v>0.05</v>
      </c>
      <c r="N408" s="37">
        <f>(144-111)+12+24</f>
        <v>69</v>
      </c>
      <c r="O408" s="41" t="s">
        <v>43</v>
      </c>
      <c r="P408" s="37">
        <f t="shared" si="100"/>
        <v>363</v>
      </c>
      <c r="Q408" s="41" t="s">
        <v>43</v>
      </c>
      <c r="R408" s="42">
        <f t="shared" si="101"/>
        <v>3620925</v>
      </c>
      <c r="S408" s="42">
        <f t="shared" si="93"/>
        <v>3262094.5945945941</v>
      </c>
    </row>
    <row r="409" spans="1:19" s="26" customFormat="1">
      <c r="A409" s="35" t="s">
        <v>379</v>
      </c>
      <c r="B409" s="36" t="s">
        <v>19</v>
      </c>
      <c r="C409" s="198">
        <f>156+36+36+24+12+12+60+24+24+36</f>
        <v>420</v>
      </c>
      <c r="D409" s="38" t="s">
        <v>43</v>
      </c>
      <c r="E409" s="39"/>
      <c r="F409" s="40">
        <v>1</v>
      </c>
      <c r="G409" s="41" t="s">
        <v>21</v>
      </c>
      <c r="H409" s="40">
        <v>144</v>
      </c>
      <c r="I409" s="41" t="s">
        <v>43</v>
      </c>
      <c r="J409" s="42">
        <v>12600</v>
      </c>
      <c r="K409" s="38" t="s">
        <v>43</v>
      </c>
      <c r="L409" s="43">
        <v>0.1</v>
      </c>
      <c r="M409" s="43">
        <v>0.05</v>
      </c>
      <c r="N409" s="37"/>
      <c r="O409" s="41" t="s">
        <v>43</v>
      </c>
      <c r="P409" s="37">
        <f t="shared" si="100"/>
        <v>420</v>
      </c>
      <c r="Q409" s="41" t="s">
        <v>43</v>
      </c>
      <c r="R409" s="42">
        <f t="shared" si="101"/>
        <v>4524660</v>
      </c>
      <c r="S409" s="42">
        <f t="shared" si="93"/>
        <v>4076270.2702702698</v>
      </c>
    </row>
    <row r="410" spans="1:19" s="26" customFormat="1">
      <c r="A410" s="35" t="s">
        <v>379</v>
      </c>
      <c r="B410" s="36" t="s">
        <v>19</v>
      </c>
      <c r="C410" s="198">
        <f>72+12+84+84+36+12+(156-144)</f>
        <v>312</v>
      </c>
      <c r="D410" s="38" t="s">
        <v>43</v>
      </c>
      <c r="E410" s="39">
        <f>1+1</f>
        <v>2</v>
      </c>
      <c r="F410" s="40">
        <v>1</v>
      </c>
      <c r="G410" s="41" t="s">
        <v>21</v>
      </c>
      <c r="H410" s="40">
        <v>144</v>
      </c>
      <c r="I410" s="41" t="s">
        <v>43</v>
      </c>
      <c r="J410" s="42">
        <v>12600</v>
      </c>
      <c r="K410" s="38" t="s">
        <v>43</v>
      </c>
      <c r="L410" s="43">
        <v>0.125</v>
      </c>
      <c r="M410" s="43">
        <v>0.05</v>
      </c>
      <c r="N410" s="37"/>
      <c r="O410" s="41" t="s">
        <v>43</v>
      </c>
      <c r="P410" s="37">
        <f t="shared" si="100"/>
        <v>600</v>
      </c>
      <c r="Q410" s="41" t="s">
        <v>43</v>
      </c>
      <c r="R410" s="42">
        <f t="shared" si="101"/>
        <v>6284250</v>
      </c>
      <c r="S410" s="42">
        <f t="shared" si="93"/>
        <v>5661486.4864864862</v>
      </c>
    </row>
    <row r="411" spans="1:19" s="17" customFormat="1">
      <c r="A411" s="93" t="s">
        <v>380</v>
      </c>
      <c r="B411" s="17" t="s">
        <v>26</v>
      </c>
      <c r="C411" s="18"/>
      <c r="D411" s="19" t="s">
        <v>43</v>
      </c>
      <c r="E411" s="20"/>
      <c r="F411" s="21">
        <v>1</v>
      </c>
      <c r="G411" s="22" t="s">
        <v>21</v>
      </c>
      <c r="H411" s="21">
        <v>144</v>
      </c>
      <c r="I411" s="22" t="s">
        <v>43</v>
      </c>
      <c r="J411" s="23">
        <v>22200</v>
      </c>
      <c r="K411" s="19" t="s">
        <v>43</v>
      </c>
      <c r="L411" s="24"/>
      <c r="M411" s="24">
        <v>0.17</v>
      </c>
      <c r="N411" s="18"/>
      <c r="O411" s="22" t="s">
        <v>43</v>
      </c>
      <c r="P411" s="18">
        <f t="shared" si="100"/>
        <v>0</v>
      </c>
      <c r="Q411" s="22" t="s">
        <v>43</v>
      </c>
      <c r="R411" s="23">
        <f t="shared" si="101"/>
        <v>0</v>
      </c>
      <c r="S411" s="23">
        <f t="shared" si="93"/>
        <v>0</v>
      </c>
    </row>
    <row r="412" spans="1:19" s="17" customFormat="1">
      <c r="A412" s="93" t="s">
        <v>381</v>
      </c>
      <c r="B412" s="17" t="s">
        <v>26</v>
      </c>
      <c r="C412" s="18"/>
      <c r="D412" s="19" t="s">
        <v>43</v>
      </c>
      <c r="E412" s="20"/>
      <c r="F412" s="21">
        <v>1</v>
      </c>
      <c r="G412" s="22" t="s">
        <v>21</v>
      </c>
      <c r="H412" s="21">
        <v>144</v>
      </c>
      <c r="I412" s="22" t="s">
        <v>43</v>
      </c>
      <c r="J412" s="23">
        <v>13800</v>
      </c>
      <c r="K412" s="19" t="s">
        <v>43</v>
      </c>
      <c r="L412" s="24"/>
      <c r="M412" s="24">
        <v>0.17</v>
      </c>
      <c r="N412" s="18"/>
      <c r="O412" s="22" t="s">
        <v>43</v>
      </c>
      <c r="P412" s="18">
        <f t="shared" si="100"/>
        <v>0</v>
      </c>
      <c r="Q412" s="22" t="s">
        <v>43</v>
      </c>
      <c r="R412" s="23">
        <f t="shared" si="101"/>
        <v>0</v>
      </c>
      <c r="S412" s="23">
        <f t="shared" si="93"/>
        <v>0</v>
      </c>
    </row>
    <row r="413" spans="1:19" s="17" customFormat="1">
      <c r="A413" s="93" t="s">
        <v>382</v>
      </c>
      <c r="B413" s="17" t="s">
        <v>26</v>
      </c>
      <c r="C413" s="18"/>
      <c r="D413" s="19" t="s">
        <v>43</v>
      </c>
      <c r="E413" s="20"/>
      <c r="F413" s="21">
        <v>1</v>
      </c>
      <c r="G413" s="22" t="s">
        <v>21</v>
      </c>
      <c r="H413" s="21">
        <v>144</v>
      </c>
      <c r="I413" s="22" t="s">
        <v>43</v>
      </c>
      <c r="J413" s="23">
        <v>13800</v>
      </c>
      <c r="K413" s="19" t="s">
        <v>43</v>
      </c>
      <c r="L413" s="24"/>
      <c r="M413" s="24">
        <v>0.17</v>
      </c>
      <c r="N413" s="18"/>
      <c r="O413" s="22" t="s">
        <v>43</v>
      </c>
      <c r="P413" s="18">
        <f t="shared" si="100"/>
        <v>0</v>
      </c>
      <c r="Q413" s="22" t="s">
        <v>43</v>
      </c>
      <c r="R413" s="23">
        <f t="shared" si="101"/>
        <v>0</v>
      </c>
      <c r="S413" s="23">
        <f t="shared" si="93"/>
        <v>0</v>
      </c>
    </row>
    <row r="414" spans="1:19" s="17" customFormat="1">
      <c r="A414" s="93" t="s">
        <v>383</v>
      </c>
      <c r="B414" s="17" t="s">
        <v>26</v>
      </c>
      <c r="C414" s="18">
        <v>24</v>
      </c>
      <c r="D414" s="19" t="s">
        <v>43</v>
      </c>
      <c r="E414" s="20"/>
      <c r="F414" s="21">
        <v>1</v>
      </c>
      <c r="G414" s="22" t="s">
        <v>21</v>
      </c>
      <c r="H414" s="21">
        <v>144</v>
      </c>
      <c r="I414" s="22" t="s">
        <v>43</v>
      </c>
      <c r="J414" s="23">
        <v>13800</v>
      </c>
      <c r="K414" s="19" t="s">
        <v>43</v>
      </c>
      <c r="L414" s="24"/>
      <c r="M414" s="24">
        <v>0.17</v>
      </c>
      <c r="N414" s="18">
        <f>12+12</f>
        <v>24</v>
      </c>
      <c r="O414" s="22" t="s">
        <v>43</v>
      </c>
      <c r="P414" s="18">
        <f t="shared" si="100"/>
        <v>0</v>
      </c>
      <c r="Q414" s="22" t="s">
        <v>43</v>
      </c>
      <c r="R414" s="23">
        <f t="shared" si="101"/>
        <v>0</v>
      </c>
      <c r="S414" s="23">
        <f t="shared" si="93"/>
        <v>0</v>
      </c>
    </row>
    <row r="415" spans="1:19" s="17" customFormat="1">
      <c r="A415" s="93" t="s">
        <v>384</v>
      </c>
      <c r="B415" s="17" t="s">
        <v>26</v>
      </c>
      <c r="C415" s="18"/>
      <c r="D415" s="19" t="s">
        <v>43</v>
      </c>
      <c r="E415" s="20"/>
      <c r="F415" s="21">
        <v>1</v>
      </c>
      <c r="G415" s="22" t="s">
        <v>21</v>
      </c>
      <c r="H415" s="21">
        <v>144</v>
      </c>
      <c r="I415" s="22" t="s">
        <v>43</v>
      </c>
      <c r="J415" s="23">
        <v>13800</v>
      </c>
      <c r="K415" s="19" t="s">
        <v>43</v>
      </c>
      <c r="L415" s="24"/>
      <c r="M415" s="24">
        <v>0.17</v>
      </c>
      <c r="N415" s="18"/>
      <c r="O415" s="22" t="s">
        <v>43</v>
      </c>
      <c r="P415" s="18">
        <f t="shared" si="100"/>
        <v>0</v>
      </c>
      <c r="Q415" s="22" t="s">
        <v>43</v>
      </c>
      <c r="R415" s="23">
        <f t="shared" si="101"/>
        <v>0</v>
      </c>
      <c r="S415" s="23">
        <f t="shared" si="93"/>
        <v>0</v>
      </c>
    </row>
    <row r="416" spans="1:19" s="17" customFormat="1">
      <c r="A416" s="93" t="s">
        <v>385</v>
      </c>
      <c r="B416" s="17" t="s">
        <v>26</v>
      </c>
      <c r="C416" s="18"/>
      <c r="D416" s="19" t="s">
        <v>43</v>
      </c>
      <c r="E416" s="20"/>
      <c r="F416" s="21">
        <v>1</v>
      </c>
      <c r="G416" s="22" t="s">
        <v>21</v>
      </c>
      <c r="H416" s="21">
        <v>144</v>
      </c>
      <c r="I416" s="22" t="s">
        <v>43</v>
      </c>
      <c r="J416" s="23">
        <f>1987200/144</f>
        <v>13800</v>
      </c>
      <c r="K416" s="19" t="s">
        <v>43</v>
      </c>
      <c r="L416" s="24"/>
      <c r="M416" s="24">
        <v>0.17</v>
      </c>
      <c r="N416" s="18"/>
      <c r="O416" s="22" t="s">
        <v>43</v>
      </c>
      <c r="P416" s="18">
        <f t="shared" si="100"/>
        <v>0</v>
      </c>
      <c r="Q416" s="22" t="s">
        <v>43</v>
      </c>
      <c r="R416" s="23">
        <f t="shared" si="101"/>
        <v>0</v>
      </c>
      <c r="S416" s="23">
        <f t="shared" si="93"/>
        <v>0</v>
      </c>
    </row>
    <row r="417" spans="1:19" s="17" customFormat="1">
      <c r="A417" s="93" t="s">
        <v>386</v>
      </c>
      <c r="B417" s="17" t="s">
        <v>26</v>
      </c>
      <c r="C417" s="18"/>
      <c r="D417" s="19" t="s">
        <v>43</v>
      </c>
      <c r="E417" s="20"/>
      <c r="F417" s="21">
        <v>1</v>
      </c>
      <c r="G417" s="22" t="s">
        <v>21</v>
      </c>
      <c r="H417" s="21">
        <v>144</v>
      </c>
      <c r="I417" s="22" t="s">
        <v>43</v>
      </c>
      <c r="J417" s="23">
        <f>2073600/12/12</f>
        <v>14400</v>
      </c>
      <c r="K417" s="19" t="s">
        <v>43</v>
      </c>
      <c r="L417" s="24"/>
      <c r="M417" s="24">
        <v>0.17</v>
      </c>
      <c r="N417" s="18"/>
      <c r="O417" s="22" t="s">
        <v>43</v>
      </c>
      <c r="P417" s="18">
        <f t="shared" si="100"/>
        <v>0</v>
      </c>
      <c r="Q417" s="22" t="s">
        <v>43</v>
      </c>
      <c r="R417" s="23">
        <f t="shared" si="101"/>
        <v>0</v>
      </c>
      <c r="S417" s="23">
        <f t="shared" si="93"/>
        <v>0</v>
      </c>
    </row>
    <row r="418" spans="1:19">
      <c r="A418" s="15" t="s">
        <v>387</v>
      </c>
      <c r="S418" s="23"/>
    </row>
    <row r="419" spans="1:19">
      <c r="A419" s="34" t="s">
        <v>388</v>
      </c>
      <c r="B419" s="2" t="s">
        <v>192</v>
      </c>
      <c r="C419" s="3">
        <v>2147</v>
      </c>
      <c r="D419" s="4" t="s">
        <v>43</v>
      </c>
      <c r="F419" s="6">
        <v>1</v>
      </c>
      <c r="G419" s="7" t="s">
        <v>21</v>
      </c>
      <c r="H419" s="6">
        <v>240</v>
      </c>
      <c r="I419" s="7" t="s">
        <v>43</v>
      </c>
      <c r="J419" s="8">
        <v>10000</v>
      </c>
      <c r="K419" s="4" t="s">
        <v>43</v>
      </c>
      <c r="N419" s="3">
        <f>6+2+3+12+12</f>
        <v>35</v>
      </c>
      <c r="O419" s="7" t="s">
        <v>43</v>
      </c>
      <c r="P419" s="3">
        <f t="shared" ref="P419:P457" si="105">(C419+(E419*F419*H419))-N419</f>
        <v>2112</v>
      </c>
      <c r="Q419" s="7" t="s">
        <v>43</v>
      </c>
      <c r="R419" s="8">
        <f t="shared" ref="R419:R457" si="106">P419*(J419-(J419*L419)-((J419-(J419*L419))*M419))</f>
        <v>21120000</v>
      </c>
      <c r="S419" s="32">
        <f t="shared" si="93"/>
        <v>19027027.027027026</v>
      </c>
    </row>
    <row r="420" spans="1:19" s="26" customFormat="1">
      <c r="A420" s="25" t="s">
        <v>389</v>
      </c>
      <c r="B420" s="26" t="s">
        <v>192</v>
      </c>
      <c r="C420" s="27">
        <v>1545</v>
      </c>
      <c r="D420" s="28" t="s">
        <v>43</v>
      </c>
      <c r="E420" s="29"/>
      <c r="F420" s="30">
        <v>1</v>
      </c>
      <c r="G420" s="31" t="s">
        <v>21</v>
      </c>
      <c r="H420" s="30">
        <v>240</v>
      </c>
      <c r="I420" s="31" t="s">
        <v>43</v>
      </c>
      <c r="J420" s="32">
        <v>10000</v>
      </c>
      <c r="K420" s="28" t="s">
        <v>43</v>
      </c>
      <c r="L420" s="33"/>
      <c r="M420" s="33"/>
      <c r="N420" s="27">
        <f>12+6+2+3+12</f>
        <v>35</v>
      </c>
      <c r="O420" s="31" t="s">
        <v>43</v>
      </c>
      <c r="P420" s="27">
        <f t="shared" si="105"/>
        <v>1510</v>
      </c>
      <c r="Q420" s="31" t="s">
        <v>43</v>
      </c>
      <c r="R420" s="32">
        <f t="shared" si="106"/>
        <v>15100000</v>
      </c>
      <c r="S420" s="32">
        <f t="shared" si="93"/>
        <v>13603603.603603603</v>
      </c>
    </row>
    <row r="421" spans="1:19" s="26" customFormat="1">
      <c r="A421" s="25" t="s">
        <v>390</v>
      </c>
      <c r="B421" s="26" t="s">
        <v>192</v>
      </c>
      <c r="C421" s="27">
        <v>1201</v>
      </c>
      <c r="D421" s="28" t="s">
        <v>43</v>
      </c>
      <c r="E421" s="29"/>
      <c r="F421" s="30">
        <v>1</v>
      </c>
      <c r="G421" s="31" t="s">
        <v>21</v>
      </c>
      <c r="H421" s="30">
        <v>240</v>
      </c>
      <c r="I421" s="31" t="s">
        <v>43</v>
      </c>
      <c r="J421" s="32">
        <v>10000</v>
      </c>
      <c r="K421" s="28" t="s">
        <v>43</v>
      </c>
      <c r="L421" s="33"/>
      <c r="M421" s="33"/>
      <c r="N421" s="27">
        <f>6+12+3+2+12+12</f>
        <v>47</v>
      </c>
      <c r="O421" s="31" t="s">
        <v>43</v>
      </c>
      <c r="P421" s="27">
        <f t="shared" si="105"/>
        <v>1154</v>
      </c>
      <c r="Q421" s="31" t="s">
        <v>43</v>
      </c>
      <c r="R421" s="32">
        <f t="shared" si="106"/>
        <v>11540000</v>
      </c>
      <c r="S421" s="32">
        <f t="shared" si="93"/>
        <v>10396396.396396395</v>
      </c>
    </row>
    <row r="422" spans="1:19" s="26" customFormat="1">
      <c r="A422" s="25" t="s">
        <v>391</v>
      </c>
      <c r="B422" s="26" t="s">
        <v>192</v>
      </c>
      <c r="C422" s="27">
        <v>19</v>
      </c>
      <c r="D422" s="28" t="s">
        <v>43</v>
      </c>
      <c r="E422" s="29"/>
      <c r="F422" s="30">
        <v>1</v>
      </c>
      <c r="G422" s="31" t="s">
        <v>21</v>
      </c>
      <c r="H422" s="30">
        <v>240</v>
      </c>
      <c r="I422" s="31" t="s">
        <v>43</v>
      </c>
      <c r="J422" s="32">
        <v>10000</v>
      </c>
      <c r="K422" s="28" t="s">
        <v>43</v>
      </c>
      <c r="L422" s="33"/>
      <c r="M422" s="33"/>
      <c r="N422" s="27"/>
      <c r="O422" s="31" t="s">
        <v>43</v>
      </c>
      <c r="P422" s="27">
        <f t="shared" si="105"/>
        <v>19</v>
      </c>
      <c r="Q422" s="31" t="s">
        <v>43</v>
      </c>
      <c r="R422" s="32">
        <f t="shared" si="106"/>
        <v>190000</v>
      </c>
      <c r="S422" s="32">
        <f t="shared" si="93"/>
        <v>171171.17117117115</v>
      </c>
    </row>
    <row r="423" spans="1:19" s="17" customFormat="1">
      <c r="A423" s="16" t="s">
        <v>392</v>
      </c>
      <c r="B423" s="17" t="s">
        <v>19</v>
      </c>
      <c r="C423" s="18"/>
      <c r="D423" s="19" t="s">
        <v>43</v>
      </c>
      <c r="E423" s="20"/>
      <c r="F423" s="21">
        <v>1</v>
      </c>
      <c r="G423" s="22" t="s">
        <v>21</v>
      </c>
      <c r="H423" s="21">
        <v>144</v>
      </c>
      <c r="I423" s="22" t="s">
        <v>43</v>
      </c>
      <c r="J423" s="23">
        <v>19800</v>
      </c>
      <c r="K423" s="19" t="s">
        <v>43</v>
      </c>
      <c r="L423" s="24">
        <v>0.125</v>
      </c>
      <c r="M423" s="24">
        <v>0.05</v>
      </c>
      <c r="N423" s="18"/>
      <c r="O423" s="22" t="s">
        <v>43</v>
      </c>
      <c r="P423" s="18">
        <f t="shared" si="105"/>
        <v>0</v>
      </c>
      <c r="Q423" s="22" t="s">
        <v>43</v>
      </c>
      <c r="R423" s="23">
        <f t="shared" si="106"/>
        <v>0</v>
      </c>
      <c r="S423" s="23">
        <f t="shared" si="93"/>
        <v>0</v>
      </c>
    </row>
    <row r="424" spans="1:19" s="17" customFormat="1">
      <c r="A424" s="16" t="s">
        <v>393</v>
      </c>
      <c r="B424" s="17" t="s">
        <v>19</v>
      </c>
      <c r="C424" s="18"/>
      <c r="D424" s="19" t="s">
        <v>43</v>
      </c>
      <c r="E424" s="20"/>
      <c r="F424" s="21">
        <v>1</v>
      </c>
      <c r="G424" s="22" t="s">
        <v>21</v>
      </c>
      <c r="H424" s="21">
        <v>144</v>
      </c>
      <c r="I424" s="22" t="s">
        <v>43</v>
      </c>
      <c r="J424" s="23">
        <v>20400</v>
      </c>
      <c r="K424" s="19" t="s">
        <v>43</v>
      </c>
      <c r="L424" s="24">
        <v>0.125</v>
      </c>
      <c r="M424" s="24">
        <v>0.05</v>
      </c>
      <c r="N424" s="18"/>
      <c r="O424" s="22" t="s">
        <v>43</v>
      </c>
      <c r="P424" s="18">
        <f t="shared" si="105"/>
        <v>0</v>
      </c>
      <c r="Q424" s="22" t="s">
        <v>43</v>
      </c>
      <c r="R424" s="23">
        <f t="shared" si="106"/>
        <v>0</v>
      </c>
      <c r="S424" s="23">
        <f t="shared" si="93"/>
        <v>0</v>
      </c>
    </row>
    <row r="425" spans="1:19" s="17" customFormat="1">
      <c r="A425" s="93" t="s">
        <v>732</v>
      </c>
      <c r="B425" s="17" t="s">
        <v>19</v>
      </c>
      <c r="C425" s="18"/>
      <c r="D425" s="19" t="s">
        <v>43</v>
      </c>
      <c r="E425" s="20"/>
      <c r="F425" s="21">
        <v>1</v>
      </c>
      <c r="G425" s="22" t="s">
        <v>21</v>
      </c>
      <c r="H425" s="21">
        <v>144</v>
      </c>
      <c r="I425" s="22" t="s">
        <v>43</v>
      </c>
      <c r="J425" s="23">
        <v>69600</v>
      </c>
      <c r="K425" s="19" t="s">
        <v>43</v>
      </c>
      <c r="L425" s="24">
        <v>0.125</v>
      </c>
      <c r="M425" s="24">
        <v>0.05</v>
      </c>
      <c r="N425" s="18"/>
      <c r="O425" s="22" t="s">
        <v>43</v>
      </c>
      <c r="P425" s="18">
        <f t="shared" si="105"/>
        <v>0</v>
      </c>
      <c r="Q425" s="22" t="s">
        <v>43</v>
      </c>
      <c r="R425" s="23">
        <f t="shared" si="106"/>
        <v>0</v>
      </c>
      <c r="S425" s="23">
        <f t="shared" si="93"/>
        <v>0</v>
      </c>
    </row>
    <row r="426" spans="1:19" s="17" customFormat="1">
      <c r="A426" s="93" t="s">
        <v>394</v>
      </c>
      <c r="B426" s="17" t="s">
        <v>19</v>
      </c>
      <c r="C426" s="18"/>
      <c r="D426" s="19" t="s">
        <v>43</v>
      </c>
      <c r="E426" s="20"/>
      <c r="F426" s="21">
        <v>1</v>
      </c>
      <c r="G426" s="22" t="s">
        <v>21</v>
      </c>
      <c r="H426" s="21">
        <v>144</v>
      </c>
      <c r="I426" s="22" t="s">
        <v>43</v>
      </c>
      <c r="J426" s="23">
        <v>27000</v>
      </c>
      <c r="K426" s="19" t="s">
        <v>43</v>
      </c>
      <c r="L426" s="24">
        <v>0.125</v>
      </c>
      <c r="M426" s="24">
        <v>0.05</v>
      </c>
      <c r="N426" s="18"/>
      <c r="O426" s="22" t="s">
        <v>43</v>
      </c>
      <c r="P426" s="18">
        <f t="shared" si="105"/>
        <v>0</v>
      </c>
      <c r="Q426" s="22" t="s">
        <v>43</v>
      </c>
      <c r="R426" s="23">
        <f t="shared" si="106"/>
        <v>0</v>
      </c>
      <c r="S426" s="23">
        <f t="shared" si="93"/>
        <v>0</v>
      </c>
    </row>
    <row r="427" spans="1:19" s="17" customFormat="1">
      <c r="A427" s="93" t="s">
        <v>797</v>
      </c>
      <c r="B427" s="17" t="s">
        <v>19</v>
      </c>
      <c r="C427" s="18"/>
      <c r="D427" s="19" t="s">
        <v>43</v>
      </c>
      <c r="E427" s="20">
        <v>1</v>
      </c>
      <c r="F427" s="21">
        <v>1</v>
      </c>
      <c r="G427" s="22" t="s">
        <v>21</v>
      </c>
      <c r="H427" s="21">
        <v>144</v>
      </c>
      <c r="I427" s="22" t="s">
        <v>43</v>
      </c>
      <c r="J427" s="23">
        <v>21600</v>
      </c>
      <c r="K427" s="19" t="s">
        <v>43</v>
      </c>
      <c r="L427" s="24">
        <v>0.125</v>
      </c>
      <c r="M427" s="24">
        <v>0.05</v>
      </c>
      <c r="N427" s="18">
        <v>144</v>
      </c>
      <c r="O427" s="22" t="s">
        <v>43</v>
      </c>
      <c r="P427" s="18">
        <f t="shared" ref="P427" si="107">(C427+(E427*F427*H427))-N427</f>
        <v>0</v>
      </c>
      <c r="Q427" s="22" t="s">
        <v>43</v>
      </c>
      <c r="R427" s="23">
        <f t="shared" ref="R427" si="108">P427*(J427-(J427*L427)-((J427-(J427*L427))*M427))</f>
        <v>0</v>
      </c>
      <c r="S427" s="23">
        <f t="shared" ref="S427" si="109">R427/1.11</f>
        <v>0</v>
      </c>
    </row>
    <row r="428" spans="1:19" s="17" customFormat="1">
      <c r="A428" s="93" t="s">
        <v>395</v>
      </c>
      <c r="B428" s="17" t="s">
        <v>19</v>
      </c>
      <c r="C428" s="18"/>
      <c r="D428" s="19" t="s">
        <v>43</v>
      </c>
      <c r="E428" s="20"/>
      <c r="F428" s="21">
        <v>1</v>
      </c>
      <c r="G428" s="22" t="s">
        <v>21</v>
      </c>
      <c r="H428" s="21">
        <v>144</v>
      </c>
      <c r="I428" s="22" t="s">
        <v>43</v>
      </c>
      <c r="J428" s="23">
        <v>43200</v>
      </c>
      <c r="K428" s="19" t="s">
        <v>43</v>
      </c>
      <c r="L428" s="24">
        <v>0.125</v>
      </c>
      <c r="M428" s="24">
        <v>0.05</v>
      </c>
      <c r="N428" s="18"/>
      <c r="O428" s="22" t="s">
        <v>43</v>
      </c>
      <c r="P428" s="18">
        <f t="shared" si="105"/>
        <v>0</v>
      </c>
      <c r="Q428" s="22" t="s">
        <v>43</v>
      </c>
      <c r="R428" s="23">
        <f t="shared" si="106"/>
        <v>0</v>
      </c>
      <c r="S428" s="23">
        <f t="shared" ref="S428:S500" si="110">R428/1.11</f>
        <v>0</v>
      </c>
    </row>
    <row r="429" spans="1:19" s="17" customFormat="1">
      <c r="A429" s="93" t="s">
        <v>396</v>
      </c>
      <c r="B429" s="17" t="s">
        <v>19</v>
      </c>
      <c r="C429" s="18"/>
      <c r="D429" s="19" t="s">
        <v>43</v>
      </c>
      <c r="E429" s="20"/>
      <c r="F429" s="21">
        <v>1</v>
      </c>
      <c r="G429" s="22" t="s">
        <v>21</v>
      </c>
      <c r="H429" s="21">
        <v>144</v>
      </c>
      <c r="I429" s="22" t="s">
        <v>43</v>
      </c>
      <c r="J429" s="23">
        <v>22800</v>
      </c>
      <c r="K429" s="19" t="s">
        <v>43</v>
      </c>
      <c r="L429" s="24">
        <v>0.125</v>
      </c>
      <c r="M429" s="24">
        <v>0.05</v>
      </c>
      <c r="N429" s="18"/>
      <c r="O429" s="22" t="s">
        <v>43</v>
      </c>
      <c r="P429" s="18">
        <f t="shared" si="105"/>
        <v>0</v>
      </c>
      <c r="Q429" s="22" t="s">
        <v>43</v>
      </c>
      <c r="R429" s="23">
        <f t="shared" si="106"/>
        <v>0</v>
      </c>
      <c r="S429" s="23">
        <f t="shared" si="110"/>
        <v>0</v>
      </c>
    </row>
    <row r="430" spans="1:19" s="45" customFormat="1">
      <c r="A430" s="94" t="s">
        <v>397</v>
      </c>
      <c r="B430" s="45" t="s">
        <v>19</v>
      </c>
      <c r="C430" s="46">
        <v>1341</v>
      </c>
      <c r="D430" s="47" t="s">
        <v>43</v>
      </c>
      <c r="E430" s="48"/>
      <c r="F430" s="49">
        <v>1</v>
      </c>
      <c r="G430" s="50" t="s">
        <v>21</v>
      </c>
      <c r="H430" s="49">
        <v>144</v>
      </c>
      <c r="I430" s="50" t="s">
        <v>43</v>
      </c>
      <c r="J430" s="51">
        <v>26400</v>
      </c>
      <c r="K430" s="47" t="s">
        <v>43</v>
      </c>
      <c r="L430" s="52">
        <v>0.125</v>
      </c>
      <c r="M430" s="52">
        <v>0.05</v>
      </c>
      <c r="N430" s="46">
        <f>2+6+6+48+36+12+36+3+144+12+72</f>
        <v>377</v>
      </c>
      <c r="O430" s="116" t="s">
        <v>43</v>
      </c>
      <c r="P430" s="46">
        <f t="shared" si="105"/>
        <v>964</v>
      </c>
      <c r="Q430" s="50" t="s">
        <v>43</v>
      </c>
      <c r="R430" s="51">
        <f t="shared" si="106"/>
        <v>21154980</v>
      </c>
      <c r="S430" s="51">
        <f t="shared" si="110"/>
        <v>19058540.540540539</v>
      </c>
    </row>
    <row r="431" spans="1:19" s="26" customFormat="1">
      <c r="A431" s="210" t="s">
        <v>398</v>
      </c>
      <c r="B431" s="36" t="s">
        <v>19</v>
      </c>
      <c r="C431" s="37">
        <v>1011</v>
      </c>
      <c r="D431" s="38" t="s">
        <v>43</v>
      </c>
      <c r="E431" s="39"/>
      <c r="F431" s="40">
        <v>1</v>
      </c>
      <c r="G431" s="41" t="s">
        <v>21</v>
      </c>
      <c r="H431" s="40">
        <v>144</v>
      </c>
      <c r="I431" s="41" t="s">
        <v>43</v>
      </c>
      <c r="J431" s="42">
        <v>27000</v>
      </c>
      <c r="K431" s="38" t="s">
        <v>43</v>
      </c>
      <c r="L431" s="43">
        <v>0.125</v>
      </c>
      <c r="M431" s="43">
        <v>0.05</v>
      </c>
      <c r="N431" s="37">
        <f>12+36+12+3+12+36+36+3+3+144+3+12+12+576</f>
        <v>900</v>
      </c>
      <c r="O431" s="41" t="s">
        <v>43</v>
      </c>
      <c r="P431" s="37">
        <f t="shared" ref="P431" si="111">(C431+(E431*F431*H431))-N431</f>
        <v>111</v>
      </c>
      <c r="Q431" s="41" t="s">
        <v>43</v>
      </c>
      <c r="R431" s="42">
        <f t="shared" ref="R431" si="112">P431*(J431-(J431*L431)-((J431-(J431*L431))*M431))</f>
        <v>2491256.25</v>
      </c>
      <c r="S431" s="42">
        <f t="shared" ref="S431" si="113">R431/1.11</f>
        <v>2244375</v>
      </c>
    </row>
    <row r="432" spans="1:19" s="26" customFormat="1">
      <c r="A432" s="210" t="s">
        <v>398</v>
      </c>
      <c r="B432" s="36" t="s">
        <v>19</v>
      </c>
      <c r="C432" s="37"/>
      <c r="D432" s="38" t="s">
        <v>43</v>
      </c>
      <c r="E432" s="39">
        <f>(1+1)</f>
        <v>2</v>
      </c>
      <c r="F432" s="40">
        <v>1</v>
      </c>
      <c r="G432" s="41" t="s">
        <v>21</v>
      </c>
      <c r="H432" s="40">
        <v>144</v>
      </c>
      <c r="I432" s="41" t="s">
        <v>43</v>
      </c>
      <c r="J432" s="42">
        <v>27600</v>
      </c>
      <c r="K432" s="38" t="s">
        <v>43</v>
      </c>
      <c r="L432" s="43">
        <v>0.125</v>
      </c>
      <c r="M432" s="43">
        <v>0.05</v>
      </c>
      <c r="N432" s="37"/>
      <c r="O432" s="41" t="s">
        <v>43</v>
      </c>
      <c r="P432" s="37">
        <f t="shared" si="105"/>
        <v>288</v>
      </c>
      <c r="Q432" s="41" t="s">
        <v>43</v>
      </c>
      <c r="R432" s="42">
        <f t="shared" si="106"/>
        <v>6607440</v>
      </c>
      <c r="S432" s="42">
        <f t="shared" si="110"/>
        <v>5952648.6486486485</v>
      </c>
    </row>
    <row r="433" spans="1:20" s="17" customFormat="1">
      <c r="A433" s="93" t="s">
        <v>399</v>
      </c>
      <c r="B433" s="17" t="s">
        <v>19</v>
      </c>
      <c r="C433" s="18"/>
      <c r="D433" s="19" t="s">
        <v>43</v>
      </c>
      <c r="E433" s="20"/>
      <c r="F433" s="21">
        <v>1</v>
      </c>
      <c r="G433" s="22" t="s">
        <v>21</v>
      </c>
      <c r="H433" s="21">
        <v>144</v>
      </c>
      <c r="I433" s="22" t="s">
        <v>43</v>
      </c>
      <c r="J433" s="23">
        <v>25800</v>
      </c>
      <c r="K433" s="19" t="s">
        <v>43</v>
      </c>
      <c r="L433" s="24">
        <v>0.125</v>
      </c>
      <c r="M433" s="24">
        <v>0.05</v>
      </c>
      <c r="N433" s="18"/>
      <c r="O433" s="22" t="s">
        <v>43</v>
      </c>
      <c r="P433" s="18">
        <f t="shared" si="105"/>
        <v>0</v>
      </c>
      <c r="Q433" s="22" t="s">
        <v>43</v>
      </c>
      <c r="R433" s="23">
        <f t="shared" si="106"/>
        <v>0</v>
      </c>
      <c r="S433" s="23">
        <f t="shared" si="110"/>
        <v>0</v>
      </c>
    </row>
    <row r="434" spans="1:20" s="17" customFormat="1">
      <c r="A434" s="16" t="s">
        <v>400</v>
      </c>
      <c r="B434" s="17" t="s">
        <v>19</v>
      </c>
      <c r="C434" s="18"/>
      <c r="D434" s="19" t="s">
        <v>43</v>
      </c>
      <c r="E434" s="20">
        <v>2</v>
      </c>
      <c r="F434" s="21">
        <v>1</v>
      </c>
      <c r="G434" s="22" t="s">
        <v>21</v>
      </c>
      <c r="H434" s="21">
        <v>144</v>
      </c>
      <c r="I434" s="22" t="s">
        <v>43</v>
      </c>
      <c r="J434" s="23">
        <v>14100</v>
      </c>
      <c r="K434" s="19" t="s">
        <v>43</v>
      </c>
      <c r="L434" s="24">
        <v>0.125</v>
      </c>
      <c r="M434" s="24">
        <v>0.05</v>
      </c>
      <c r="N434" s="18">
        <v>288</v>
      </c>
      <c r="O434" s="22" t="s">
        <v>43</v>
      </c>
      <c r="P434" s="18">
        <f t="shared" si="105"/>
        <v>0</v>
      </c>
      <c r="Q434" s="22" t="s">
        <v>43</v>
      </c>
      <c r="R434" s="23">
        <f t="shared" si="106"/>
        <v>0</v>
      </c>
      <c r="S434" s="23">
        <f t="shared" si="110"/>
        <v>0</v>
      </c>
    </row>
    <row r="435" spans="1:20" s="17" customFormat="1">
      <c r="A435" s="16" t="s">
        <v>780</v>
      </c>
      <c r="B435" s="17" t="s">
        <v>19</v>
      </c>
      <c r="C435" s="18"/>
      <c r="D435" s="19" t="s">
        <v>43</v>
      </c>
      <c r="E435" s="20"/>
      <c r="F435" s="21">
        <v>1</v>
      </c>
      <c r="G435" s="22" t="s">
        <v>21</v>
      </c>
      <c r="H435" s="21">
        <v>144</v>
      </c>
      <c r="I435" s="22" t="s">
        <v>43</v>
      </c>
      <c r="J435" s="23">
        <v>25800</v>
      </c>
      <c r="K435" s="19" t="s">
        <v>43</v>
      </c>
      <c r="L435" s="24">
        <v>0.125</v>
      </c>
      <c r="M435" s="24">
        <v>0.05</v>
      </c>
      <c r="N435" s="18"/>
      <c r="O435" s="22" t="s">
        <v>43</v>
      </c>
      <c r="P435" s="18">
        <f t="shared" si="105"/>
        <v>0</v>
      </c>
      <c r="Q435" s="22" t="s">
        <v>43</v>
      </c>
      <c r="R435" s="23">
        <f t="shared" si="106"/>
        <v>0</v>
      </c>
      <c r="S435" s="23">
        <f t="shared" si="110"/>
        <v>0</v>
      </c>
    </row>
    <row r="436" spans="1:20" s="26" customFormat="1">
      <c r="A436" s="25" t="s">
        <v>401</v>
      </c>
      <c r="B436" s="26" t="s">
        <v>19</v>
      </c>
      <c r="C436" s="27">
        <v>288</v>
      </c>
      <c r="D436" s="28" t="s">
        <v>43</v>
      </c>
      <c r="E436" s="29">
        <v>1</v>
      </c>
      <c r="F436" s="30">
        <v>1</v>
      </c>
      <c r="G436" s="31" t="s">
        <v>21</v>
      </c>
      <c r="H436" s="30">
        <v>144</v>
      </c>
      <c r="I436" s="31" t="s">
        <v>43</v>
      </c>
      <c r="J436" s="32">
        <v>20400</v>
      </c>
      <c r="K436" s="28" t="s">
        <v>43</v>
      </c>
      <c r="L436" s="33">
        <v>0.125</v>
      </c>
      <c r="M436" s="33">
        <v>0.05</v>
      </c>
      <c r="N436" s="27">
        <v>144</v>
      </c>
      <c r="O436" s="31" t="s">
        <v>43</v>
      </c>
      <c r="P436" s="27">
        <f t="shared" si="105"/>
        <v>288</v>
      </c>
      <c r="Q436" s="31" t="s">
        <v>43</v>
      </c>
      <c r="R436" s="32">
        <f t="shared" si="106"/>
        <v>4883760</v>
      </c>
      <c r="S436" s="32">
        <f t="shared" si="110"/>
        <v>4399783.7837837832</v>
      </c>
    </row>
    <row r="437" spans="1:20" s="17" customFormat="1">
      <c r="A437" s="16" t="s">
        <v>402</v>
      </c>
      <c r="B437" s="17" t="s">
        <v>26</v>
      </c>
      <c r="C437" s="18"/>
      <c r="D437" s="19" t="s">
        <v>43</v>
      </c>
      <c r="E437" s="20"/>
      <c r="F437" s="21">
        <v>1</v>
      </c>
      <c r="G437" s="22" t="s">
        <v>21</v>
      </c>
      <c r="H437" s="21">
        <v>144</v>
      </c>
      <c r="I437" s="22" t="s">
        <v>43</v>
      </c>
      <c r="J437" s="23">
        <v>25200</v>
      </c>
      <c r="K437" s="19" t="s">
        <v>43</v>
      </c>
      <c r="L437" s="24"/>
      <c r="M437" s="24">
        <v>0.17</v>
      </c>
      <c r="N437" s="18"/>
      <c r="O437" s="22" t="s">
        <v>43</v>
      </c>
      <c r="P437" s="18">
        <f t="shared" si="105"/>
        <v>0</v>
      </c>
      <c r="Q437" s="22" t="s">
        <v>43</v>
      </c>
      <c r="R437" s="23">
        <f t="shared" si="106"/>
        <v>0</v>
      </c>
      <c r="S437" s="23">
        <f t="shared" si="110"/>
        <v>0</v>
      </c>
    </row>
    <row r="438" spans="1:20" s="26" customFormat="1">
      <c r="A438" s="25" t="s">
        <v>751</v>
      </c>
      <c r="B438" s="26" t="s">
        <v>26</v>
      </c>
      <c r="C438" s="27">
        <v>144</v>
      </c>
      <c r="D438" s="28" t="s">
        <v>43</v>
      </c>
      <c r="E438" s="29"/>
      <c r="F438" s="30">
        <v>1</v>
      </c>
      <c r="G438" s="31" t="s">
        <v>21</v>
      </c>
      <c r="H438" s="30">
        <v>144</v>
      </c>
      <c r="I438" s="31" t="s">
        <v>43</v>
      </c>
      <c r="J438" s="32">
        <f>3758400/144</f>
        <v>26100</v>
      </c>
      <c r="K438" s="28" t="s">
        <v>43</v>
      </c>
      <c r="L438" s="33"/>
      <c r="M438" s="33">
        <v>0.17</v>
      </c>
      <c r="N438" s="27"/>
      <c r="O438" s="31" t="s">
        <v>43</v>
      </c>
      <c r="P438" s="27">
        <f t="shared" si="105"/>
        <v>144</v>
      </c>
      <c r="Q438" s="31" t="s">
        <v>43</v>
      </c>
      <c r="R438" s="32">
        <f t="shared" si="106"/>
        <v>3119472</v>
      </c>
      <c r="S438" s="32">
        <f t="shared" si="110"/>
        <v>2810335.1351351347</v>
      </c>
    </row>
    <row r="439" spans="1:20" s="26" customFormat="1">
      <c r="A439" s="25" t="s">
        <v>403</v>
      </c>
      <c r="B439" s="26" t="s">
        <v>26</v>
      </c>
      <c r="C439" s="27">
        <v>96</v>
      </c>
      <c r="D439" s="28" t="s">
        <v>43</v>
      </c>
      <c r="E439" s="29"/>
      <c r="F439" s="30">
        <v>1</v>
      </c>
      <c r="G439" s="31" t="s">
        <v>21</v>
      </c>
      <c r="H439" s="30">
        <v>144</v>
      </c>
      <c r="I439" s="31" t="s">
        <v>43</v>
      </c>
      <c r="J439" s="32">
        <f>3715200/144</f>
        <v>25800</v>
      </c>
      <c r="K439" s="28" t="s">
        <v>43</v>
      </c>
      <c r="L439" s="33"/>
      <c r="M439" s="33">
        <v>0.17</v>
      </c>
      <c r="N439" s="27"/>
      <c r="O439" s="31" t="s">
        <v>43</v>
      </c>
      <c r="P439" s="27">
        <f t="shared" si="105"/>
        <v>96</v>
      </c>
      <c r="Q439" s="31" t="s">
        <v>43</v>
      </c>
      <c r="R439" s="32">
        <f t="shared" si="106"/>
        <v>2055744</v>
      </c>
      <c r="S439" s="32">
        <f t="shared" si="110"/>
        <v>1852021.6216216215</v>
      </c>
    </row>
    <row r="440" spans="1:20" s="17" customFormat="1">
      <c r="A440" s="16" t="s">
        <v>414</v>
      </c>
      <c r="B440" s="17" t="s">
        <v>26</v>
      </c>
      <c r="C440" s="18"/>
      <c r="D440" s="19" t="s">
        <v>43</v>
      </c>
      <c r="E440" s="20"/>
      <c r="F440" s="21">
        <v>1</v>
      </c>
      <c r="G440" s="22" t="s">
        <v>21</v>
      </c>
      <c r="H440" s="21">
        <v>144</v>
      </c>
      <c r="I440" s="22" t="s">
        <v>43</v>
      </c>
      <c r="J440" s="23">
        <v>25800</v>
      </c>
      <c r="K440" s="19" t="s">
        <v>43</v>
      </c>
      <c r="L440" s="24"/>
      <c r="M440" s="24">
        <v>0.17</v>
      </c>
      <c r="N440" s="18"/>
      <c r="O440" s="22" t="s">
        <v>43</v>
      </c>
      <c r="P440" s="18">
        <f>(C440+(E440*F440*H440))-N440</f>
        <v>0</v>
      </c>
      <c r="Q440" s="22" t="s">
        <v>43</v>
      </c>
      <c r="R440" s="23">
        <f>P440*(J440-(J440*L440)-((J440-(J440*L440))*M440))</f>
        <v>0</v>
      </c>
      <c r="S440" s="23">
        <f>R440/1.11</f>
        <v>0</v>
      </c>
    </row>
    <row r="441" spans="1:20" s="26" customFormat="1">
      <c r="A441" s="94" t="s">
        <v>404</v>
      </c>
      <c r="B441" s="26" t="s">
        <v>26</v>
      </c>
      <c r="C441" s="27">
        <v>300</v>
      </c>
      <c r="D441" s="28" t="s">
        <v>43</v>
      </c>
      <c r="E441" s="29">
        <f>6+4+6+5+3+4+6</f>
        <v>34</v>
      </c>
      <c r="F441" s="30">
        <v>1</v>
      </c>
      <c r="G441" s="31" t="s">
        <v>21</v>
      </c>
      <c r="H441" s="30">
        <v>144</v>
      </c>
      <c r="I441" s="31" t="s">
        <v>43</v>
      </c>
      <c r="J441" s="32">
        <f>3758400/144</f>
        <v>26100</v>
      </c>
      <c r="K441" s="28" t="s">
        <v>43</v>
      </c>
      <c r="L441" s="33"/>
      <c r="M441" s="33">
        <v>0.17</v>
      </c>
      <c r="N441" s="27">
        <f>288+432+24+720+144+144+144+288+144+144+72+72+144+9+144+(3+2)+144+144+15+129+36+144+576+36+144+72+432</f>
        <v>4790</v>
      </c>
      <c r="O441" s="31" t="s">
        <v>43</v>
      </c>
      <c r="P441" s="27">
        <f t="shared" si="105"/>
        <v>406</v>
      </c>
      <c r="Q441" s="31" t="s">
        <v>43</v>
      </c>
      <c r="R441" s="32">
        <f t="shared" si="106"/>
        <v>8795178</v>
      </c>
      <c r="S441" s="32">
        <f t="shared" si="110"/>
        <v>7923583.7837837832</v>
      </c>
    </row>
    <row r="442" spans="1:20">
      <c r="A442" s="93" t="s">
        <v>405</v>
      </c>
      <c r="B442" s="17" t="s">
        <v>26</v>
      </c>
      <c r="C442" s="18">
        <v>24</v>
      </c>
      <c r="D442" s="19" t="s">
        <v>43</v>
      </c>
      <c r="E442" s="20"/>
      <c r="F442" s="21">
        <v>1</v>
      </c>
      <c r="G442" s="22" t="s">
        <v>21</v>
      </c>
      <c r="H442" s="21">
        <v>144</v>
      </c>
      <c r="I442" s="22" t="s">
        <v>43</v>
      </c>
      <c r="J442" s="23">
        <f>3628800/144</f>
        <v>25200</v>
      </c>
      <c r="K442" s="19" t="s">
        <v>43</v>
      </c>
      <c r="L442" s="24"/>
      <c r="M442" s="24">
        <v>0.17</v>
      </c>
      <c r="N442" s="18">
        <f>3+3+6+12</f>
        <v>24</v>
      </c>
      <c r="O442" s="22" t="s">
        <v>43</v>
      </c>
      <c r="P442" s="18">
        <f t="shared" si="105"/>
        <v>0</v>
      </c>
      <c r="Q442" s="22" t="s">
        <v>43</v>
      </c>
      <c r="R442" s="23">
        <f t="shared" si="106"/>
        <v>0</v>
      </c>
      <c r="S442" s="23">
        <f t="shared" si="110"/>
        <v>0</v>
      </c>
      <c r="T442" s="17"/>
    </row>
    <row r="443" spans="1:20" s="17" customFormat="1">
      <c r="A443" s="93" t="s">
        <v>406</v>
      </c>
      <c r="B443" s="17" t="s">
        <v>26</v>
      </c>
      <c r="C443" s="18"/>
      <c r="D443" s="19" t="s">
        <v>43</v>
      </c>
      <c r="E443" s="20"/>
      <c r="F443" s="21">
        <v>1</v>
      </c>
      <c r="G443" s="22" t="s">
        <v>21</v>
      </c>
      <c r="H443" s="21">
        <v>144</v>
      </c>
      <c r="I443" s="22" t="s">
        <v>43</v>
      </c>
      <c r="J443" s="23">
        <f>3628800/144</f>
        <v>25200</v>
      </c>
      <c r="K443" s="19" t="s">
        <v>43</v>
      </c>
      <c r="L443" s="24"/>
      <c r="M443" s="24">
        <v>0.17</v>
      </c>
      <c r="N443" s="18"/>
      <c r="O443" s="22" t="s">
        <v>43</v>
      </c>
      <c r="P443" s="18">
        <f t="shared" si="105"/>
        <v>0</v>
      </c>
      <c r="Q443" s="22" t="s">
        <v>43</v>
      </c>
      <c r="R443" s="23">
        <f t="shared" si="106"/>
        <v>0</v>
      </c>
      <c r="S443" s="23">
        <f t="shared" si="110"/>
        <v>0</v>
      </c>
    </row>
    <row r="444" spans="1:20" s="45" customFormat="1">
      <c r="A444" s="44" t="s">
        <v>407</v>
      </c>
      <c r="B444" s="45" t="s">
        <v>26</v>
      </c>
      <c r="C444" s="46">
        <v>1077</v>
      </c>
      <c r="D444" s="47" t="s">
        <v>43</v>
      </c>
      <c r="E444" s="48">
        <f>1+2+(5+5)+(5+2)</f>
        <v>20</v>
      </c>
      <c r="F444" s="49">
        <v>1</v>
      </c>
      <c r="G444" s="50" t="s">
        <v>21</v>
      </c>
      <c r="H444" s="49">
        <v>144</v>
      </c>
      <c r="I444" s="50" t="s">
        <v>43</v>
      </c>
      <c r="J444" s="51">
        <f>5356800/144</f>
        <v>37200</v>
      </c>
      <c r="K444" s="47" t="s">
        <v>43</v>
      </c>
      <c r="L444" s="52"/>
      <c r="M444" s="52">
        <v>0.17</v>
      </c>
      <c r="N444" s="46">
        <f>144+144+144+144+24+60+12+288+144+144+144+24+(288+144)+6+144+20+78+(36+48)+72+12+60+36+144+48+(288+144)</f>
        <v>2984</v>
      </c>
      <c r="O444" s="50" t="s">
        <v>43</v>
      </c>
      <c r="P444" s="46">
        <f t="shared" si="105"/>
        <v>973</v>
      </c>
      <c r="Q444" s="50" t="s">
        <v>43</v>
      </c>
      <c r="R444" s="51">
        <f t="shared" si="106"/>
        <v>30042348</v>
      </c>
      <c r="S444" s="51">
        <f t="shared" si="110"/>
        <v>27065178.378378376</v>
      </c>
    </row>
    <row r="445" spans="1:20" s="17" customFormat="1">
      <c r="A445" s="16" t="s">
        <v>408</v>
      </c>
      <c r="B445" s="17" t="s">
        <v>26</v>
      </c>
      <c r="C445" s="18"/>
      <c r="D445" s="19" t="s">
        <v>43</v>
      </c>
      <c r="E445" s="20"/>
      <c r="F445" s="21">
        <v>1</v>
      </c>
      <c r="G445" s="22" t="s">
        <v>21</v>
      </c>
      <c r="H445" s="21">
        <v>144</v>
      </c>
      <c r="I445" s="22" t="s">
        <v>43</v>
      </c>
      <c r="J445" s="23">
        <f>5356800/144</f>
        <v>37200</v>
      </c>
      <c r="K445" s="19" t="s">
        <v>43</v>
      </c>
      <c r="L445" s="24"/>
      <c r="M445" s="24">
        <v>0.17</v>
      </c>
      <c r="N445" s="18"/>
      <c r="O445" s="22" t="s">
        <v>43</v>
      </c>
      <c r="P445" s="18">
        <f t="shared" si="105"/>
        <v>0</v>
      </c>
      <c r="Q445" s="22" t="s">
        <v>43</v>
      </c>
      <c r="R445" s="23">
        <f t="shared" si="106"/>
        <v>0</v>
      </c>
      <c r="S445" s="23">
        <f t="shared" si="110"/>
        <v>0</v>
      </c>
    </row>
    <row r="446" spans="1:20" s="45" customFormat="1">
      <c r="A446" s="44" t="s">
        <v>409</v>
      </c>
      <c r="B446" s="45" t="s">
        <v>26</v>
      </c>
      <c r="C446" s="46">
        <v>282</v>
      </c>
      <c r="D446" s="47" t="s">
        <v>43</v>
      </c>
      <c r="E446" s="48"/>
      <c r="F446" s="49">
        <v>1</v>
      </c>
      <c r="G446" s="50" t="s">
        <v>21</v>
      </c>
      <c r="H446" s="49">
        <v>144</v>
      </c>
      <c r="I446" s="50" t="s">
        <v>43</v>
      </c>
      <c r="J446" s="51">
        <f>5356800/144</f>
        <v>37200</v>
      </c>
      <c r="K446" s="47" t="s">
        <v>43</v>
      </c>
      <c r="L446" s="52"/>
      <c r="M446" s="52">
        <v>0.17</v>
      </c>
      <c r="N446" s="46">
        <f>36+60</f>
        <v>96</v>
      </c>
      <c r="O446" s="50" t="s">
        <v>43</v>
      </c>
      <c r="P446" s="46">
        <f t="shared" si="105"/>
        <v>186</v>
      </c>
      <c r="Q446" s="50" t="s">
        <v>43</v>
      </c>
      <c r="R446" s="51">
        <f t="shared" si="106"/>
        <v>5742936</v>
      </c>
      <c r="S446" s="51">
        <f t="shared" si="110"/>
        <v>5173816.2162162159</v>
      </c>
    </row>
    <row r="447" spans="1:20" s="45" customFormat="1">
      <c r="A447" s="44" t="s">
        <v>410</v>
      </c>
      <c r="B447" s="45" t="s">
        <v>26</v>
      </c>
      <c r="C447" s="46">
        <v>470</v>
      </c>
      <c r="D447" s="47" t="s">
        <v>43</v>
      </c>
      <c r="E447" s="48">
        <f>1+1</f>
        <v>2</v>
      </c>
      <c r="F447" s="49">
        <v>1</v>
      </c>
      <c r="G447" s="50" t="s">
        <v>21</v>
      </c>
      <c r="H447" s="49">
        <v>144</v>
      </c>
      <c r="I447" s="50" t="s">
        <v>43</v>
      </c>
      <c r="J447" s="51">
        <f>5443200/144</f>
        <v>37800</v>
      </c>
      <c r="K447" s="47" t="s">
        <v>43</v>
      </c>
      <c r="L447" s="52"/>
      <c r="M447" s="52">
        <v>0.17</v>
      </c>
      <c r="N447" s="46">
        <f>12+24+3+36+72+120+24+60+18+24+5+12+72</f>
        <v>482</v>
      </c>
      <c r="O447" s="50" t="s">
        <v>43</v>
      </c>
      <c r="P447" s="46">
        <f t="shared" si="105"/>
        <v>276</v>
      </c>
      <c r="Q447" s="50" t="s">
        <v>43</v>
      </c>
      <c r="R447" s="51">
        <f t="shared" si="106"/>
        <v>8659224</v>
      </c>
      <c r="S447" s="51">
        <f t="shared" si="110"/>
        <v>7801102.702702702</v>
      </c>
    </row>
    <row r="448" spans="1:20" s="17" customFormat="1">
      <c r="A448" s="25" t="s">
        <v>411</v>
      </c>
      <c r="B448" s="26" t="s">
        <v>26</v>
      </c>
      <c r="C448" s="27">
        <v>200</v>
      </c>
      <c r="D448" s="28" t="s">
        <v>43</v>
      </c>
      <c r="E448" s="29">
        <v>4</v>
      </c>
      <c r="F448" s="30">
        <v>1</v>
      </c>
      <c r="G448" s="31" t="s">
        <v>21</v>
      </c>
      <c r="H448" s="30">
        <v>144</v>
      </c>
      <c r="I448" s="31" t="s">
        <v>43</v>
      </c>
      <c r="J448" s="32">
        <f>2764800/144</f>
        <v>19200</v>
      </c>
      <c r="K448" s="28" t="s">
        <v>43</v>
      </c>
      <c r="L448" s="33"/>
      <c r="M448" s="33">
        <v>0.17</v>
      </c>
      <c r="N448" s="27">
        <f>60+144+72+144+36+60</f>
        <v>516</v>
      </c>
      <c r="O448" s="31" t="s">
        <v>43</v>
      </c>
      <c r="P448" s="27">
        <f t="shared" si="105"/>
        <v>260</v>
      </c>
      <c r="Q448" s="31" t="s">
        <v>43</v>
      </c>
      <c r="R448" s="32">
        <f t="shared" si="106"/>
        <v>4143360</v>
      </c>
      <c r="S448" s="32">
        <f t="shared" si="110"/>
        <v>3732756.7567567565</v>
      </c>
      <c r="T448" s="26"/>
    </row>
    <row r="449" spans="1:20" s="26" customFormat="1">
      <c r="A449" s="16" t="s">
        <v>412</v>
      </c>
      <c r="B449" s="17" t="s">
        <v>26</v>
      </c>
      <c r="C449" s="18"/>
      <c r="D449" s="19" t="s">
        <v>43</v>
      </c>
      <c r="E449" s="20"/>
      <c r="F449" s="21">
        <v>1</v>
      </c>
      <c r="G449" s="22" t="s">
        <v>21</v>
      </c>
      <c r="H449" s="21">
        <v>144</v>
      </c>
      <c r="I449" s="22" t="s">
        <v>43</v>
      </c>
      <c r="J449" s="23">
        <f>2764800/144</f>
        <v>19200</v>
      </c>
      <c r="K449" s="19" t="s">
        <v>43</v>
      </c>
      <c r="L449" s="24"/>
      <c r="M449" s="24">
        <v>0.17</v>
      </c>
      <c r="N449" s="18"/>
      <c r="O449" s="22" t="s">
        <v>43</v>
      </c>
      <c r="P449" s="18">
        <f t="shared" si="105"/>
        <v>0</v>
      </c>
      <c r="Q449" s="22" t="s">
        <v>43</v>
      </c>
      <c r="R449" s="23">
        <f t="shared" si="106"/>
        <v>0</v>
      </c>
      <c r="S449" s="23">
        <f t="shared" si="110"/>
        <v>0</v>
      </c>
      <c r="T449" s="17"/>
    </row>
    <row r="450" spans="1:20" s="26" customFormat="1">
      <c r="A450" s="16" t="s">
        <v>413</v>
      </c>
      <c r="B450" s="17" t="s">
        <v>26</v>
      </c>
      <c r="C450" s="18"/>
      <c r="D450" s="19" t="s">
        <v>43</v>
      </c>
      <c r="E450" s="20"/>
      <c r="F450" s="21">
        <v>1</v>
      </c>
      <c r="G450" s="22" t="s">
        <v>21</v>
      </c>
      <c r="H450" s="21">
        <v>144</v>
      </c>
      <c r="I450" s="22" t="s">
        <v>43</v>
      </c>
      <c r="J450" s="23">
        <v>23400</v>
      </c>
      <c r="K450" s="19" t="s">
        <v>43</v>
      </c>
      <c r="L450" s="24"/>
      <c r="M450" s="24">
        <v>0.17</v>
      </c>
      <c r="N450" s="18"/>
      <c r="O450" s="22" t="s">
        <v>43</v>
      </c>
      <c r="P450" s="18">
        <f t="shared" si="105"/>
        <v>0</v>
      </c>
      <c r="Q450" s="22" t="s">
        <v>43</v>
      </c>
      <c r="R450" s="23">
        <f t="shared" si="106"/>
        <v>0</v>
      </c>
      <c r="S450" s="23">
        <f t="shared" si="110"/>
        <v>0</v>
      </c>
      <c r="T450" s="17"/>
    </row>
    <row r="451" spans="1:20" s="45" customFormat="1">
      <c r="A451" s="44" t="s">
        <v>415</v>
      </c>
      <c r="B451" s="45" t="s">
        <v>26</v>
      </c>
      <c r="C451" s="46">
        <v>288</v>
      </c>
      <c r="D451" s="47" t="s">
        <v>43</v>
      </c>
      <c r="E451" s="48">
        <f>2+3+1+5</f>
        <v>11</v>
      </c>
      <c r="F451" s="49">
        <v>1</v>
      </c>
      <c r="G451" s="50" t="s">
        <v>21</v>
      </c>
      <c r="H451" s="49">
        <v>144</v>
      </c>
      <c r="I451" s="50" t="s">
        <v>43</v>
      </c>
      <c r="J451" s="51">
        <f>3369600/144</f>
        <v>23400</v>
      </c>
      <c r="K451" s="47" t="s">
        <v>43</v>
      </c>
      <c r="L451" s="52"/>
      <c r="M451" s="52">
        <v>0.17</v>
      </c>
      <c r="N451" s="46">
        <f>432+144+36+72+144+48+144+432+60+24+60</f>
        <v>1596</v>
      </c>
      <c r="O451" s="50" t="s">
        <v>43</v>
      </c>
      <c r="P451" s="46">
        <f t="shared" si="105"/>
        <v>276</v>
      </c>
      <c r="Q451" s="50" t="s">
        <v>43</v>
      </c>
      <c r="R451" s="51">
        <f t="shared" si="106"/>
        <v>5360472</v>
      </c>
      <c r="S451" s="51">
        <f t="shared" si="110"/>
        <v>4829254.0540540535</v>
      </c>
    </row>
    <row r="452" spans="1:20" s="45" customFormat="1">
      <c r="A452" s="44" t="s">
        <v>416</v>
      </c>
      <c r="B452" s="45" t="s">
        <v>26</v>
      </c>
      <c r="C452" s="46">
        <v>3432</v>
      </c>
      <c r="D452" s="47" t="s">
        <v>43</v>
      </c>
      <c r="E452" s="48">
        <f>3+5+10+10+5</f>
        <v>33</v>
      </c>
      <c r="F452" s="49">
        <v>1</v>
      </c>
      <c r="G452" s="50" t="s">
        <v>21</v>
      </c>
      <c r="H452" s="49">
        <v>144</v>
      </c>
      <c r="I452" s="50" t="s">
        <v>43</v>
      </c>
      <c r="J452" s="51">
        <f>3110400/144</f>
        <v>21600</v>
      </c>
      <c r="K452" s="47" t="s">
        <v>43</v>
      </c>
      <c r="L452" s="52"/>
      <c r="M452" s="52">
        <v>0.17</v>
      </c>
      <c r="N452" s="46">
        <f>720+24+72+12+576+24+72+72+60+144+144+864+720+576+12+144+720+24+144+12+12+144+144+288</f>
        <v>5724</v>
      </c>
      <c r="O452" s="50" t="s">
        <v>43</v>
      </c>
      <c r="P452" s="46">
        <f t="shared" si="105"/>
        <v>2460</v>
      </c>
      <c r="Q452" s="50" t="s">
        <v>43</v>
      </c>
      <c r="R452" s="51">
        <f t="shared" si="106"/>
        <v>44102880</v>
      </c>
      <c r="S452" s="51">
        <f t="shared" si="110"/>
        <v>39732324.324324317</v>
      </c>
    </row>
    <row r="453" spans="1:20" s="45" customFormat="1">
      <c r="A453" s="44" t="s">
        <v>417</v>
      </c>
      <c r="B453" s="45" t="s">
        <v>26</v>
      </c>
      <c r="C453" s="46">
        <v>288</v>
      </c>
      <c r="D453" s="47" t="s">
        <v>43</v>
      </c>
      <c r="E453" s="48">
        <f>2+1+2</f>
        <v>5</v>
      </c>
      <c r="F453" s="49">
        <v>1</v>
      </c>
      <c r="G453" s="50" t="s">
        <v>21</v>
      </c>
      <c r="H453" s="49">
        <v>144</v>
      </c>
      <c r="I453" s="50" t="s">
        <v>43</v>
      </c>
      <c r="J453" s="51">
        <f>3758400/144</f>
        <v>26100</v>
      </c>
      <c r="K453" s="47" t="s">
        <v>43</v>
      </c>
      <c r="L453" s="52"/>
      <c r="M453" s="52">
        <v>0.17</v>
      </c>
      <c r="N453" s="46">
        <f>144+144+36+144+144+12+72+24</f>
        <v>720</v>
      </c>
      <c r="O453" s="50" t="s">
        <v>43</v>
      </c>
      <c r="P453" s="46">
        <f t="shared" si="105"/>
        <v>288</v>
      </c>
      <c r="Q453" s="50" t="s">
        <v>43</v>
      </c>
      <c r="R453" s="51">
        <f t="shared" si="106"/>
        <v>6238944</v>
      </c>
      <c r="S453" s="51">
        <f t="shared" si="110"/>
        <v>5620670.2702702694</v>
      </c>
    </row>
    <row r="454" spans="1:20" s="45" customFormat="1">
      <c r="A454" s="44" t="s">
        <v>789</v>
      </c>
      <c r="B454" s="45" t="s">
        <v>26</v>
      </c>
      <c r="C454" s="46"/>
      <c r="D454" s="47" t="s">
        <v>43</v>
      </c>
      <c r="E454" s="48">
        <v>2</v>
      </c>
      <c r="F454" s="49">
        <v>1</v>
      </c>
      <c r="G454" s="50" t="s">
        <v>21</v>
      </c>
      <c r="H454" s="49">
        <v>144</v>
      </c>
      <c r="I454" s="50" t="s">
        <v>43</v>
      </c>
      <c r="J454" s="51">
        <f>5616000/144</f>
        <v>39000</v>
      </c>
      <c r="K454" s="47" t="s">
        <v>43</v>
      </c>
      <c r="L454" s="52"/>
      <c r="M454" s="52">
        <v>0.17</v>
      </c>
      <c r="N454" s="46">
        <v>12</v>
      </c>
      <c r="O454" s="50" t="s">
        <v>43</v>
      </c>
      <c r="P454" s="46">
        <f t="shared" ref="P454" si="114">(C454+(E454*F454*H454))-N454</f>
        <v>276</v>
      </c>
      <c r="Q454" s="50" t="s">
        <v>43</v>
      </c>
      <c r="R454" s="51">
        <f t="shared" ref="R454" si="115">P454*(J454-(J454*L454)-((J454-(J454*L454))*M454))</f>
        <v>8934120</v>
      </c>
      <c r="S454" s="51">
        <f t="shared" ref="S454" si="116">R454/1.11</f>
        <v>8048756.7567567565</v>
      </c>
    </row>
    <row r="455" spans="1:20" s="63" customFormat="1">
      <c r="A455" s="72" t="s">
        <v>418</v>
      </c>
      <c r="B455" s="63" t="s">
        <v>26</v>
      </c>
      <c r="C455" s="64">
        <f>52+113</f>
        <v>165</v>
      </c>
      <c r="D455" s="65" t="s">
        <v>43</v>
      </c>
      <c r="E455" s="66"/>
      <c r="F455" s="67">
        <v>1</v>
      </c>
      <c r="G455" s="68" t="s">
        <v>21</v>
      </c>
      <c r="H455" s="67">
        <v>144</v>
      </c>
      <c r="I455" s="68" t="s">
        <v>43</v>
      </c>
      <c r="J455" s="69">
        <f>5270400/144</f>
        <v>36600</v>
      </c>
      <c r="K455" s="65" t="s">
        <v>43</v>
      </c>
      <c r="L455" s="70"/>
      <c r="M455" s="70">
        <v>0.17</v>
      </c>
      <c r="N455" s="64">
        <f>3+60+12+36+(9+6)+3+(24+12)</f>
        <v>165</v>
      </c>
      <c r="O455" s="68" t="s">
        <v>43</v>
      </c>
      <c r="P455" s="64">
        <f t="shared" si="105"/>
        <v>0</v>
      </c>
      <c r="Q455" s="68" t="s">
        <v>43</v>
      </c>
      <c r="R455" s="69">
        <f t="shared" si="106"/>
        <v>0</v>
      </c>
      <c r="S455" s="69">
        <f t="shared" si="110"/>
        <v>0</v>
      </c>
    </row>
    <row r="456" spans="1:20" s="26" customFormat="1">
      <c r="A456" s="34" t="s">
        <v>419</v>
      </c>
      <c r="B456" s="2" t="s">
        <v>26</v>
      </c>
      <c r="C456" s="3">
        <v>46</v>
      </c>
      <c r="D456" s="4" t="s">
        <v>43</v>
      </c>
      <c r="E456" s="5"/>
      <c r="F456" s="6">
        <v>1</v>
      </c>
      <c r="G456" s="7" t="s">
        <v>21</v>
      </c>
      <c r="H456" s="6">
        <v>144</v>
      </c>
      <c r="I456" s="7" t="s">
        <v>43</v>
      </c>
      <c r="J456" s="8">
        <f>5616000/144</f>
        <v>39000</v>
      </c>
      <c r="K456" s="4" t="s">
        <v>43</v>
      </c>
      <c r="L456" s="9">
        <v>0.05</v>
      </c>
      <c r="M456" s="9">
        <v>0.17</v>
      </c>
      <c r="N456" s="3"/>
      <c r="O456" s="7" t="s">
        <v>43</v>
      </c>
      <c r="P456" s="3">
        <f t="shared" si="105"/>
        <v>46</v>
      </c>
      <c r="Q456" s="7" t="s">
        <v>43</v>
      </c>
      <c r="R456" s="8">
        <f t="shared" si="106"/>
        <v>1414569</v>
      </c>
      <c r="S456" s="32">
        <f t="shared" si="110"/>
        <v>1274386.4864864864</v>
      </c>
      <c r="T456" s="2"/>
    </row>
    <row r="457" spans="1:20" s="17" customFormat="1">
      <c r="A457" s="16" t="s">
        <v>420</v>
      </c>
      <c r="B457" s="17" t="s">
        <v>26</v>
      </c>
      <c r="C457" s="18"/>
      <c r="D457" s="19" t="s">
        <v>43</v>
      </c>
      <c r="E457" s="20"/>
      <c r="F457" s="21">
        <v>1</v>
      </c>
      <c r="G457" s="22" t="s">
        <v>21</v>
      </c>
      <c r="H457" s="21">
        <v>144</v>
      </c>
      <c r="I457" s="22" t="s">
        <v>43</v>
      </c>
      <c r="J457" s="23">
        <f>5616000/144</f>
        <v>39000</v>
      </c>
      <c r="K457" s="19" t="s">
        <v>43</v>
      </c>
      <c r="L457" s="24">
        <v>0.05</v>
      </c>
      <c r="M457" s="24">
        <v>0.17</v>
      </c>
      <c r="N457" s="18"/>
      <c r="O457" s="22" t="s">
        <v>43</v>
      </c>
      <c r="P457" s="18">
        <f t="shared" si="105"/>
        <v>0</v>
      </c>
      <c r="Q457" s="22" t="s">
        <v>43</v>
      </c>
      <c r="R457" s="23">
        <f t="shared" si="106"/>
        <v>0</v>
      </c>
      <c r="S457" s="23">
        <f t="shared" si="110"/>
        <v>0</v>
      </c>
    </row>
    <row r="458" spans="1:20" s="17" customFormat="1">
      <c r="A458" s="16" t="s">
        <v>421</v>
      </c>
      <c r="B458" s="17" t="s">
        <v>275</v>
      </c>
      <c r="C458" s="18"/>
      <c r="D458" s="19" t="s">
        <v>43</v>
      </c>
      <c r="E458" s="20"/>
      <c r="F458" s="21">
        <v>1</v>
      </c>
      <c r="G458" s="22" t="s">
        <v>21</v>
      </c>
      <c r="H458" s="21">
        <v>120</v>
      </c>
      <c r="I458" s="22" t="s">
        <v>43</v>
      </c>
      <c r="J458" s="23">
        <v>25500</v>
      </c>
      <c r="K458" s="19" t="s">
        <v>43</v>
      </c>
      <c r="L458" s="24"/>
      <c r="M458" s="24"/>
      <c r="N458" s="18"/>
      <c r="O458" s="22" t="s">
        <v>43</v>
      </c>
      <c r="P458" s="18">
        <f>(C458+(E458*F458*H458))-N458</f>
        <v>0</v>
      </c>
      <c r="Q458" s="22" t="s">
        <v>43</v>
      </c>
      <c r="R458" s="23">
        <f>P458*(J458-(J458*L458)-((J458-(J458*L458))*M458))</f>
        <v>0</v>
      </c>
      <c r="S458" s="23">
        <f t="shared" si="110"/>
        <v>0</v>
      </c>
    </row>
    <row r="459" spans="1:20" s="17" customFormat="1">
      <c r="A459" s="25" t="s">
        <v>422</v>
      </c>
      <c r="B459" s="26" t="s">
        <v>275</v>
      </c>
      <c r="C459" s="27">
        <v>288</v>
      </c>
      <c r="D459" s="28" t="s">
        <v>43</v>
      </c>
      <c r="E459" s="29"/>
      <c r="F459" s="30">
        <v>1</v>
      </c>
      <c r="G459" s="31" t="s">
        <v>21</v>
      </c>
      <c r="H459" s="30">
        <v>144</v>
      </c>
      <c r="I459" s="31" t="s">
        <v>43</v>
      </c>
      <c r="J459" s="32">
        <v>21000</v>
      </c>
      <c r="K459" s="28" t="s">
        <v>43</v>
      </c>
      <c r="L459" s="33"/>
      <c r="M459" s="33"/>
      <c r="N459" s="27"/>
      <c r="O459" s="31" t="s">
        <v>43</v>
      </c>
      <c r="P459" s="27">
        <f>(C459+(E459*F459*H459))-N459</f>
        <v>288</v>
      </c>
      <c r="Q459" s="31" t="s">
        <v>43</v>
      </c>
      <c r="R459" s="32">
        <f>P459*(J459-(J459*L459)-((J459-(J459*L459))*M459))</f>
        <v>6048000</v>
      </c>
      <c r="S459" s="32">
        <f t="shared" si="110"/>
        <v>5448648.6486486485</v>
      </c>
      <c r="T459" s="26"/>
    </row>
    <row r="460" spans="1:20" s="17" customFormat="1">
      <c r="A460" s="16" t="s">
        <v>423</v>
      </c>
      <c r="B460" s="17" t="s">
        <v>275</v>
      </c>
      <c r="C460" s="18"/>
      <c r="D460" s="19" t="s">
        <v>43</v>
      </c>
      <c r="E460" s="20"/>
      <c r="F460" s="21">
        <v>1</v>
      </c>
      <c r="G460" s="22" t="s">
        <v>21</v>
      </c>
      <c r="H460" s="21">
        <v>144</v>
      </c>
      <c r="I460" s="22" t="s">
        <v>43</v>
      </c>
      <c r="J460" s="23">
        <v>26000</v>
      </c>
      <c r="K460" s="19" t="s">
        <v>43</v>
      </c>
      <c r="L460" s="24"/>
      <c r="M460" s="24"/>
      <c r="N460" s="18"/>
      <c r="O460" s="22" t="s">
        <v>43</v>
      </c>
      <c r="P460" s="18">
        <f t="shared" ref="P460:P488" si="117">(C460+(E460*F460*H460))-N460</f>
        <v>0</v>
      </c>
      <c r="Q460" s="22" t="s">
        <v>43</v>
      </c>
      <c r="R460" s="23">
        <f t="shared" ref="R460:R488" si="118">P460*(J460-(J460*L460)-((J460-(J460*L460))*M460))</f>
        <v>0</v>
      </c>
      <c r="S460" s="23">
        <f t="shared" si="110"/>
        <v>0</v>
      </c>
    </row>
    <row r="461" spans="1:20" s="26" customFormat="1">
      <c r="A461" s="25" t="s">
        <v>424</v>
      </c>
      <c r="B461" s="26" t="s">
        <v>275</v>
      </c>
      <c r="C461" s="27">
        <v>306</v>
      </c>
      <c r="D461" s="28" t="s">
        <v>43</v>
      </c>
      <c r="E461" s="29"/>
      <c r="F461" s="30">
        <v>1</v>
      </c>
      <c r="G461" s="31" t="s">
        <v>21</v>
      </c>
      <c r="H461" s="30">
        <v>96</v>
      </c>
      <c r="I461" s="31" t="s">
        <v>43</v>
      </c>
      <c r="J461" s="32">
        <v>29500</v>
      </c>
      <c r="K461" s="28" t="s">
        <v>43</v>
      </c>
      <c r="L461" s="33"/>
      <c r="M461" s="33"/>
      <c r="N461" s="27"/>
      <c r="O461" s="31" t="s">
        <v>43</v>
      </c>
      <c r="P461" s="27">
        <f t="shared" si="117"/>
        <v>306</v>
      </c>
      <c r="Q461" s="31" t="s">
        <v>43</v>
      </c>
      <c r="R461" s="32">
        <f t="shared" si="118"/>
        <v>9027000</v>
      </c>
      <c r="S461" s="32">
        <f t="shared" si="110"/>
        <v>8132432.4324324317</v>
      </c>
    </row>
    <row r="462" spans="1:20" s="17" customFormat="1">
      <c r="A462" s="16" t="s">
        <v>798</v>
      </c>
      <c r="B462" s="17" t="s">
        <v>275</v>
      </c>
      <c r="C462" s="18"/>
      <c r="D462" s="19" t="s">
        <v>43</v>
      </c>
      <c r="E462" s="20"/>
      <c r="F462" s="21">
        <v>1</v>
      </c>
      <c r="G462" s="22" t="s">
        <v>21</v>
      </c>
      <c r="H462" s="21">
        <v>144</v>
      </c>
      <c r="I462" s="22" t="s">
        <v>43</v>
      </c>
      <c r="J462" s="23">
        <f>31818+(31818*10%)</f>
        <v>34999.800000000003</v>
      </c>
      <c r="K462" s="19" t="s">
        <v>43</v>
      </c>
      <c r="L462" s="24"/>
      <c r="M462" s="24"/>
      <c r="N462" s="18"/>
      <c r="O462" s="22" t="s">
        <v>43</v>
      </c>
      <c r="P462" s="18">
        <f t="shared" si="117"/>
        <v>0</v>
      </c>
      <c r="Q462" s="22" t="s">
        <v>43</v>
      </c>
      <c r="R462" s="23">
        <f t="shared" si="118"/>
        <v>0</v>
      </c>
      <c r="S462" s="23">
        <f t="shared" si="110"/>
        <v>0</v>
      </c>
    </row>
    <row r="463" spans="1:20" s="17" customFormat="1">
      <c r="A463" s="16" t="s">
        <v>799</v>
      </c>
      <c r="B463" s="17" t="s">
        <v>275</v>
      </c>
      <c r="C463" s="18"/>
      <c r="D463" s="19" t="s">
        <v>43</v>
      </c>
      <c r="E463" s="20">
        <v>1</v>
      </c>
      <c r="F463" s="21">
        <v>1</v>
      </c>
      <c r="G463" s="22" t="s">
        <v>21</v>
      </c>
      <c r="H463" s="21">
        <v>144</v>
      </c>
      <c r="I463" s="22" t="s">
        <v>43</v>
      </c>
      <c r="J463" s="23">
        <v>16175</v>
      </c>
      <c r="K463" s="19" t="s">
        <v>43</v>
      </c>
      <c r="L463" s="24"/>
      <c r="M463" s="24"/>
      <c r="N463" s="18">
        <v>144</v>
      </c>
      <c r="O463" s="22" t="s">
        <v>43</v>
      </c>
      <c r="P463" s="18">
        <f t="shared" si="117"/>
        <v>0</v>
      </c>
      <c r="Q463" s="22" t="s">
        <v>43</v>
      </c>
      <c r="R463" s="23">
        <f t="shared" si="118"/>
        <v>0</v>
      </c>
      <c r="S463" s="23">
        <f t="shared" si="110"/>
        <v>0</v>
      </c>
    </row>
    <row r="464" spans="1:20" s="17" customFormat="1">
      <c r="A464" s="16" t="s">
        <v>800</v>
      </c>
      <c r="B464" s="17" t="s">
        <v>275</v>
      </c>
      <c r="C464" s="18"/>
      <c r="D464" s="19" t="s">
        <v>43</v>
      </c>
      <c r="E464" s="20"/>
      <c r="F464" s="21">
        <v>1</v>
      </c>
      <c r="G464" s="22" t="s">
        <v>21</v>
      </c>
      <c r="H464" s="21">
        <v>144</v>
      </c>
      <c r="I464" s="22" t="s">
        <v>43</v>
      </c>
      <c r="J464" s="23">
        <v>16175</v>
      </c>
      <c r="K464" s="19" t="s">
        <v>43</v>
      </c>
      <c r="L464" s="24"/>
      <c r="M464" s="24"/>
      <c r="N464" s="18"/>
      <c r="O464" s="22" t="s">
        <v>43</v>
      </c>
      <c r="P464" s="18">
        <f t="shared" si="117"/>
        <v>0</v>
      </c>
      <c r="Q464" s="22" t="s">
        <v>43</v>
      </c>
      <c r="R464" s="23">
        <f t="shared" si="118"/>
        <v>0</v>
      </c>
      <c r="S464" s="23">
        <f t="shared" si="110"/>
        <v>0</v>
      </c>
    </row>
    <row r="465" spans="1:19" s="17" customFormat="1">
      <c r="A465" s="16" t="s">
        <v>801</v>
      </c>
      <c r="B465" s="17" t="s">
        <v>275</v>
      </c>
      <c r="C465" s="18"/>
      <c r="D465" s="19" t="s">
        <v>43</v>
      </c>
      <c r="E465" s="20"/>
      <c r="F465" s="21">
        <v>1</v>
      </c>
      <c r="G465" s="22" t="s">
        <v>21</v>
      </c>
      <c r="H465" s="21">
        <v>144</v>
      </c>
      <c r="I465" s="22" t="s">
        <v>43</v>
      </c>
      <c r="J465" s="23">
        <v>16175</v>
      </c>
      <c r="K465" s="19" t="s">
        <v>43</v>
      </c>
      <c r="L465" s="24"/>
      <c r="M465" s="24"/>
      <c r="N465" s="18"/>
      <c r="O465" s="22" t="s">
        <v>43</v>
      </c>
      <c r="P465" s="18">
        <f t="shared" si="117"/>
        <v>0</v>
      </c>
      <c r="Q465" s="22" t="s">
        <v>43</v>
      </c>
      <c r="R465" s="23">
        <f t="shared" si="118"/>
        <v>0</v>
      </c>
      <c r="S465" s="23">
        <f t="shared" si="110"/>
        <v>0</v>
      </c>
    </row>
    <row r="466" spans="1:19" s="17" customFormat="1">
      <c r="A466" s="16" t="s">
        <v>802</v>
      </c>
      <c r="B466" s="17" t="s">
        <v>275</v>
      </c>
      <c r="C466" s="18"/>
      <c r="D466" s="19" t="s">
        <v>43</v>
      </c>
      <c r="E466" s="20"/>
      <c r="F466" s="21">
        <v>1</v>
      </c>
      <c r="G466" s="22" t="s">
        <v>21</v>
      </c>
      <c r="H466" s="21">
        <v>144</v>
      </c>
      <c r="I466" s="22" t="s">
        <v>43</v>
      </c>
      <c r="J466" s="23">
        <v>16175</v>
      </c>
      <c r="K466" s="19" t="s">
        <v>43</v>
      </c>
      <c r="L466" s="24"/>
      <c r="M466" s="24"/>
      <c r="N466" s="18"/>
      <c r="O466" s="22" t="s">
        <v>43</v>
      </c>
      <c r="P466" s="18">
        <f t="shared" si="117"/>
        <v>0</v>
      </c>
      <c r="Q466" s="22" t="s">
        <v>43</v>
      </c>
      <c r="R466" s="23">
        <f t="shared" si="118"/>
        <v>0</v>
      </c>
      <c r="S466" s="23">
        <f t="shared" si="110"/>
        <v>0</v>
      </c>
    </row>
    <row r="467" spans="1:19" s="17" customFormat="1">
      <c r="A467" s="16" t="s">
        <v>803</v>
      </c>
      <c r="B467" s="17" t="s">
        <v>275</v>
      </c>
      <c r="C467" s="18"/>
      <c r="D467" s="19" t="s">
        <v>43</v>
      </c>
      <c r="E467" s="20"/>
      <c r="F467" s="21">
        <v>1</v>
      </c>
      <c r="G467" s="22" t="s">
        <v>21</v>
      </c>
      <c r="H467" s="21">
        <v>144</v>
      </c>
      <c r="I467" s="22" t="s">
        <v>43</v>
      </c>
      <c r="J467" s="23">
        <v>16175</v>
      </c>
      <c r="K467" s="19" t="s">
        <v>43</v>
      </c>
      <c r="L467" s="24"/>
      <c r="M467" s="24"/>
      <c r="N467" s="18"/>
      <c r="O467" s="22" t="s">
        <v>43</v>
      </c>
      <c r="P467" s="18">
        <f t="shared" si="117"/>
        <v>0</v>
      </c>
      <c r="Q467" s="22" t="s">
        <v>43</v>
      </c>
      <c r="R467" s="23">
        <f t="shared" si="118"/>
        <v>0</v>
      </c>
      <c r="S467" s="23">
        <f t="shared" si="110"/>
        <v>0</v>
      </c>
    </row>
    <row r="468" spans="1:19" s="17" customFormat="1">
      <c r="A468" s="16" t="s">
        <v>804</v>
      </c>
      <c r="B468" s="17" t="s">
        <v>275</v>
      </c>
      <c r="C468" s="18"/>
      <c r="D468" s="19" t="s">
        <v>43</v>
      </c>
      <c r="E468" s="20">
        <v>1</v>
      </c>
      <c r="F468" s="21">
        <v>1</v>
      </c>
      <c r="G468" s="22" t="s">
        <v>21</v>
      </c>
      <c r="H468" s="21">
        <v>144</v>
      </c>
      <c r="I468" s="22" t="s">
        <v>43</v>
      </c>
      <c r="J468" s="23">
        <v>16175</v>
      </c>
      <c r="K468" s="19" t="s">
        <v>43</v>
      </c>
      <c r="L468" s="24"/>
      <c r="M468" s="24"/>
      <c r="N468" s="18">
        <v>144</v>
      </c>
      <c r="O468" s="22" t="s">
        <v>43</v>
      </c>
      <c r="P468" s="18">
        <f t="shared" si="117"/>
        <v>0</v>
      </c>
      <c r="Q468" s="22" t="s">
        <v>43</v>
      </c>
      <c r="R468" s="23">
        <f t="shared" si="118"/>
        <v>0</v>
      </c>
      <c r="S468" s="23">
        <f t="shared" si="110"/>
        <v>0</v>
      </c>
    </row>
    <row r="469" spans="1:19" s="17" customFormat="1">
      <c r="A469" s="16" t="s">
        <v>805</v>
      </c>
      <c r="B469" s="17" t="s">
        <v>275</v>
      </c>
      <c r="C469" s="18"/>
      <c r="D469" s="19" t="s">
        <v>43</v>
      </c>
      <c r="E469" s="20">
        <v>1</v>
      </c>
      <c r="F469" s="21">
        <v>1</v>
      </c>
      <c r="G469" s="22" t="s">
        <v>21</v>
      </c>
      <c r="H469" s="21">
        <v>144</v>
      </c>
      <c r="I469" s="22" t="s">
        <v>43</v>
      </c>
      <c r="J469" s="23">
        <v>16175</v>
      </c>
      <c r="K469" s="19" t="s">
        <v>43</v>
      </c>
      <c r="L469" s="24"/>
      <c r="M469" s="24"/>
      <c r="N469" s="18">
        <v>144</v>
      </c>
      <c r="O469" s="22" t="s">
        <v>43</v>
      </c>
      <c r="P469" s="18">
        <f t="shared" si="117"/>
        <v>0</v>
      </c>
      <c r="Q469" s="22" t="s">
        <v>43</v>
      </c>
      <c r="R469" s="23">
        <f t="shared" si="118"/>
        <v>0</v>
      </c>
      <c r="S469" s="23">
        <f t="shared" si="110"/>
        <v>0</v>
      </c>
    </row>
    <row r="470" spans="1:19" s="26" customFormat="1">
      <c r="A470" s="25" t="s">
        <v>806</v>
      </c>
      <c r="B470" s="26" t="s">
        <v>275</v>
      </c>
      <c r="C470" s="27">
        <v>288</v>
      </c>
      <c r="D470" s="28" t="s">
        <v>43</v>
      </c>
      <c r="E470" s="29"/>
      <c r="F470" s="30">
        <v>1</v>
      </c>
      <c r="G470" s="31" t="s">
        <v>21</v>
      </c>
      <c r="H470" s="30">
        <v>144</v>
      </c>
      <c r="I470" s="31" t="s">
        <v>43</v>
      </c>
      <c r="J470" s="32">
        <v>16175</v>
      </c>
      <c r="K470" s="28" t="s">
        <v>43</v>
      </c>
      <c r="L470" s="33"/>
      <c r="M470" s="33"/>
      <c r="N470" s="27">
        <f>6+36+48+2+3+48</f>
        <v>143</v>
      </c>
      <c r="O470" s="31" t="s">
        <v>43</v>
      </c>
      <c r="P470" s="27">
        <f t="shared" si="117"/>
        <v>145</v>
      </c>
      <c r="Q470" s="31" t="s">
        <v>43</v>
      </c>
      <c r="R470" s="32">
        <f t="shared" si="118"/>
        <v>2345375</v>
      </c>
      <c r="S470" s="32">
        <f t="shared" si="110"/>
        <v>2112950.4504504502</v>
      </c>
    </row>
    <row r="471" spans="1:19" s="17" customFormat="1">
      <c r="A471" s="16" t="s">
        <v>807</v>
      </c>
      <c r="B471" s="17" t="s">
        <v>275</v>
      </c>
      <c r="C471" s="18"/>
      <c r="D471" s="19" t="s">
        <v>43</v>
      </c>
      <c r="E471" s="20">
        <v>1</v>
      </c>
      <c r="F471" s="21">
        <v>1</v>
      </c>
      <c r="G471" s="22" t="s">
        <v>21</v>
      </c>
      <c r="H471" s="21">
        <v>144</v>
      </c>
      <c r="I471" s="22" t="s">
        <v>43</v>
      </c>
      <c r="J471" s="23">
        <v>16175</v>
      </c>
      <c r="K471" s="19" t="s">
        <v>43</v>
      </c>
      <c r="L471" s="24"/>
      <c r="M471" s="24"/>
      <c r="N471" s="18">
        <v>144</v>
      </c>
      <c r="O471" s="22" t="s">
        <v>43</v>
      </c>
      <c r="P471" s="18">
        <f t="shared" si="117"/>
        <v>0</v>
      </c>
      <c r="Q471" s="22" t="s">
        <v>43</v>
      </c>
      <c r="R471" s="23">
        <f t="shared" si="118"/>
        <v>0</v>
      </c>
      <c r="S471" s="23">
        <f t="shared" si="110"/>
        <v>0</v>
      </c>
    </row>
    <row r="472" spans="1:19" s="17" customFormat="1">
      <c r="A472" s="16" t="s">
        <v>808</v>
      </c>
      <c r="B472" s="17" t="s">
        <v>275</v>
      </c>
      <c r="C472" s="18"/>
      <c r="D472" s="19" t="s">
        <v>43</v>
      </c>
      <c r="E472" s="20">
        <v>1</v>
      </c>
      <c r="F472" s="21">
        <v>1</v>
      </c>
      <c r="G472" s="22" t="s">
        <v>21</v>
      </c>
      <c r="H472" s="21">
        <v>144</v>
      </c>
      <c r="I472" s="22" t="s">
        <v>43</v>
      </c>
      <c r="J472" s="23">
        <v>16175</v>
      </c>
      <c r="K472" s="19" t="s">
        <v>43</v>
      </c>
      <c r="L472" s="24"/>
      <c r="M472" s="24"/>
      <c r="N472" s="18">
        <v>144</v>
      </c>
      <c r="O472" s="22" t="s">
        <v>43</v>
      </c>
      <c r="P472" s="18">
        <f t="shared" si="117"/>
        <v>0</v>
      </c>
      <c r="Q472" s="22" t="s">
        <v>43</v>
      </c>
      <c r="R472" s="23">
        <f t="shared" si="118"/>
        <v>0</v>
      </c>
      <c r="S472" s="23">
        <f t="shared" si="110"/>
        <v>0</v>
      </c>
    </row>
    <row r="473" spans="1:19" s="17" customFormat="1">
      <c r="A473" s="16" t="s">
        <v>809</v>
      </c>
      <c r="B473" s="17" t="s">
        <v>275</v>
      </c>
      <c r="C473" s="18"/>
      <c r="D473" s="19" t="s">
        <v>43</v>
      </c>
      <c r="E473" s="20">
        <v>1</v>
      </c>
      <c r="F473" s="21">
        <v>1</v>
      </c>
      <c r="G473" s="22" t="s">
        <v>21</v>
      </c>
      <c r="H473" s="21">
        <v>144</v>
      </c>
      <c r="I473" s="22" t="s">
        <v>43</v>
      </c>
      <c r="J473" s="23">
        <v>16175</v>
      </c>
      <c r="K473" s="19" t="s">
        <v>43</v>
      </c>
      <c r="L473" s="24"/>
      <c r="M473" s="24"/>
      <c r="N473" s="18">
        <v>144</v>
      </c>
      <c r="O473" s="22" t="s">
        <v>43</v>
      </c>
      <c r="P473" s="18">
        <f t="shared" si="117"/>
        <v>0</v>
      </c>
      <c r="Q473" s="22" t="s">
        <v>43</v>
      </c>
      <c r="R473" s="23">
        <f t="shared" si="118"/>
        <v>0</v>
      </c>
      <c r="S473" s="23">
        <f t="shared" si="110"/>
        <v>0</v>
      </c>
    </row>
    <row r="474" spans="1:19" s="26" customFormat="1">
      <c r="A474" s="25" t="s">
        <v>810</v>
      </c>
      <c r="B474" s="26" t="s">
        <v>275</v>
      </c>
      <c r="C474" s="27">
        <v>432</v>
      </c>
      <c r="D474" s="28" t="s">
        <v>43</v>
      </c>
      <c r="E474" s="29"/>
      <c r="F474" s="30">
        <v>1</v>
      </c>
      <c r="G474" s="31" t="s">
        <v>21</v>
      </c>
      <c r="H474" s="30">
        <v>144</v>
      </c>
      <c r="I474" s="31" t="s">
        <v>43</v>
      </c>
      <c r="J474" s="32">
        <v>16175</v>
      </c>
      <c r="K474" s="28" t="s">
        <v>43</v>
      </c>
      <c r="L474" s="33"/>
      <c r="M474" s="33"/>
      <c r="N474" s="27">
        <f>36+48+48+24+48</f>
        <v>204</v>
      </c>
      <c r="O474" s="31" t="s">
        <v>43</v>
      </c>
      <c r="P474" s="27">
        <f t="shared" si="117"/>
        <v>228</v>
      </c>
      <c r="Q474" s="31" t="s">
        <v>43</v>
      </c>
      <c r="R474" s="32">
        <f t="shared" si="118"/>
        <v>3687900</v>
      </c>
      <c r="S474" s="32">
        <f t="shared" si="110"/>
        <v>3322432.4324324322</v>
      </c>
    </row>
    <row r="475" spans="1:19" s="17" customFormat="1">
      <c r="A475" s="16" t="s">
        <v>811</v>
      </c>
      <c r="B475" s="17" t="s">
        <v>275</v>
      </c>
      <c r="C475" s="18"/>
      <c r="D475" s="19" t="s">
        <v>43</v>
      </c>
      <c r="E475" s="20">
        <v>1</v>
      </c>
      <c r="F475" s="21">
        <v>1</v>
      </c>
      <c r="G475" s="22" t="s">
        <v>21</v>
      </c>
      <c r="H475" s="21">
        <v>144</v>
      </c>
      <c r="I475" s="22" t="s">
        <v>43</v>
      </c>
      <c r="J475" s="23">
        <v>16175</v>
      </c>
      <c r="K475" s="19" t="s">
        <v>43</v>
      </c>
      <c r="L475" s="24"/>
      <c r="M475" s="24"/>
      <c r="N475" s="18">
        <v>144</v>
      </c>
      <c r="O475" s="22" t="s">
        <v>43</v>
      </c>
      <c r="P475" s="18">
        <f t="shared" si="117"/>
        <v>0</v>
      </c>
      <c r="Q475" s="22" t="s">
        <v>43</v>
      </c>
      <c r="R475" s="23">
        <f t="shared" si="118"/>
        <v>0</v>
      </c>
      <c r="S475" s="23">
        <f t="shared" si="110"/>
        <v>0</v>
      </c>
    </row>
    <row r="476" spans="1:19" s="17" customFormat="1">
      <c r="A476" s="16" t="s">
        <v>812</v>
      </c>
      <c r="B476" s="17" t="s">
        <v>275</v>
      </c>
      <c r="C476" s="18"/>
      <c r="D476" s="19" t="s">
        <v>43</v>
      </c>
      <c r="E476" s="20">
        <v>1</v>
      </c>
      <c r="F476" s="21">
        <v>1</v>
      </c>
      <c r="G476" s="22" t="s">
        <v>21</v>
      </c>
      <c r="H476" s="21">
        <v>144</v>
      </c>
      <c r="I476" s="22" t="s">
        <v>43</v>
      </c>
      <c r="J476" s="23">
        <v>16175</v>
      </c>
      <c r="K476" s="19" t="s">
        <v>43</v>
      </c>
      <c r="L476" s="24"/>
      <c r="M476" s="24"/>
      <c r="N476" s="18">
        <v>144</v>
      </c>
      <c r="O476" s="22" t="s">
        <v>43</v>
      </c>
      <c r="P476" s="18">
        <f t="shared" si="117"/>
        <v>0</v>
      </c>
      <c r="Q476" s="22" t="s">
        <v>43</v>
      </c>
      <c r="R476" s="23">
        <f t="shared" si="118"/>
        <v>0</v>
      </c>
      <c r="S476" s="23">
        <f t="shared" si="110"/>
        <v>0</v>
      </c>
    </row>
    <row r="477" spans="1:19" s="26" customFormat="1">
      <c r="A477" s="25" t="s">
        <v>813</v>
      </c>
      <c r="B477" s="26" t="s">
        <v>275</v>
      </c>
      <c r="C477" s="27">
        <v>288</v>
      </c>
      <c r="D477" s="28" t="s">
        <v>43</v>
      </c>
      <c r="E477" s="29">
        <v>1</v>
      </c>
      <c r="F477" s="30">
        <v>1</v>
      </c>
      <c r="G477" s="31" t="s">
        <v>21</v>
      </c>
      <c r="H477" s="30">
        <v>144</v>
      </c>
      <c r="I477" s="31" t="s">
        <v>43</v>
      </c>
      <c r="J477" s="32">
        <v>16175</v>
      </c>
      <c r="K477" s="28" t="s">
        <v>43</v>
      </c>
      <c r="L477" s="33"/>
      <c r="M477" s="33"/>
      <c r="N477" s="27">
        <f>36+144+48+3+12+48+6+12+48</f>
        <v>357</v>
      </c>
      <c r="O477" s="31" t="s">
        <v>43</v>
      </c>
      <c r="P477" s="27">
        <f t="shared" si="117"/>
        <v>75</v>
      </c>
      <c r="Q477" s="31" t="s">
        <v>43</v>
      </c>
      <c r="R477" s="32">
        <f t="shared" si="118"/>
        <v>1213125</v>
      </c>
      <c r="S477" s="32">
        <f t="shared" si="110"/>
        <v>1092905.4054054052</v>
      </c>
    </row>
    <row r="478" spans="1:19" s="17" customFormat="1">
      <c r="A478" s="16" t="s">
        <v>814</v>
      </c>
      <c r="B478" s="17" t="s">
        <v>275</v>
      </c>
      <c r="C478" s="18"/>
      <c r="D478" s="19" t="s">
        <v>43</v>
      </c>
      <c r="E478" s="20">
        <v>1</v>
      </c>
      <c r="F478" s="21">
        <v>1</v>
      </c>
      <c r="G478" s="22" t="s">
        <v>21</v>
      </c>
      <c r="H478" s="21">
        <v>144</v>
      </c>
      <c r="I478" s="22" t="s">
        <v>43</v>
      </c>
      <c r="J478" s="23">
        <v>16175</v>
      </c>
      <c r="K478" s="19" t="s">
        <v>43</v>
      </c>
      <c r="L478" s="24"/>
      <c r="M478" s="24"/>
      <c r="N478" s="18">
        <v>144</v>
      </c>
      <c r="O478" s="22" t="s">
        <v>43</v>
      </c>
      <c r="P478" s="18">
        <f t="shared" si="117"/>
        <v>0</v>
      </c>
      <c r="Q478" s="22" t="s">
        <v>43</v>
      </c>
      <c r="R478" s="23">
        <f t="shared" si="118"/>
        <v>0</v>
      </c>
      <c r="S478" s="23">
        <f t="shared" si="110"/>
        <v>0</v>
      </c>
    </row>
    <row r="479" spans="1:19" s="17" customFormat="1">
      <c r="A479" s="16" t="s">
        <v>815</v>
      </c>
      <c r="B479" s="17" t="s">
        <v>275</v>
      </c>
      <c r="C479" s="18"/>
      <c r="D479" s="19" t="s">
        <v>43</v>
      </c>
      <c r="E479" s="20">
        <v>1</v>
      </c>
      <c r="F479" s="21">
        <v>1</v>
      </c>
      <c r="G479" s="22" t="s">
        <v>21</v>
      </c>
      <c r="H479" s="21">
        <v>144</v>
      </c>
      <c r="I479" s="22" t="s">
        <v>43</v>
      </c>
      <c r="J479" s="23">
        <v>16175</v>
      </c>
      <c r="K479" s="19" t="s">
        <v>43</v>
      </c>
      <c r="L479" s="24"/>
      <c r="M479" s="24"/>
      <c r="N479" s="18">
        <v>144</v>
      </c>
      <c r="O479" s="22" t="s">
        <v>43</v>
      </c>
      <c r="P479" s="18">
        <f t="shared" si="117"/>
        <v>0</v>
      </c>
      <c r="Q479" s="22" t="s">
        <v>43</v>
      </c>
      <c r="R479" s="23">
        <f t="shared" si="118"/>
        <v>0</v>
      </c>
      <c r="S479" s="23">
        <f t="shared" si="110"/>
        <v>0</v>
      </c>
    </row>
    <row r="480" spans="1:19" s="45" customFormat="1">
      <c r="A480" s="44" t="s">
        <v>443</v>
      </c>
      <c r="B480" s="45" t="s">
        <v>275</v>
      </c>
      <c r="C480" s="46">
        <v>288</v>
      </c>
      <c r="D480" s="47" t="s">
        <v>43</v>
      </c>
      <c r="E480" s="48">
        <v>1</v>
      </c>
      <c r="F480" s="49">
        <v>1</v>
      </c>
      <c r="G480" s="50" t="s">
        <v>21</v>
      </c>
      <c r="H480" s="49">
        <v>144</v>
      </c>
      <c r="I480" s="50" t="s">
        <v>43</v>
      </c>
      <c r="J480" s="51">
        <v>16175</v>
      </c>
      <c r="K480" s="47" t="s">
        <v>43</v>
      </c>
      <c r="L480" s="52"/>
      <c r="M480" s="52"/>
      <c r="N480" s="46">
        <f>36+144+48+48+24+48</f>
        <v>348</v>
      </c>
      <c r="O480" s="50" t="s">
        <v>43</v>
      </c>
      <c r="P480" s="46">
        <f t="shared" si="117"/>
        <v>84</v>
      </c>
      <c r="Q480" s="50" t="s">
        <v>43</v>
      </c>
      <c r="R480" s="51">
        <f t="shared" si="118"/>
        <v>1358700</v>
      </c>
      <c r="S480" s="51">
        <f t="shared" si="110"/>
        <v>1224054.054054054</v>
      </c>
    </row>
    <row r="481" spans="1:19" s="17" customFormat="1">
      <c r="A481" s="16" t="s">
        <v>816</v>
      </c>
      <c r="B481" s="17" t="s">
        <v>275</v>
      </c>
      <c r="C481" s="18"/>
      <c r="D481" s="19" t="s">
        <v>43</v>
      </c>
      <c r="E481" s="20"/>
      <c r="F481" s="21">
        <v>1</v>
      </c>
      <c r="G481" s="22" t="s">
        <v>21</v>
      </c>
      <c r="H481" s="21">
        <v>144</v>
      </c>
      <c r="I481" s="22" t="s">
        <v>43</v>
      </c>
      <c r="J481" s="23">
        <v>16175</v>
      </c>
      <c r="K481" s="19" t="s">
        <v>43</v>
      </c>
      <c r="L481" s="24"/>
      <c r="M481" s="24"/>
      <c r="N481" s="18"/>
      <c r="O481" s="22" t="s">
        <v>43</v>
      </c>
      <c r="P481" s="18">
        <f t="shared" si="117"/>
        <v>0</v>
      </c>
      <c r="Q481" s="22" t="s">
        <v>43</v>
      </c>
      <c r="R481" s="23">
        <f t="shared" si="118"/>
        <v>0</v>
      </c>
      <c r="S481" s="23">
        <f t="shared" si="110"/>
        <v>0</v>
      </c>
    </row>
    <row r="482" spans="1:19" s="26" customFormat="1">
      <c r="A482" s="25" t="s">
        <v>817</v>
      </c>
      <c r="B482" s="26" t="s">
        <v>275</v>
      </c>
      <c r="C482" s="27">
        <v>144</v>
      </c>
      <c r="D482" s="28" t="s">
        <v>43</v>
      </c>
      <c r="E482" s="29">
        <v>1</v>
      </c>
      <c r="F482" s="30">
        <v>1</v>
      </c>
      <c r="G482" s="31" t="s">
        <v>21</v>
      </c>
      <c r="H482" s="30">
        <v>144</v>
      </c>
      <c r="I482" s="31" t="s">
        <v>43</v>
      </c>
      <c r="J482" s="32">
        <v>16175</v>
      </c>
      <c r="K482" s="28" t="s">
        <v>43</v>
      </c>
      <c r="L482" s="33"/>
      <c r="M482" s="33"/>
      <c r="N482" s="27">
        <v>144</v>
      </c>
      <c r="O482" s="31" t="s">
        <v>43</v>
      </c>
      <c r="P482" s="27">
        <f t="shared" si="117"/>
        <v>144</v>
      </c>
      <c r="Q482" s="31" t="s">
        <v>43</v>
      </c>
      <c r="R482" s="32">
        <f t="shared" si="118"/>
        <v>2329200</v>
      </c>
      <c r="S482" s="32">
        <f t="shared" si="110"/>
        <v>2098378.3783783782</v>
      </c>
    </row>
    <row r="483" spans="1:19" s="17" customFormat="1">
      <c r="A483" s="16" t="s">
        <v>818</v>
      </c>
      <c r="B483" s="17" t="s">
        <v>275</v>
      </c>
      <c r="C483" s="18"/>
      <c r="D483" s="19" t="s">
        <v>43</v>
      </c>
      <c r="E483" s="20">
        <v>1</v>
      </c>
      <c r="F483" s="21">
        <v>1</v>
      </c>
      <c r="G483" s="22" t="s">
        <v>21</v>
      </c>
      <c r="H483" s="21">
        <v>144</v>
      </c>
      <c r="I483" s="22" t="s">
        <v>43</v>
      </c>
      <c r="J483" s="23">
        <v>16175</v>
      </c>
      <c r="K483" s="19" t="s">
        <v>43</v>
      </c>
      <c r="L483" s="24"/>
      <c r="M483" s="24"/>
      <c r="N483" s="18">
        <v>144</v>
      </c>
      <c r="O483" s="22" t="s">
        <v>43</v>
      </c>
      <c r="P483" s="18">
        <f t="shared" si="117"/>
        <v>0</v>
      </c>
      <c r="Q483" s="22" t="s">
        <v>43</v>
      </c>
      <c r="R483" s="23">
        <f t="shared" si="118"/>
        <v>0</v>
      </c>
      <c r="S483" s="23">
        <f t="shared" si="110"/>
        <v>0</v>
      </c>
    </row>
    <row r="484" spans="1:19" s="17" customFormat="1">
      <c r="A484" s="16" t="s">
        <v>819</v>
      </c>
      <c r="B484" s="17" t="s">
        <v>275</v>
      </c>
      <c r="C484" s="18"/>
      <c r="D484" s="19" t="s">
        <v>43</v>
      </c>
      <c r="E484" s="20">
        <v>1</v>
      </c>
      <c r="F484" s="21">
        <v>1</v>
      </c>
      <c r="G484" s="22" t="s">
        <v>21</v>
      </c>
      <c r="H484" s="21">
        <v>144</v>
      </c>
      <c r="I484" s="22" t="s">
        <v>43</v>
      </c>
      <c r="J484" s="23">
        <v>16175</v>
      </c>
      <c r="K484" s="19" t="s">
        <v>43</v>
      </c>
      <c r="L484" s="24"/>
      <c r="M484" s="24"/>
      <c r="N484" s="18">
        <v>144</v>
      </c>
      <c r="O484" s="22" t="s">
        <v>43</v>
      </c>
      <c r="P484" s="18">
        <f t="shared" si="117"/>
        <v>0</v>
      </c>
      <c r="Q484" s="22" t="s">
        <v>43</v>
      </c>
      <c r="R484" s="23">
        <f t="shared" si="118"/>
        <v>0</v>
      </c>
      <c r="S484" s="23">
        <f t="shared" si="110"/>
        <v>0</v>
      </c>
    </row>
    <row r="485" spans="1:19" s="17" customFormat="1">
      <c r="A485" s="16" t="s">
        <v>820</v>
      </c>
      <c r="B485" s="17" t="s">
        <v>275</v>
      </c>
      <c r="C485" s="18"/>
      <c r="D485" s="19" t="s">
        <v>43</v>
      </c>
      <c r="E485" s="20">
        <v>1</v>
      </c>
      <c r="F485" s="21">
        <v>1</v>
      </c>
      <c r="G485" s="22" t="s">
        <v>21</v>
      </c>
      <c r="H485" s="21">
        <v>144</v>
      </c>
      <c r="I485" s="22" t="s">
        <v>43</v>
      </c>
      <c r="J485" s="23">
        <v>16175</v>
      </c>
      <c r="K485" s="19" t="s">
        <v>43</v>
      </c>
      <c r="L485" s="24"/>
      <c r="M485" s="24"/>
      <c r="N485" s="18">
        <v>144</v>
      </c>
      <c r="O485" s="22" t="s">
        <v>43</v>
      </c>
      <c r="P485" s="18">
        <f t="shared" si="117"/>
        <v>0</v>
      </c>
      <c r="Q485" s="22" t="s">
        <v>43</v>
      </c>
      <c r="R485" s="23">
        <f t="shared" si="118"/>
        <v>0</v>
      </c>
      <c r="S485" s="23">
        <f t="shared" si="110"/>
        <v>0</v>
      </c>
    </row>
    <row r="486" spans="1:19" s="17" customFormat="1">
      <c r="A486" s="16" t="s">
        <v>821</v>
      </c>
      <c r="B486" s="17" t="s">
        <v>275</v>
      </c>
      <c r="C486" s="18"/>
      <c r="D486" s="19" t="s">
        <v>43</v>
      </c>
      <c r="E486" s="20"/>
      <c r="F486" s="21">
        <v>1</v>
      </c>
      <c r="G486" s="22" t="s">
        <v>21</v>
      </c>
      <c r="H486" s="21">
        <v>144</v>
      </c>
      <c r="I486" s="22" t="s">
        <v>43</v>
      </c>
      <c r="J486" s="23">
        <v>16175</v>
      </c>
      <c r="K486" s="19" t="s">
        <v>43</v>
      </c>
      <c r="L486" s="24"/>
      <c r="M486" s="24"/>
      <c r="N486" s="18"/>
      <c r="O486" s="22" t="s">
        <v>43</v>
      </c>
      <c r="P486" s="18">
        <f t="shared" si="117"/>
        <v>0</v>
      </c>
      <c r="Q486" s="22" t="s">
        <v>43</v>
      </c>
      <c r="R486" s="23">
        <f t="shared" si="118"/>
        <v>0</v>
      </c>
      <c r="S486" s="23">
        <f t="shared" si="110"/>
        <v>0</v>
      </c>
    </row>
    <row r="487" spans="1:19" s="26" customFormat="1">
      <c r="A487" s="25" t="s">
        <v>783</v>
      </c>
      <c r="B487" s="26" t="s">
        <v>768</v>
      </c>
      <c r="C487" s="27">
        <v>3504</v>
      </c>
      <c r="D487" s="28" t="s">
        <v>43</v>
      </c>
      <c r="E487" s="29"/>
      <c r="F487" s="30">
        <v>1</v>
      </c>
      <c r="G487" s="31" t="s">
        <v>21</v>
      </c>
      <c r="H487" s="30">
        <v>96</v>
      </c>
      <c r="I487" s="31" t="s">
        <v>43</v>
      </c>
      <c r="J487" s="32">
        <v>26500</v>
      </c>
      <c r="K487" s="28" t="s">
        <v>43</v>
      </c>
      <c r="L487" s="33"/>
      <c r="M487" s="33"/>
      <c r="N487" s="27">
        <f>144+144+144+144+288+144+288</f>
        <v>1296</v>
      </c>
      <c r="O487" s="31" t="s">
        <v>43</v>
      </c>
      <c r="P487" s="27">
        <f t="shared" si="117"/>
        <v>2208</v>
      </c>
      <c r="Q487" s="31" t="s">
        <v>43</v>
      </c>
      <c r="R487" s="32">
        <f t="shared" si="118"/>
        <v>58512000</v>
      </c>
      <c r="S487" s="32">
        <f t="shared" si="110"/>
        <v>52713513.513513505</v>
      </c>
    </row>
    <row r="488" spans="1:19" s="26" customFormat="1">
      <c r="A488" s="25" t="s">
        <v>450</v>
      </c>
      <c r="B488" s="26" t="s">
        <v>182</v>
      </c>
      <c r="C488" s="27">
        <v>384</v>
      </c>
      <c r="D488" s="28" t="s">
        <v>43</v>
      </c>
      <c r="E488" s="29"/>
      <c r="F488" s="30">
        <v>1</v>
      </c>
      <c r="G488" s="31" t="s">
        <v>21</v>
      </c>
      <c r="H488" s="30">
        <v>192</v>
      </c>
      <c r="I488" s="31" t="s">
        <v>43</v>
      </c>
      <c r="J488" s="32">
        <v>12750</v>
      </c>
      <c r="K488" s="28" t="s">
        <v>43</v>
      </c>
      <c r="L488" s="33">
        <v>0.05</v>
      </c>
      <c r="M488" s="33"/>
      <c r="N488" s="27"/>
      <c r="O488" s="31" t="s">
        <v>43</v>
      </c>
      <c r="P488" s="27">
        <f t="shared" si="117"/>
        <v>384</v>
      </c>
      <c r="Q488" s="31" t="s">
        <v>43</v>
      </c>
      <c r="R488" s="32">
        <f t="shared" si="118"/>
        <v>4651200</v>
      </c>
      <c r="S488" s="32">
        <f t="shared" si="110"/>
        <v>4190270.2702702698</v>
      </c>
    </row>
    <row r="489" spans="1:19">
      <c r="A489" s="15" t="s">
        <v>451</v>
      </c>
      <c r="S489" s="23"/>
    </row>
    <row r="490" spans="1:19" s="17" customFormat="1">
      <c r="A490" s="118" t="s">
        <v>452</v>
      </c>
      <c r="B490" s="96" t="s">
        <v>19</v>
      </c>
      <c r="C490" s="97"/>
      <c r="D490" s="98" t="s">
        <v>162</v>
      </c>
      <c r="E490" s="105"/>
      <c r="F490" s="100">
        <v>8</v>
      </c>
      <c r="G490" s="101" t="s">
        <v>34</v>
      </c>
      <c r="H490" s="100">
        <v>24</v>
      </c>
      <c r="I490" s="101" t="s">
        <v>162</v>
      </c>
      <c r="J490" s="102">
        <v>16500</v>
      </c>
      <c r="K490" s="98" t="s">
        <v>162</v>
      </c>
      <c r="L490" s="103">
        <v>0.125</v>
      </c>
      <c r="M490" s="103">
        <v>0.05</v>
      </c>
      <c r="N490" s="97"/>
      <c r="O490" s="101" t="s">
        <v>162</v>
      </c>
      <c r="P490" s="97">
        <f t="shared" ref="P490:P497" si="119">(C490+(E490*F490*H490))-N490</f>
        <v>0</v>
      </c>
      <c r="Q490" s="101" t="s">
        <v>162</v>
      </c>
      <c r="R490" s="102">
        <f t="shared" ref="R490:R497" si="120">P490*(J490-(J490*L490)-((J490-(J490*L490))*M490))</f>
        <v>0</v>
      </c>
      <c r="S490" s="102">
        <f t="shared" si="110"/>
        <v>0</v>
      </c>
    </row>
    <row r="491" spans="1:19" s="26" customFormat="1">
      <c r="A491" s="119" t="s">
        <v>453</v>
      </c>
      <c r="B491" s="36" t="s">
        <v>19</v>
      </c>
      <c r="C491" s="37">
        <v>48</v>
      </c>
      <c r="D491" s="38" t="s">
        <v>162</v>
      </c>
      <c r="E491" s="39"/>
      <c r="F491" s="40">
        <v>8</v>
      </c>
      <c r="G491" s="41" t="s">
        <v>34</v>
      </c>
      <c r="H491" s="40">
        <v>24</v>
      </c>
      <c r="I491" s="41" t="s">
        <v>162</v>
      </c>
      <c r="J491" s="42"/>
      <c r="K491" s="38" t="s">
        <v>162</v>
      </c>
      <c r="L491" s="43">
        <v>0.1</v>
      </c>
      <c r="M491" s="43">
        <v>0.05</v>
      </c>
      <c r="N491" s="37"/>
      <c r="O491" s="41" t="s">
        <v>162</v>
      </c>
      <c r="P491" s="37">
        <f t="shared" si="119"/>
        <v>48</v>
      </c>
      <c r="Q491" s="41" t="s">
        <v>162</v>
      </c>
      <c r="R491" s="42">
        <f t="shared" si="120"/>
        <v>0</v>
      </c>
      <c r="S491" s="42">
        <f t="shared" si="110"/>
        <v>0</v>
      </c>
    </row>
    <row r="492" spans="1:19" s="26" customFormat="1">
      <c r="A492" s="120" t="s">
        <v>454</v>
      </c>
      <c r="B492" s="26" t="s">
        <v>19</v>
      </c>
      <c r="C492" s="27">
        <v>7</v>
      </c>
      <c r="D492" s="28" t="s">
        <v>162</v>
      </c>
      <c r="E492" s="29"/>
      <c r="F492" s="30">
        <v>8</v>
      </c>
      <c r="G492" s="31" t="s">
        <v>34</v>
      </c>
      <c r="H492" s="30">
        <v>30</v>
      </c>
      <c r="I492" s="31" t="s">
        <v>162</v>
      </c>
      <c r="J492" s="32"/>
      <c r="K492" s="28" t="s">
        <v>162</v>
      </c>
      <c r="L492" s="33">
        <v>0.1</v>
      </c>
      <c r="M492" s="33">
        <v>0.05</v>
      </c>
      <c r="N492" s="27"/>
      <c r="O492" s="31" t="s">
        <v>162</v>
      </c>
      <c r="P492" s="27">
        <f t="shared" si="119"/>
        <v>7</v>
      </c>
      <c r="Q492" s="31" t="s">
        <v>162</v>
      </c>
      <c r="R492" s="32">
        <f t="shared" si="120"/>
        <v>0</v>
      </c>
      <c r="S492" s="32">
        <f t="shared" si="110"/>
        <v>0</v>
      </c>
    </row>
    <row r="493" spans="1:19" s="17" customFormat="1">
      <c r="A493" s="121" t="s">
        <v>455</v>
      </c>
      <c r="B493" s="17" t="s">
        <v>19</v>
      </c>
      <c r="C493" s="18"/>
      <c r="D493" s="19" t="s">
        <v>162</v>
      </c>
      <c r="E493" s="20"/>
      <c r="F493" s="21">
        <v>8</v>
      </c>
      <c r="G493" s="22" t="s">
        <v>34</v>
      </c>
      <c r="H493" s="21">
        <v>24</v>
      </c>
      <c r="I493" s="22" t="s">
        <v>162</v>
      </c>
      <c r="J493" s="23">
        <v>21000</v>
      </c>
      <c r="K493" s="19" t="s">
        <v>162</v>
      </c>
      <c r="L493" s="24">
        <v>0.125</v>
      </c>
      <c r="M493" s="24">
        <v>0.05</v>
      </c>
      <c r="N493" s="18"/>
      <c r="O493" s="22" t="s">
        <v>162</v>
      </c>
      <c r="P493" s="18">
        <f t="shared" si="119"/>
        <v>0</v>
      </c>
      <c r="Q493" s="22" t="s">
        <v>162</v>
      </c>
      <c r="R493" s="23">
        <f t="shared" si="120"/>
        <v>0</v>
      </c>
      <c r="S493" s="23">
        <f t="shared" si="110"/>
        <v>0</v>
      </c>
    </row>
    <row r="494" spans="1:19" s="17" customFormat="1">
      <c r="A494" s="121" t="s">
        <v>456</v>
      </c>
      <c r="B494" s="17" t="s">
        <v>19</v>
      </c>
      <c r="C494" s="18"/>
      <c r="D494" s="19" t="s">
        <v>162</v>
      </c>
      <c r="E494" s="20"/>
      <c r="F494" s="21">
        <v>8</v>
      </c>
      <c r="G494" s="22" t="s">
        <v>34</v>
      </c>
      <c r="H494" s="21">
        <v>24</v>
      </c>
      <c r="I494" s="22" t="s">
        <v>162</v>
      </c>
      <c r="J494" s="23">
        <v>15900</v>
      </c>
      <c r="K494" s="19" t="s">
        <v>162</v>
      </c>
      <c r="L494" s="24">
        <v>0.125</v>
      </c>
      <c r="M494" s="24">
        <v>0.05</v>
      </c>
      <c r="N494" s="18"/>
      <c r="O494" s="22" t="s">
        <v>162</v>
      </c>
      <c r="P494" s="18">
        <f t="shared" si="119"/>
        <v>0</v>
      </c>
      <c r="Q494" s="22" t="s">
        <v>162</v>
      </c>
      <c r="R494" s="23">
        <f t="shared" si="120"/>
        <v>0</v>
      </c>
      <c r="S494" s="23">
        <f t="shared" si="110"/>
        <v>0</v>
      </c>
    </row>
    <row r="495" spans="1:19" s="17" customFormat="1">
      <c r="A495" s="121" t="s">
        <v>457</v>
      </c>
      <c r="B495" s="17" t="s">
        <v>19</v>
      </c>
      <c r="C495" s="18"/>
      <c r="D495" s="19" t="s">
        <v>162</v>
      </c>
      <c r="E495" s="20"/>
      <c r="F495" s="21">
        <v>6</v>
      </c>
      <c r="G495" s="22" t="s">
        <v>34</v>
      </c>
      <c r="H495" s="21">
        <v>24</v>
      </c>
      <c r="I495" s="22" t="s">
        <v>162</v>
      </c>
      <c r="J495" s="23">
        <v>21000</v>
      </c>
      <c r="K495" s="19" t="s">
        <v>162</v>
      </c>
      <c r="L495" s="24">
        <v>0.125</v>
      </c>
      <c r="M495" s="24">
        <v>0.05</v>
      </c>
      <c r="N495" s="18"/>
      <c r="O495" s="22" t="s">
        <v>162</v>
      </c>
      <c r="P495" s="18">
        <f t="shared" si="119"/>
        <v>0</v>
      </c>
      <c r="Q495" s="22" t="s">
        <v>162</v>
      </c>
      <c r="R495" s="23">
        <f t="shared" si="120"/>
        <v>0</v>
      </c>
      <c r="S495" s="23">
        <f t="shared" si="110"/>
        <v>0</v>
      </c>
    </row>
    <row r="496" spans="1:19" s="17" customFormat="1">
      <c r="A496" s="16" t="s">
        <v>458</v>
      </c>
      <c r="B496" s="17" t="s">
        <v>26</v>
      </c>
      <c r="C496" s="18"/>
      <c r="D496" s="19" t="s">
        <v>162</v>
      </c>
      <c r="E496" s="20"/>
      <c r="F496" s="21">
        <v>8</v>
      </c>
      <c r="G496" s="22" t="s">
        <v>34</v>
      </c>
      <c r="H496" s="21">
        <v>30</v>
      </c>
      <c r="I496" s="22" t="s">
        <v>162</v>
      </c>
      <c r="J496" s="23">
        <f>4800000/8/30</f>
        <v>20000</v>
      </c>
      <c r="K496" s="19" t="s">
        <v>162</v>
      </c>
      <c r="L496" s="24"/>
      <c r="M496" s="24">
        <v>0.17</v>
      </c>
      <c r="N496" s="18"/>
      <c r="O496" s="22" t="s">
        <v>162</v>
      </c>
      <c r="P496" s="18">
        <f t="shared" si="119"/>
        <v>0</v>
      </c>
      <c r="Q496" s="22" t="s">
        <v>162</v>
      </c>
      <c r="R496" s="23">
        <f t="shared" si="120"/>
        <v>0</v>
      </c>
      <c r="S496" s="23">
        <f t="shared" si="110"/>
        <v>0</v>
      </c>
    </row>
    <row r="497" spans="1:19" s="17" customFormat="1">
      <c r="A497" s="16" t="s">
        <v>752</v>
      </c>
      <c r="B497" s="17" t="s">
        <v>26</v>
      </c>
      <c r="C497" s="18"/>
      <c r="D497" s="19" t="s">
        <v>162</v>
      </c>
      <c r="E497" s="20"/>
      <c r="F497" s="21">
        <v>6</v>
      </c>
      <c r="G497" s="22" t="s">
        <v>34</v>
      </c>
      <c r="H497" s="21">
        <v>30</v>
      </c>
      <c r="I497" s="22" t="s">
        <v>162</v>
      </c>
      <c r="J497" s="23">
        <f>2664000/6/30</f>
        <v>14800</v>
      </c>
      <c r="K497" s="19" t="s">
        <v>162</v>
      </c>
      <c r="L497" s="24"/>
      <c r="M497" s="24">
        <v>0.17</v>
      </c>
      <c r="N497" s="18"/>
      <c r="O497" s="22" t="s">
        <v>162</v>
      </c>
      <c r="P497" s="18">
        <f t="shared" si="119"/>
        <v>0</v>
      </c>
      <c r="Q497" s="22" t="s">
        <v>162</v>
      </c>
      <c r="R497" s="23">
        <f t="shared" si="120"/>
        <v>0</v>
      </c>
      <c r="S497" s="23">
        <f t="shared" si="110"/>
        <v>0</v>
      </c>
    </row>
    <row r="498" spans="1:19">
      <c r="A498" s="15" t="s">
        <v>459</v>
      </c>
      <c r="S498" s="23"/>
    </row>
    <row r="499" spans="1:19" s="26" customFormat="1">
      <c r="A499" s="120" t="s">
        <v>460</v>
      </c>
      <c r="B499" s="26" t="s">
        <v>26</v>
      </c>
      <c r="C499" s="27">
        <v>576</v>
      </c>
      <c r="D499" s="28" t="s">
        <v>20</v>
      </c>
      <c r="E499" s="29"/>
      <c r="F499" s="30">
        <v>24</v>
      </c>
      <c r="G499" s="31" t="s">
        <v>34</v>
      </c>
      <c r="H499" s="30">
        <v>24</v>
      </c>
      <c r="I499" s="31" t="s">
        <v>20</v>
      </c>
      <c r="J499" s="32">
        <f>2822400/24/24</f>
        <v>4900</v>
      </c>
      <c r="K499" s="28" t="s">
        <v>20</v>
      </c>
      <c r="L499" s="33"/>
      <c r="M499" s="33">
        <v>0.17</v>
      </c>
      <c r="N499" s="27"/>
      <c r="O499" s="31" t="s">
        <v>20</v>
      </c>
      <c r="P499" s="27">
        <f>(C499+(E499*F499*H499))-N499</f>
        <v>576</v>
      </c>
      <c r="Q499" s="31" t="s">
        <v>20</v>
      </c>
      <c r="R499" s="32">
        <f>P499*(J499-(J499*L499)-((J499-(J499*L499))*M499))</f>
        <v>2342592</v>
      </c>
      <c r="S499" s="32">
        <f t="shared" si="110"/>
        <v>2110443.2432432431</v>
      </c>
    </row>
    <row r="500" spans="1:19" s="26" customFormat="1">
      <c r="A500" s="120" t="s">
        <v>461</v>
      </c>
      <c r="B500" s="26" t="s">
        <v>26</v>
      </c>
      <c r="C500" s="27">
        <v>984</v>
      </c>
      <c r="D500" s="28" t="s">
        <v>20</v>
      </c>
      <c r="E500" s="29"/>
      <c r="F500" s="30">
        <v>24</v>
      </c>
      <c r="G500" s="31" t="s">
        <v>34</v>
      </c>
      <c r="H500" s="30">
        <v>24</v>
      </c>
      <c r="I500" s="31" t="s">
        <v>20</v>
      </c>
      <c r="J500" s="32">
        <f>1900800/24/24</f>
        <v>3300</v>
      </c>
      <c r="K500" s="28" t="s">
        <v>20</v>
      </c>
      <c r="L500" s="33"/>
      <c r="M500" s="33">
        <v>0.17</v>
      </c>
      <c r="N500" s="27">
        <f>(1*12)+(3*12)</f>
        <v>48</v>
      </c>
      <c r="O500" s="31" t="s">
        <v>20</v>
      </c>
      <c r="P500" s="27">
        <f>(C500+(E500*F500*H500))-N500</f>
        <v>936</v>
      </c>
      <c r="Q500" s="31" t="s">
        <v>20</v>
      </c>
      <c r="R500" s="32">
        <f>P500*(J500-(J500*L500)-((J500-(J500*L500))*M500))</f>
        <v>2563704</v>
      </c>
      <c r="S500" s="32">
        <f t="shared" si="110"/>
        <v>2309643.2432432431</v>
      </c>
    </row>
    <row r="501" spans="1:19" s="17" customFormat="1">
      <c r="A501" s="16" t="s">
        <v>462</v>
      </c>
      <c r="B501" s="17" t="s">
        <v>19</v>
      </c>
      <c r="C501" s="18"/>
      <c r="D501" s="19" t="s">
        <v>43</v>
      </c>
      <c r="E501" s="20"/>
      <c r="F501" s="21">
        <v>48</v>
      </c>
      <c r="G501" s="22" t="s">
        <v>34</v>
      </c>
      <c r="H501" s="21">
        <v>12</v>
      </c>
      <c r="I501" s="22" t="s">
        <v>20</v>
      </c>
      <c r="J501" s="23">
        <v>5800</v>
      </c>
      <c r="K501" s="19" t="s">
        <v>20</v>
      </c>
      <c r="L501" s="24">
        <v>0.125</v>
      </c>
      <c r="M501" s="24">
        <v>0.05</v>
      </c>
      <c r="N501" s="18"/>
      <c r="O501" s="22" t="s">
        <v>20</v>
      </c>
      <c r="P501" s="18">
        <f>(C501+(E501*F501*H501))-N501</f>
        <v>0</v>
      </c>
      <c r="Q501" s="22" t="s">
        <v>20</v>
      </c>
      <c r="R501" s="23">
        <f>P501*(J501-(J501*L501)-((J501-(J501*L501))*M501))</f>
        <v>0</v>
      </c>
      <c r="S501" s="23">
        <f t="shared" ref="S501:S584" si="121">R501/1.11</f>
        <v>0</v>
      </c>
    </row>
    <row r="502" spans="1:19">
      <c r="A502" s="15" t="s">
        <v>463</v>
      </c>
      <c r="S502" s="23"/>
    </row>
    <row r="503" spans="1:19" s="17" customFormat="1">
      <c r="A503" s="16" t="s">
        <v>464</v>
      </c>
      <c r="B503" s="17" t="s">
        <v>19</v>
      </c>
      <c r="C503" s="18"/>
      <c r="D503" s="19" t="s">
        <v>104</v>
      </c>
      <c r="E503" s="20"/>
      <c r="F503" s="21">
        <v>18</v>
      </c>
      <c r="G503" s="22" t="s">
        <v>34</v>
      </c>
      <c r="H503" s="21">
        <v>12</v>
      </c>
      <c r="I503" s="22" t="s">
        <v>104</v>
      </c>
      <c r="J503" s="23">
        <f>36000/12</f>
        <v>3000</v>
      </c>
      <c r="K503" s="19" t="s">
        <v>104</v>
      </c>
      <c r="L503" s="24">
        <v>0.125</v>
      </c>
      <c r="M503" s="24">
        <v>0.05</v>
      </c>
      <c r="N503" s="18"/>
      <c r="O503" s="22" t="s">
        <v>104</v>
      </c>
      <c r="P503" s="18">
        <f t="shared" ref="P503:P508" si="122">(C503+(E503*F503*H503))-N503</f>
        <v>0</v>
      </c>
      <c r="Q503" s="22" t="s">
        <v>104</v>
      </c>
      <c r="R503" s="23">
        <f t="shared" ref="R503:R508" si="123">P503*(J503-(J503*L503)-((J503-(J503*L503))*M503))</f>
        <v>0</v>
      </c>
      <c r="S503" s="23">
        <f t="shared" si="121"/>
        <v>0</v>
      </c>
    </row>
    <row r="504" spans="1:19" s="17" customFormat="1">
      <c r="A504" s="16" t="s">
        <v>465</v>
      </c>
      <c r="B504" s="17" t="s">
        <v>19</v>
      </c>
      <c r="C504" s="18"/>
      <c r="D504" s="19" t="s">
        <v>43</v>
      </c>
      <c r="E504" s="20"/>
      <c r="F504" s="21">
        <v>18</v>
      </c>
      <c r="G504" s="22" t="s">
        <v>34</v>
      </c>
      <c r="H504" s="21">
        <v>24</v>
      </c>
      <c r="I504" s="22" t="s">
        <v>43</v>
      </c>
      <c r="J504" s="23">
        <v>27600</v>
      </c>
      <c r="K504" s="19" t="s">
        <v>43</v>
      </c>
      <c r="L504" s="24">
        <v>0.125</v>
      </c>
      <c r="M504" s="24">
        <v>0.05</v>
      </c>
      <c r="N504" s="18"/>
      <c r="O504" s="22" t="s">
        <v>43</v>
      </c>
      <c r="P504" s="18">
        <f t="shared" si="122"/>
        <v>0</v>
      </c>
      <c r="Q504" s="22" t="s">
        <v>43</v>
      </c>
      <c r="R504" s="23">
        <f t="shared" si="123"/>
        <v>0</v>
      </c>
      <c r="S504" s="23">
        <f t="shared" si="121"/>
        <v>0</v>
      </c>
    </row>
    <row r="505" spans="1:19" s="17" customFormat="1">
      <c r="A505" s="16" t="s">
        <v>466</v>
      </c>
      <c r="B505" s="17" t="s">
        <v>275</v>
      </c>
      <c r="C505" s="18"/>
      <c r="D505" s="19" t="s">
        <v>43</v>
      </c>
      <c r="E505" s="20"/>
      <c r="F505" s="21">
        <v>1</v>
      </c>
      <c r="G505" s="22" t="s">
        <v>21</v>
      </c>
      <c r="H505" s="21">
        <v>96</v>
      </c>
      <c r="I505" s="22" t="s">
        <v>43</v>
      </c>
      <c r="J505" s="23">
        <v>9500</v>
      </c>
      <c r="K505" s="19" t="s">
        <v>43</v>
      </c>
      <c r="L505" s="24"/>
      <c r="M505" s="24"/>
      <c r="N505" s="18"/>
      <c r="O505" s="22" t="s">
        <v>43</v>
      </c>
      <c r="P505" s="18">
        <f t="shared" si="122"/>
        <v>0</v>
      </c>
      <c r="Q505" s="22" t="s">
        <v>43</v>
      </c>
      <c r="R505" s="23">
        <f t="shared" si="123"/>
        <v>0</v>
      </c>
      <c r="S505" s="23">
        <f t="shared" si="121"/>
        <v>0</v>
      </c>
    </row>
    <row r="506" spans="1:19" s="26" customFormat="1">
      <c r="A506" s="25" t="s">
        <v>467</v>
      </c>
      <c r="B506" s="26" t="s">
        <v>26</v>
      </c>
      <c r="C506" s="27">
        <v>1176</v>
      </c>
      <c r="D506" s="28" t="s">
        <v>20</v>
      </c>
      <c r="E506" s="29"/>
      <c r="F506" s="30">
        <v>144</v>
      </c>
      <c r="G506" s="31" t="s">
        <v>34</v>
      </c>
      <c r="H506" s="30">
        <v>24</v>
      </c>
      <c r="I506" s="31" t="s">
        <v>20</v>
      </c>
      <c r="J506" s="32">
        <f>6739200/144/24</f>
        <v>1950</v>
      </c>
      <c r="K506" s="28" t="s">
        <v>20</v>
      </c>
      <c r="L506" s="33"/>
      <c r="M506" s="33">
        <v>0.17</v>
      </c>
      <c r="N506" s="27"/>
      <c r="O506" s="31" t="s">
        <v>20</v>
      </c>
      <c r="P506" s="27">
        <f t="shared" si="122"/>
        <v>1176</v>
      </c>
      <c r="Q506" s="31" t="s">
        <v>20</v>
      </c>
      <c r="R506" s="32">
        <f t="shared" si="123"/>
        <v>1903356</v>
      </c>
      <c r="S506" s="32">
        <f t="shared" si="121"/>
        <v>1714735.1351351349</v>
      </c>
    </row>
    <row r="507" spans="1:19" s="17" customFormat="1">
      <c r="A507" s="16" t="s">
        <v>468</v>
      </c>
      <c r="B507" s="17" t="s">
        <v>26</v>
      </c>
      <c r="C507" s="18"/>
      <c r="D507" s="19" t="s">
        <v>34</v>
      </c>
      <c r="E507" s="20">
        <v>1</v>
      </c>
      <c r="F507" s="21">
        <v>1</v>
      </c>
      <c r="G507" s="22" t="s">
        <v>21</v>
      </c>
      <c r="H507" s="21">
        <v>120</v>
      </c>
      <c r="I507" s="22" t="s">
        <v>34</v>
      </c>
      <c r="J507" s="23">
        <f>2160000/120</f>
        <v>18000</v>
      </c>
      <c r="K507" s="19" t="s">
        <v>34</v>
      </c>
      <c r="L507" s="24"/>
      <c r="M507" s="24">
        <v>0.17</v>
      </c>
      <c r="N507" s="18">
        <v>120</v>
      </c>
      <c r="O507" s="22" t="s">
        <v>34</v>
      </c>
      <c r="P507" s="18">
        <f t="shared" si="122"/>
        <v>0</v>
      </c>
      <c r="Q507" s="22" t="s">
        <v>34</v>
      </c>
      <c r="R507" s="23">
        <f t="shared" si="123"/>
        <v>0</v>
      </c>
      <c r="S507" s="23">
        <f t="shared" si="121"/>
        <v>0</v>
      </c>
    </row>
    <row r="508" spans="1:19">
      <c r="A508" s="34" t="s">
        <v>469</v>
      </c>
      <c r="B508" s="2" t="s">
        <v>192</v>
      </c>
      <c r="C508" s="3">
        <v>2400</v>
      </c>
      <c r="D508" s="4" t="s">
        <v>34</v>
      </c>
      <c r="F508" s="6">
        <v>1</v>
      </c>
      <c r="G508" s="7" t="s">
        <v>21</v>
      </c>
      <c r="H508" s="6">
        <v>240</v>
      </c>
      <c r="I508" s="7" t="s">
        <v>34</v>
      </c>
      <c r="J508" s="8">
        <v>5500</v>
      </c>
      <c r="K508" s="4" t="s">
        <v>34</v>
      </c>
      <c r="O508" s="7" t="s">
        <v>34</v>
      </c>
      <c r="P508" s="3">
        <f t="shared" si="122"/>
        <v>2400</v>
      </c>
      <c r="Q508" s="7" t="s">
        <v>34</v>
      </c>
      <c r="R508" s="8">
        <f t="shared" si="123"/>
        <v>13200000</v>
      </c>
      <c r="S508" s="32">
        <f t="shared" si="121"/>
        <v>11891891.891891891</v>
      </c>
    </row>
    <row r="509" spans="1:19">
      <c r="A509" s="15" t="s">
        <v>574</v>
      </c>
      <c r="S509" s="23"/>
    </row>
    <row r="510" spans="1:19" s="26" customFormat="1">
      <c r="A510" s="107" t="s">
        <v>575</v>
      </c>
      <c r="B510" s="26" t="s">
        <v>26</v>
      </c>
      <c r="C510" s="27">
        <v>60</v>
      </c>
      <c r="D510" s="28" t="s">
        <v>43</v>
      </c>
      <c r="E510" s="29">
        <f>1+3+3</f>
        <v>7</v>
      </c>
      <c r="F510" s="30">
        <v>1</v>
      </c>
      <c r="G510" s="31" t="s">
        <v>21</v>
      </c>
      <c r="H510" s="30">
        <v>60</v>
      </c>
      <c r="I510" s="31" t="s">
        <v>43</v>
      </c>
      <c r="J510" s="32">
        <f>2160000/60</f>
        <v>36000</v>
      </c>
      <c r="K510" s="28" t="s">
        <v>43</v>
      </c>
      <c r="L510" s="33"/>
      <c r="M510" s="33">
        <v>0.17</v>
      </c>
      <c r="N510" s="27">
        <f>60+180+60</f>
        <v>300</v>
      </c>
      <c r="O510" s="31" t="s">
        <v>43</v>
      </c>
      <c r="P510" s="27">
        <f>(C510+(E510*F510*H510))-N510</f>
        <v>180</v>
      </c>
      <c r="Q510" s="31" t="s">
        <v>43</v>
      </c>
      <c r="R510" s="32">
        <f>P510*(J510-(J510*L510)-((J510-(J510*L510))*M510))</f>
        <v>5378400</v>
      </c>
      <c r="S510" s="32">
        <f>R510/1.11</f>
        <v>4845405.405405405</v>
      </c>
    </row>
    <row r="511" spans="1:19" s="26" customFormat="1">
      <c r="A511" s="107" t="s">
        <v>576</v>
      </c>
      <c r="B511" s="26" t="s">
        <v>26</v>
      </c>
      <c r="C511" s="27">
        <v>196</v>
      </c>
      <c r="D511" s="28" t="s">
        <v>43</v>
      </c>
      <c r="E511" s="29"/>
      <c r="F511" s="30">
        <v>12</v>
      </c>
      <c r="G511" s="31" t="s">
        <v>88</v>
      </c>
      <c r="H511" s="30">
        <v>12</v>
      </c>
      <c r="I511" s="31" t="s">
        <v>43</v>
      </c>
      <c r="J511" s="32">
        <f>1555200/144</f>
        <v>10800</v>
      </c>
      <c r="K511" s="28" t="s">
        <v>43</v>
      </c>
      <c r="L511" s="33">
        <v>0.05</v>
      </c>
      <c r="M511" s="33">
        <v>0.17</v>
      </c>
      <c r="N511" s="27">
        <v>2</v>
      </c>
      <c r="O511" s="31" t="s">
        <v>43</v>
      </c>
      <c r="P511" s="27">
        <f>(C511+(E511*F511*H511))-N511</f>
        <v>194</v>
      </c>
      <c r="Q511" s="31" t="s">
        <v>43</v>
      </c>
      <c r="R511" s="32">
        <f>P511*(J511-(J511*L511)-((J511-(J511*L511))*M511))</f>
        <v>1652065.2</v>
      </c>
      <c r="S511" s="32">
        <f>R511/1.11</f>
        <v>1488347.0270270268</v>
      </c>
    </row>
    <row r="512" spans="1:19">
      <c r="A512" s="15" t="s">
        <v>577</v>
      </c>
      <c r="S512" s="23"/>
    </row>
    <row r="513" spans="1:19" s="26" customFormat="1">
      <c r="A513" s="107" t="s">
        <v>578</v>
      </c>
      <c r="B513" s="26" t="s">
        <v>26</v>
      </c>
      <c r="C513" s="27">
        <v>55</v>
      </c>
      <c r="D513" s="28" t="s">
        <v>43</v>
      </c>
      <c r="E513" s="29"/>
      <c r="F513" s="30">
        <v>1</v>
      </c>
      <c r="G513" s="31" t="s">
        <v>21</v>
      </c>
      <c r="H513" s="30">
        <v>60</v>
      </c>
      <c r="I513" s="31" t="s">
        <v>43</v>
      </c>
      <c r="J513" s="32">
        <f>2268000/60</f>
        <v>37800</v>
      </c>
      <c r="K513" s="28" t="s">
        <v>43</v>
      </c>
      <c r="L513" s="33"/>
      <c r="M513" s="33">
        <v>0.17</v>
      </c>
      <c r="N513" s="27"/>
      <c r="O513" s="31" t="s">
        <v>43</v>
      </c>
      <c r="P513" s="27">
        <f>(C513+(E513*F513*H513))-N513</f>
        <v>55</v>
      </c>
      <c r="Q513" s="31" t="s">
        <v>43</v>
      </c>
      <c r="R513" s="32">
        <f>P513*(J513-(J513*L513)-((J513-(J513*L513))*M513))</f>
        <v>1725570</v>
      </c>
      <c r="S513" s="32">
        <f>R513/1.11</f>
        <v>1554567.5675675673</v>
      </c>
    </row>
    <row r="514" spans="1:19">
      <c r="A514" s="15" t="s">
        <v>579</v>
      </c>
      <c r="S514" s="23"/>
    </row>
    <row r="515" spans="1:19" s="45" customFormat="1">
      <c r="A515" s="44" t="s">
        <v>580</v>
      </c>
      <c r="B515" s="45" t="s">
        <v>19</v>
      </c>
      <c r="C515" s="46">
        <v>3</v>
      </c>
      <c r="D515" s="47" t="s">
        <v>162</v>
      </c>
      <c r="E515" s="48"/>
      <c r="F515" s="49">
        <v>8</v>
      </c>
      <c r="G515" s="50" t="s">
        <v>34</v>
      </c>
      <c r="H515" s="49">
        <v>12</v>
      </c>
      <c r="I515" s="50" t="s">
        <v>162</v>
      </c>
      <c r="J515" s="51">
        <v>17000</v>
      </c>
      <c r="K515" s="47" t="s">
        <v>162</v>
      </c>
      <c r="L515" s="52">
        <v>0.125</v>
      </c>
      <c r="M515" s="52">
        <v>0.05</v>
      </c>
      <c r="N515" s="46"/>
      <c r="O515" s="50" t="s">
        <v>162</v>
      </c>
      <c r="P515" s="46">
        <f t="shared" ref="P515:P519" si="124">(C515+(E515*F515*H515))-N515</f>
        <v>3</v>
      </c>
      <c r="Q515" s="50" t="s">
        <v>162</v>
      </c>
      <c r="R515" s="51">
        <f t="shared" ref="R515:R519" si="125">P515*(J515-(J515*L515)-((J515-(J515*L515))*M515))</f>
        <v>42393.75</v>
      </c>
      <c r="S515" s="32">
        <f>R515/1.11</f>
        <v>38192.567567567567</v>
      </c>
    </row>
    <row r="516" spans="1:19" s="45" customFormat="1">
      <c r="A516" s="44" t="s">
        <v>581</v>
      </c>
      <c r="B516" s="45" t="s">
        <v>19</v>
      </c>
      <c r="C516" s="46">
        <v>3</v>
      </c>
      <c r="D516" s="47" t="s">
        <v>162</v>
      </c>
      <c r="E516" s="48"/>
      <c r="F516" s="49">
        <v>8</v>
      </c>
      <c r="G516" s="50" t="s">
        <v>34</v>
      </c>
      <c r="H516" s="49">
        <v>6</v>
      </c>
      <c r="I516" s="50" t="s">
        <v>162</v>
      </c>
      <c r="J516" s="51">
        <v>34000</v>
      </c>
      <c r="K516" s="47" t="s">
        <v>162</v>
      </c>
      <c r="L516" s="52">
        <v>0.125</v>
      </c>
      <c r="M516" s="52">
        <v>0.05</v>
      </c>
      <c r="N516" s="46"/>
      <c r="O516" s="50" t="s">
        <v>162</v>
      </c>
      <c r="P516" s="46">
        <f t="shared" si="124"/>
        <v>3</v>
      </c>
      <c r="Q516" s="50" t="s">
        <v>162</v>
      </c>
      <c r="R516" s="51">
        <f t="shared" si="125"/>
        <v>84787.5</v>
      </c>
      <c r="S516" s="32">
        <f>R516/1.11</f>
        <v>76385.135135135133</v>
      </c>
    </row>
    <row r="517" spans="1:19" s="45" customFormat="1">
      <c r="A517" s="44" t="s">
        <v>582</v>
      </c>
      <c r="B517" s="45" t="s">
        <v>19</v>
      </c>
      <c r="C517" s="46">
        <v>62</v>
      </c>
      <c r="D517" s="47" t="s">
        <v>162</v>
      </c>
      <c r="E517" s="48">
        <f>1+1</f>
        <v>2</v>
      </c>
      <c r="F517" s="49">
        <v>6</v>
      </c>
      <c r="G517" s="50" t="s">
        <v>34</v>
      </c>
      <c r="H517" s="49">
        <v>24</v>
      </c>
      <c r="I517" s="50" t="s">
        <v>162</v>
      </c>
      <c r="J517" s="51">
        <v>31500</v>
      </c>
      <c r="K517" s="47" t="s">
        <v>162</v>
      </c>
      <c r="L517" s="52">
        <v>0.125</v>
      </c>
      <c r="M517" s="52">
        <v>0.05</v>
      </c>
      <c r="N517" s="46">
        <f>144+144</f>
        <v>288</v>
      </c>
      <c r="O517" s="50" t="s">
        <v>162</v>
      </c>
      <c r="P517" s="46">
        <f t="shared" si="124"/>
        <v>62</v>
      </c>
      <c r="Q517" s="50" t="s">
        <v>162</v>
      </c>
      <c r="R517" s="51">
        <f t="shared" si="125"/>
        <v>1623431.25</v>
      </c>
      <c r="S517" s="32">
        <f>R517/1.11</f>
        <v>1462550.6756756755</v>
      </c>
    </row>
    <row r="518" spans="1:19" s="45" customFormat="1">
      <c r="A518" s="44" t="s">
        <v>583</v>
      </c>
      <c r="B518" s="45" t="s">
        <v>19</v>
      </c>
      <c r="C518" s="46">
        <v>1</v>
      </c>
      <c r="D518" s="47" t="s">
        <v>162</v>
      </c>
      <c r="E518" s="48"/>
      <c r="F518" s="49">
        <v>6</v>
      </c>
      <c r="G518" s="50" t="s">
        <v>34</v>
      </c>
      <c r="H518" s="49">
        <v>12</v>
      </c>
      <c r="I518" s="50" t="s">
        <v>162</v>
      </c>
      <c r="J518" s="51">
        <v>63000</v>
      </c>
      <c r="K518" s="47" t="s">
        <v>162</v>
      </c>
      <c r="L518" s="52">
        <v>0.125</v>
      </c>
      <c r="M518" s="52">
        <v>0.05</v>
      </c>
      <c r="N518" s="46"/>
      <c r="O518" s="50" t="s">
        <v>162</v>
      </c>
      <c r="P518" s="46">
        <f t="shared" si="124"/>
        <v>1</v>
      </c>
      <c r="Q518" s="50" t="s">
        <v>162</v>
      </c>
      <c r="R518" s="51">
        <f t="shared" si="125"/>
        <v>52368.75</v>
      </c>
      <c r="S518" s="32">
        <f>R518/1.11</f>
        <v>47179.054054054053</v>
      </c>
    </row>
    <row r="519" spans="1:19" s="63" customFormat="1">
      <c r="A519" s="72" t="s">
        <v>584</v>
      </c>
      <c r="B519" s="63" t="s">
        <v>19</v>
      </c>
      <c r="C519" s="64"/>
      <c r="D519" s="65" t="s">
        <v>162</v>
      </c>
      <c r="E519" s="66"/>
      <c r="F519" s="67">
        <v>6</v>
      </c>
      <c r="G519" s="68" t="s">
        <v>34</v>
      </c>
      <c r="H519" s="67">
        <v>24</v>
      </c>
      <c r="I519" s="68" t="s">
        <v>162</v>
      </c>
      <c r="J519" s="69"/>
      <c r="K519" s="65" t="s">
        <v>162</v>
      </c>
      <c r="L519" s="70">
        <v>0.1</v>
      </c>
      <c r="M519" s="70">
        <v>0.05</v>
      </c>
      <c r="N519" s="64"/>
      <c r="O519" s="68" t="s">
        <v>162</v>
      </c>
      <c r="P519" s="64">
        <f t="shared" si="124"/>
        <v>0</v>
      </c>
      <c r="Q519" s="68" t="s">
        <v>162</v>
      </c>
      <c r="R519" s="69">
        <f t="shared" si="125"/>
        <v>0</v>
      </c>
      <c r="S519" s="23">
        <f>R519/1.11</f>
        <v>0</v>
      </c>
    </row>
    <row r="520" spans="1:19">
      <c r="S520" s="23"/>
    </row>
    <row r="521" spans="1:19" ht="15.75">
      <c r="A521" s="14" t="s">
        <v>470</v>
      </c>
      <c r="S521" s="23"/>
    </row>
    <row r="522" spans="1:19" s="45" customFormat="1">
      <c r="A522" s="44" t="s">
        <v>471</v>
      </c>
      <c r="B522" s="45" t="s">
        <v>19</v>
      </c>
      <c r="C522" s="46">
        <v>141</v>
      </c>
      <c r="D522" s="47" t="s">
        <v>88</v>
      </c>
      <c r="E522" s="48">
        <f>2+15+10+2+5</f>
        <v>34</v>
      </c>
      <c r="F522" s="49">
        <v>1</v>
      </c>
      <c r="G522" s="50" t="s">
        <v>21</v>
      </c>
      <c r="H522" s="49">
        <v>30</v>
      </c>
      <c r="I522" s="50" t="s">
        <v>88</v>
      </c>
      <c r="J522" s="51">
        <v>104400</v>
      </c>
      <c r="K522" s="47" t="s">
        <v>88</v>
      </c>
      <c r="L522" s="52">
        <v>0.125</v>
      </c>
      <c r="M522" s="52">
        <v>0.05</v>
      </c>
      <c r="N522" s="46">
        <f>10+30+60+150+30+30+30+90+60+30+60+90+300</f>
        <v>970</v>
      </c>
      <c r="O522" s="50" t="s">
        <v>88</v>
      </c>
      <c r="P522" s="46">
        <f t="shared" ref="P522:P545" si="126">(C522+(E522*F522*H522))-N522</f>
        <v>191</v>
      </c>
      <c r="Q522" s="50" t="s">
        <v>88</v>
      </c>
      <c r="R522" s="51">
        <f t="shared" ref="R522:R545" si="127">P522*(J522-(J522*L522)-((J522-(J522*L522))*M522))</f>
        <v>16575457.5</v>
      </c>
      <c r="S522" s="51">
        <f t="shared" si="121"/>
        <v>14932844.594594594</v>
      </c>
    </row>
    <row r="523" spans="1:19" s="63" customFormat="1">
      <c r="A523" s="72" t="s">
        <v>726</v>
      </c>
      <c r="B523" s="63" t="s">
        <v>19</v>
      </c>
      <c r="C523" s="64">
        <v>37</v>
      </c>
      <c r="D523" s="65" t="s">
        <v>88</v>
      </c>
      <c r="E523" s="66"/>
      <c r="F523" s="67">
        <v>1</v>
      </c>
      <c r="G523" s="68" t="s">
        <v>21</v>
      </c>
      <c r="H523" s="67">
        <v>30</v>
      </c>
      <c r="I523" s="68" t="s">
        <v>88</v>
      </c>
      <c r="J523" s="69">
        <v>102000</v>
      </c>
      <c r="K523" s="65" t="s">
        <v>88</v>
      </c>
      <c r="L523" s="70">
        <v>0.125</v>
      </c>
      <c r="M523" s="70">
        <v>0.05</v>
      </c>
      <c r="N523" s="64">
        <f>30+7</f>
        <v>37</v>
      </c>
      <c r="O523" s="68" t="s">
        <v>88</v>
      </c>
      <c r="P523" s="64">
        <f t="shared" si="126"/>
        <v>0</v>
      </c>
      <c r="Q523" s="68" t="s">
        <v>88</v>
      </c>
      <c r="R523" s="69">
        <f t="shared" si="127"/>
        <v>0</v>
      </c>
      <c r="S523" s="69">
        <f t="shared" si="121"/>
        <v>0</v>
      </c>
    </row>
    <row r="524" spans="1:19" s="17" customFormat="1">
      <c r="A524" s="16" t="s">
        <v>472</v>
      </c>
      <c r="B524" s="17" t="s">
        <v>19</v>
      </c>
      <c r="C524" s="18"/>
      <c r="D524" s="19" t="s">
        <v>88</v>
      </c>
      <c r="E524" s="20"/>
      <c r="F524" s="21">
        <v>1</v>
      </c>
      <c r="G524" s="22" t="s">
        <v>21</v>
      </c>
      <c r="H524" s="21">
        <v>30</v>
      </c>
      <c r="I524" s="22" t="s">
        <v>88</v>
      </c>
      <c r="J524" s="23">
        <v>99000</v>
      </c>
      <c r="K524" s="19" t="s">
        <v>88</v>
      </c>
      <c r="L524" s="24">
        <v>0.125</v>
      </c>
      <c r="M524" s="24">
        <v>0.05</v>
      </c>
      <c r="N524" s="18"/>
      <c r="O524" s="22" t="s">
        <v>88</v>
      </c>
      <c r="P524" s="18">
        <f t="shared" si="126"/>
        <v>0</v>
      </c>
      <c r="Q524" s="22" t="s">
        <v>88</v>
      </c>
      <c r="R524" s="23">
        <f t="shared" si="127"/>
        <v>0</v>
      </c>
      <c r="S524" s="23">
        <f t="shared" si="121"/>
        <v>0</v>
      </c>
    </row>
    <row r="525" spans="1:19" s="17" customFormat="1">
      <c r="A525" s="16" t="s">
        <v>473</v>
      </c>
      <c r="B525" s="17" t="s">
        <v>19</v>
      </c>
      <c r="C525" s="18"/>
      <c r="D525" s="19" t="s">
        <v>88</v>
      </c>
      <c r="E525" s="20"/>
      <c r="F525" s="21">
        <v>1</v>
      </c>
      <c r="G525" s="22" t="s">
        <v>21</v>
      </c>
      <c r="H525" s="21">
        <v>30</v>
      </c>
      <c r="I525" s="22" t="s">
        <v>88</v>
      </c>
      <c r="J525" s="23">
        <v>96000</v>
      </c>
      <c r="K525" s="19" t="s">
        <v>88</v>
      </c>
      <c r="L525" s="24">
        <v>0.125</v>
      </c>
      <c r="M525" s="24">
        <v>0.05</v>
      </c>
      <c r="N525" s="18"/>
      <c r="O525" s="22" t="s">
        <v>88</v>
      </c>
      <c r="P525" s="18">
        <f t="shared" si="126"/>
        <v>0</v>
      </c>
      <c r="Q525" s="22" t="s">
        <v>88</v>
      </c>
      <c r="R525" s="23">
        <f t="shared" si="127"/>
        <v>0</v>
      </c>
      <c r="S525" s="23">
        <f t="shared" si="121"/>
        <v>0</v>
      </c>
    </row>
    <row r="526" spans="1:19" s="17" customFormat="1">
      <c r="A526" s="16" t="s">
        <v>474</v>
      </c>
      <c r="B526" s="17" t="s">
        <v>19</v>
      </c>
      <c r="C526" s="18"/>
      <c r="D526" s="19" t="s">
        <v>88</v>
      </c>
      <c r="E526" s="20"/>
      <c r="F526" s="21">
        <v>1</v>
      </c>
      <c r="G526" s="22" t="s">
        <v>21</v>
      </c>
      <c r="H526" s="21">
        <v>30</v>
      </c>
      <c r="I526" s="22" t="s">
        <v>88</v>
      </c>
      <c r="J526" s="23">
        <v>109000</v>
      </c>
      <c r="K526" s="19" t="s">
        <v>88</v>
      </c>
      <c r="L526" s="24">
        <v>0.125</v>
      </c>
      <c r="M526" s="24">
        <v>0.05</v>
      </c>
      <c r="N526" s="18"/>
      <c r="O526" s="22" t="s">
        <v>88</v>
      </c>
      <c r="P526" s="18">
        <f t="shared" si="126"/>
        <v>0</v>
      </c>
      <c r="Q526" s="22" t="s">
        <v>88</v>
      </c>
      <c r="R526" s="23">
        <f t="shared" si="127"/>
        <v>0</v>
      </c>
      <c r="S526" s="23">
        <f t="shared" si="121"/>
        <v>0</v>
      </c>
    </row>
    <row r="527" spans="1:19" s="25" customFormat="1">
      <c r="A527" s="94" t="s">
        <v>475</v>
      </c>
      <c r="B527" s="25" t="s">
        <v>26</v>
      </c>
      <c r="C527" s="122">
        <v>40</v>
      </c>
      <c r="D527" s="123" t="s">
        <v>88</v>
      </c>
      <c r="E527" s="124"/>
      <c r="F527" s="125">
        <v>1</v>
      </c>
      <c r="G527" s="126" t="s">
        <v>21</v>
      </c>
      <c r="H527" s="125">
        <v>20</v>
      </c>
      <c r="I527" s="126" t="s">
        <v>88</v>
      </c>
      <c r="J527" s="127">
        <f>2160000/20</f>
        <v>108000</v>
      </c>
      <c r="K527" s="123" t="s">
        <v>88</v>
      </c>
      <c r="L527" s="128"/>
      <c r="M527" s="128">
        <v>0.17</v>
      </c>
      <c r="N527" s="122"/>
      <c r="O527" s="126" t="s">
        <v>88</v>
      </c>
      <c r="P527" s="122">
        <f t="shared" si="126"/>
        <v>40</v>
      </c>
      <c r="Q527" s="126" t="s">
        <v>88</v>
      </c>
      <c r="R527" s="127">
        <f t="shared" si="127"/>
        <v>3585600</v>
      </c>
      <c r="S527" s="32">
        <f t="shared" si="121"/>
        <v>3230270.2702702698</v>
      </c>
    </row>
    <row r="528" spans="1:19" s="25" customFormat="1">
      <c r="A528" s="94" t="s">
        <v>731</v>
      </c>
      <c r="B528" s="25" t="s">
        <v>26</v>
      </c>
      <c r="C528" s="122">
        <v>60</v>
      </c>
      <c r="D528" s="123" t="s">
        <v>88</v>
      </c>
      <c r="E528" s="124"/>
      <c r="F528" s="125">
        <v>1</v>
      </c>
      <c r="G528" s="126" t="s">
        <v>21</v>
      </c>
      <c r="H528" s="125">
        <v>20</v>
      </c>
      <c r="I528" s="126" t="s">
        <v>88</v>
      </c>
      <c r="J528" s="127">
        <f>2448000/20</f>
        <v>122400</v>
      </c>
      <c r="K528" s="123" t="s">
        <v>88</v>
      </c>
      <c r="L528" s="128"/>
      <c r="M528" s="128">
        <v>0.17</v>
      </c>
      <c r="N528" s="122"/>
      <c r="O528" s="126" t="s">
        <v>88</v>
      </c>
      <c r="P528" s="122">
        <f t="shared" si="126"/>
        <v>60</v>
      </c>
      <c r="Q528" s="126" t="s">
        <v>88</v>
      </c>
      <c r="R528" s="127">
        <f t="shared" si="127"/>
        <v>6095520</v>
      </c>
      <c r="S528" s="32">
        <f t="shared" si="121"/>
        <v>5491459.4594594594</v>
      </c>
    </row>
    <row r="529" spans="1:19" s="25" customFormat="1">
      <c r="A529" s="94" t="s">
        <v>476</v>
      </c>
      <c r="B529" s="25" t="s">
        <v>26</v>
      </c>
      <c r="C529" s="122"/>
      <c r="D529" s="123" t="s">
        <v>88</v>
      </c>
      <c r="E529" s="124">
        <f>1+2+2</f>
        <v>5</v>
      </c>
      <c r="F529" s="125">
        <v>1</v>
      </c>
      <c r="G529" s="126" t="s">
        <v>21</v>
      </c>
      <c r="H529" s="125">
        <v>20</v>
      </c>
      <c r="I529" s="126" t="s">
        <v>88</v>
      </c>
      <c r="J529" s="127">
        <f>2112000/20</f>
        <v>105600</v>
      </c>
      <c r="K529" s="123" t="s">
        <v>88</v>
      </c>
      <c r="L529" s="128"/>
      <c r="M529" s="128">
        <v>0.17</v>
      </c>
      <c r="N529" s="122">
        <f>20+40+10+20+5</f>
        <v>95</v>
      </c>
      <c r="O529" s="126" t="s">
        <v>88</v>
      </c>
      <c r="P529" s="122">
        <f t="shared" si="126"/>
        <v>5</v>
      </c>
      <c r="Q529" s="126" t="s">
        <v>88</v>
      </c>
      <c r="R529" s="127">
        <f t="shared" si="127"/>
        <v>438240</v>
      </c>
      <c r="S529" s="32">
        <f t="shared" si="121"/>
        <v>394810.81081081077</v>
      </c>
    </row>
    <row r="530" spans="1:19" s="16" customFormat="1">
      <c r="A530" s="93" t="s">
        <v>477</v>
      </c>
      <c r="B530" s="16" t="s">
        <v>26</v>
      </c>
      <c r="C530" s="129"/>
      <c r="D530" s="130" t="s">
        <v>88</v>
      </c>
      <c r="E530" s="131"/>
      <c r="F530" s="132">
        <v>1</v>
      </c>
      <c r="G530" s="133" t="s">
        <v>21</v>
      </c>
      <c r="H530" s="132">
        <v>20</v>
      </c>
      <c r="I530" s="133" t="s">
        <v>88</v>
      </c>
      <c r="J530" s="134">
        <f>10200*12</f>
        <v>122400</v>
      </c>
      <c r="K530" s="130" t="s">
        <v>88</v>
      </c>
      <c r="L530" s="135"/>
      <c r="M530" s="135">
        <v>0.17</v>
      </c>
      <c r="N530" s="129"/>
      <c r="O530" s="133" t="s">
        <v>88</v>
      </c>
      <c r="P530" s="129">
        <f t="shared" si="126"/>
        <v>0</v>
      </c>
      <c r="Q530" s="133" t="s">
        <v>88</v>
      </c>
      <c r="R530" s="134">
        <f t="shared" si="127"/>
        <v>0</v>
      </c>
      <c r="S530" s="23">
        <f t="shared" si="121"/>
        <v>0</v>
      </c>
    </row>
    <row r="531" spans="1:19" s="25" customFormat="1">
      <c r="A531" s="94" t="s">
        <v>478</v>
      </c>
      <c r="B531" s="25" t="s">
        <v>26</v>
      </c>
      <c r="C531" s="122">
        <v>20</v>
      </c>
      <c r="D531" s="123" t="s">
        <v>88</v>
      </c>
      <c r="E531" s="124"/>
      <c r="F531" s="125">
        <v>1</v>
      </c>
      <c r="G531" s="126" t="s">
        <v>21</v>
      </c>
      <c r="H531" s="125">
        <v>20</v>
      </c>
      <c r="I531" s="126" t="s">
        <v>88</v>
      </c>
      <c r="J531" s="127">
        <f>2256000/20</f>
        <v>112800</v>
      </c>
      <c r="K531" s="123" t="s">
        <v>88</v>
      </c>
      <c r="L531" s="128"/>
      <c r="M531" s="128">
        <v>0.17</v>
      </c>
      <c r="N531" s="122"/>
      <c r="O531" s="126" t="s">
        <v>88</v>
      </c>
      <c r="P531" s="122">
        <f t="shared" si="126"/>
        <v>20</v>
      </c>
      <c r="Q531" s="126" t="s">
        <v>88</v>
      </c>
      <c r="R531" s="127">
        <f t="shared" si="127"/>
        <v>1872480</v>
      </c>
      <c r="S531" s="32">
        <f t="shared" si="121"/>
        <v>1686918.9189189188</v>
      </c>
    </row>
    <row r="532" spans="1:19" s="16" customFormat="1">
      <c r="A532" s="93" t="s">
        <v>479</v>
      </c>
      <c r="B532" s="16" t="s">
        <v>26</v>
      </c>
      <c r="C532" s="129"/>
      <c r="D532" s="130" t="s">
        <v>88</v>
      </c>
      <c r="E532" s="131"/>
      <c r="F532" s="132">
        <v>1</v>
      </c>
      <c r="G532" s="133" t="s">
        <v>21</v>
      </c>
      <c r="H532" s="132">
        <v>20</v>
      </c>
      <c r="I532" s="133" t="s">
        <v>88</v>
      </c>
      <c r="J532" s="134">
        <f>8500*12</f>
        <v>102000</v>
      </c>
      <c r="K532" s="130" t="s">
        <v>88</v>
      </c>
      <c r="L532" s="135"/>
      <c r="M532" s="135">
        <v>0.17</v>
      </c>
      <c r="N532" s="129"/>
      <c r="O532" s="133" t="s">
        <v>88</v>
      </c>
      <c r="P532" s="129">
        <f t="shared" si="126"/>
        <v>0</v>
      </c>
      <c r="Q532" s="133" t="s">
        <v>88</v>
      </c>
      <c r="R532" s="134">
        <f t="shared" si="127"/>
        <v>0</v>
      </c>
      <c r="S532" s="23">
        <f t="shared" si="121"/>
        <v>0</v>
      </c>
    </row>
    <row r="533" spans="1:19" s="16" customFormat="1">
      <c r="A533" s="93" t="s">
        <v>480</v>
      </c>
      <c r="B533" s="16" t="s">
        <v>26</v>
      </c>
      <c r="C533" s="129">
        <v>3</v>
      </c>
      <c r="D533" s="130" t="s">
        <v>88</v>
      </c>
      <c r="E533" s="131"/>
      <c r="F533" s="132">
        <v>1</v>
      </c>
      <c r="G533" s="133" t="s">
        <v>21</v>
      </c>
      <c r="H533" s="132">
        <v>20</v>
      </c>
      <c r="I533" s="133" t="s">
        <v>88</v>
      </c>
      <c r="J533" s="134">
        <v>103200</v>
      </c>
      <c r="K533" s="130" t="s">
        <v>88</v>
      </c>
      <c r="L533" s="135"/>
      <c r="M533" s="135">
        <v>0.17</v>
      </c>
      <c r="N533" s="129">
        <f>1+1+1</f>
        <v>3</v>
      </c>
      <c r="O533" s="133" t="s">
        <v>88</v>
      </c>
      <c r="P533" s="129">
        <f t="shared" si="126"/>
        <v>0</v>
      </c>
      <c r="Q533" s="133" t="s">
        <v>88</v>
      </c>
      <c r="R533" s="134">
        <f t="shared" si="127"/>
        <v>0</v>
      </c>
      <c r="S533" s="23">
        <f t="shared" si="121"/>
        <v>0</v>
      </c>
    </row>
    <row r="534" spans="1:19">
      <c r="A534" s="34" t="s">
        <v>481</v>
      </c>
      <c r="B534" s="2" t="s">
        <v>26</v>
      </c>
      <c r="C534" s="3">
        <v>1</v>
      </c>
      <c r="D534" s="4" t="s">
        <v>88</v>
      </c>
      <c r="F534" s="6">
        <v>1</v>
      </c>
      <c r="G534" s="7" t="s">
        <v>21</v>
      </c>
      <c r="H534" s="6">
        <v>20</v>
      </c>
      <c r="I534" s="7" t="s">
        <v>88</v>
      </c>
      <c r="J534" s="8">
        <f>1980000/20</f>
        <v>99000</v>
      </c>
      <c r="K534" s="4" t="s">
        <v>88</v>
      </c>
      <c r="M534" s="9">
        <v>0.17</v>
      </c>
      <c r="O534" s="7" t="s">
        <v>88</v>
      </c>
      <c r="P534" s="3">
        <f t="shared" si="126"/>
        <v>1</v>
      </c>
      <c r="Q534" s="7" t="s">
        <v>88</v>
      </c>
      <c r="R534" s="8">
        <f t="shared" si="127"/>
        <v>82170</v>
      </c>
      <c r="S534" s="32">
        <f t="shared" si="121"/>
        <v>74027.027027027027</v>
      </c>
    </row>
    <row r="535" spans="1:19" s="16" customFormat="1">
      <c r="A535" s="286" t="s">
        <v>482</v>
      </c>
      <c r="B535" s="95" t="s">
        <v>26</v>
      </c>
      <c r="C535" s="287">
        <v>54.5</v>
      </c>
      <c r="D535" s="288" t="s">
        <v>88</v>
      </c>
      <c r="E535" s="289"/>
      <c r="F535" s="290">
        <v>1</v>
      </c>
      <c r="G535" s="291" t="s">
        <v>21</v>
      </c>
      <c r="H535" s="290">
        <v>20</v>
      </c>
      <c r="I535" s="291" t="s">
        <v>88</v>
      </c>
      <c r="J535" s="292">
        <f>2064000/20</f>
        <v>103200</v>
      </c>
      <c r="K535" s="288" t="s">
        <v>88</v>
      </c>
      <c r="L535" s="293"/>
      <c r="M535" s="293">
        <v>0.17</v>
      </c>
      <c r="N535" s="287">
        <f>20+6+10+5+20-6.5</f>
        <v>54.5</v>
      </c>
      <c r="O535" s="291" t="s">
        <v>88</v>
      </c>
      <c r="P535" s="287">
        <f t="shared" si="126"/>
        <v>0</v>
      </c>
      <c r="Q535" s="291" t="s">
        <v>88</v>
      </c>
      <c r="R535" s="292">
        <f t="shared" si="127"/>
        <v>0</v>
      </c>
      <c r="S535" s="102">
        <f t="shared" si="121"/>
        <v>0</v>
      </c>
    </row>
    <row r="536" spans="1:19" s="25" customFormat="1">
      <c r="A536" s="210" t="s">
        <v>482</v>
      </c>
      <c r="B536" s="35" t="s">
        <v>26</v>
      </c>
      <c r="C536" s="211">
        <v>40</v>
      </c>
      <c r="D536" s="212" t="s">
        <v>88</v>
      </c>
      <c r="E536" s="213">
        <f>1+1+1+1</f>
        <v>4</v>
      </c>
      <c r="F536" s="214">
        <v>1</v>
      </c>
      <c r="G536" s="215" t="s">
        <v>21</v>
      </c>
      <c r="H536" s="214">
        <v>20</v>
      </c>
      <c r="I536" s="215" t="s">
        <v>88</v>
      </c>
      <c r="J536" s="216">
        <f>2208000/20</f>
        <v>110400</v>
      </c>
      <c r="K536" s="212" t="s">
        <v>88</v>
      </c>
      <c r="L536" s="217"/>
      <c r="M536" s="217">
        <v>0.17</v>
      </c>
      <c r="N536" s="211">
        <f>(20-14)+10</f>
        <v>16</v>
      </c>
      <c r="O536" s="215" t="s">
        <v>88</v>
      </c>
      <c r="P536" s="211">
        <f t="shared" si="126"/>
        <v>104</v>
      </c>
      <c r="Q536" s="215" t="s">
        <v>88</v>
      </c>
      <c r="R536" s="216">
        <f t="shared" si="127"/>
        <v>9529728</v>
      </c>
      <c r="S536" s="42">
        <f t="shared" si="121"/>
        <v>8585340.5405405406</v>
      </c>
    </row>
    <row r="537" spans="1:19" s="16" customFormat="1">
      <c r="A537" s="268" t="s">
        <v>483</v>
      </c>
      <c r="B537" s="188" t="s">
        <v>26</v>
      </c>
      <c r="C537" s="269">
        <v>10.5</v>
      </c>
      <c r="D537" s="270" t="s">
        <v>88</v>
      </c>
      <c r="E537" s="271"/>
      <c r="F537" s="272">
        <v>1</v>
      </c>
      <c r="G537" s="273" t="s">
        <v>21</v>
      </c>
      <c r="H537" s="272">
        <v>20</v>
      </c>
      <c r="I537" s="273" t="s">
        <v>88</v>
      </c>
      <c r="J537" s="274">
        <f>2064000/20</f>
        <v>103200</v>
      </c>
      <c r="K537" s="270" t="s">
        <v>88</v>
      </c>
      <c r="L537" s="275"/>
      <c r="M537" s="275">
        <v>0.17</v>
      </c>
      <c r="N537" s="269">
        <f>20-9.5</f>
        <v>10.5</v>
      </c>
      <c r="O537" s="273" t="s">
        <v>88</v>
      </c>
      <c r="P537" s="269">
        <f t="shared" si="126"/>
        <v>0</v>
      </c>
      <c r="Q537" s="273" t="s">
        <v>88</v>
      </c>
      <c r="R537" s="274">
        <f t="shared" si="127"/>
        <v>0</v>
      </c>
      <c r="S537" s="195">
        <f t="shared" si="121"/>
        <v>0</v>
      </c>
    </row>
    <row r="538" spans="1:19" s="25" customFormat="1">
      <c r="A538" s="218" t="s">
        <v>483</v>
      </c>
      <c r="B538" s="179" t="s">
        <v>26</v>
      </c>
      <c r="C538" s="219">
        <v>20</v>
      </c>
      <c r="D538" s="220" t="s">
        <v>88</v>
      </c>
      <c r="E538" s="221">
        <f>1+2+2</f>
        <v>5</v>
      </c>
      <c r="F538" s="222">
        <v>1</v>
      </c>
      <c r="G538" s="223" t="s">
        <v>21</v>
      </c>
      <c r="H538" s="222">
        <v>20</v>
      </c>
      <c r="I538" s="223" t="s">
        <v>88</v>
      </c>
      <c r="J538" s="224">
        <f>2208000/20</f>
        <v>110400</v>
      </c>
      <c r="K538" s="220" t="s">
        <v>88</v>
      </c>
      <c r="L538" s="225"/>
      <c r="M538" s="225">
        <v>0.17</v>
      </c>
      <c r="N538" s="219">
        <f>(20-10)+40+6+10+4+20</f>
        <v>90</v>
      </c>
      <c r="O538" s="223" t="s">
        <v>88</v>
      </c>
      <c r="P538" s="219">
        <f t="shared" si="126"/>
        <v>30</v>
      </c>
      <c r="Q538" s="223" t="s">
        <v>88</v>
      </c>
      <c r="R538" s="224">
        <f t="shared" si="127"/>
        <v>2748960</v>
      </c>
      <c r="S538" s="186">
        <f t="shared" si="121"/>
        <v>2476540.5405405401</v>
      </c>
    </row>
    <row r="539" spans="1:19" s="25" customFormat="1">
      <c r="A539" s="94" t="s">
        <v>484</v>
      </c>
      <c r="B539" s="25" t="s">
        <v>26</v>
      </c>
      <c r="C539" s="122">
        <v>19</v>
      </c>
      <c r="D539" s="123" t="s">
        <v>88</v>
      </c>
      <c r="E539" s="124"/>
      <c r="F539" s="125">
        <v>1</v>
      </c>
      <c r="G539" s="126" t="s">
        <v>21</v>
      </c>
      <c r="H539" s="125">
        <v>20</v>
      </c>
      <c r="I539" s="126" t="s">
        <v>88</v>
      </c>
      <c r="J539" s="127">
        <f>2112000/20</f>
        <v>105600</v>
      </c>
      <c r="K539" s="123" t="s">
        <v>88</v>
      </c>
      <c r="L539" s="128"/>
      <c r="M539" s="128">
        <v>0.17</v>
      </c>
      <c r="N539" s="122"/>
      <c r="O539" s="126" t="s">
        <v>88</v>
      </c>
      <c r="P539" s="122">
        <f t="shared" si="126"/>
        <v>19</v>
      </c>
      <c r="Q539" s="126" t="s">
        <v>88</v>
      </c>
      <c r="R539" s="127">
        <f t="shared" si="127"/>
        <v>1665312</v>
      </c>
      <c r="S539" s="32">
        <f t="shared" si="121"/>
        <v>1500281.0810810809</v>
      </c>
    </row>
    <row r="540" spans="1:19" s="16" customFormat="1">
      <c r="A540" s="93" t="s">
        <v>485</v>
      </c>
      <c r="B540" s="16" t="s">
        <v>26</v>
      </c>
      <c r="C540" s="129"/>
      <c r="D540" s="130" t="s">
        <v>88</v>
      </c>
      <c r="E540" s="131"/>
      <c r="F540" s="132">
        <v>1</v>
      </c>
      <c r="G540" s="133" t="s">
        <v>21</v>
      </c>
      <c r="H540" s="132">
        <v>20</v>
      </c>
      <c r="I540" s="133" t="s">
        <v>88</v>
      </c>
      <c r="J540" s="134">
        <f>2160000/20</f>
        <v>108000</v>
      </c>
      <c r="K540" s="130" t="s">
        <v>88</v>
      </c>
      <c r="L540" s="135"/>
      <c r="M540" s="135">
        <v>0.17</v>
      </c>
      <c r="N540" s="129"/>
      <c r="O540" s="133" t="s">
        <v>88</v>
      </c>
      <c r="P540" s="129">
        <f t="shared" si="126"/>
        <v>0</v>
      </c>
      <c r="Q540" s="133" t="s">
        <v>88</v>
      </c>
      <c r="R540" s="134">
        <f t="shared" si="127"/>
        <v>0</v>
      </c>
      <c r="S540" s="23">
        <f t="shared" si="121"/>
        <v>0</v>
      </c>
    </row>
    <row r="541" spans="1:19" s="16" customFormat="1">
      <c r="A541" s="93" t="s">
        <v>486</v>
      </c>
      <c r="B541" s="16" t="s">
        <v>26</v>
      </c>
      <c r="C541" s="129"/>
      <c r="D541" s="130" t="s">
        <v>88</v>
      </c>
      <c r="E541" s="131"/>
      <c r="F541" s="132">
        <v>1</v>
      </c>
      <c r="G541" s="133" t="s">
        <v>21</v>
      </c>
      <c r="H541" s="132">
        <v>20</v>
      </c>
      <c r="I541" s="133" t="s">
        <v>88</v>
      </c>
      <c r="J541" s="134">
        <f>2160000/20</f>
        <v>108000</v>
      </c>
      <c r="K541" s="130" t="s">
        <v>88</v>
      </c>
      <c r="L541" s="135"/>
      <c r="M541" s="135">
        <v>0.17</v>
      </c>
      <c r="N541" s="129"/>
      <c r="O541" s="133" t="s">
        <v>88</v>
      </c>
      <c r="P541" s="129">
        <f t="shared" si="126"/>
        <v>0</v>
      </c>
      <c r="Q541" s="133" t="s">
        <v>88</v>
      </c>
      <c r="R541" s="134">
        <f t="shared" si="127"/>
        <v>0</v>
      </c>
      <c r="S541" s="23">
        <f t="shared" si="121"/>
        <v>0</v>
      </c>
    </row>
    <row r="542" spans="1:19" s="25" customFormat="1">
      <c r="A542" s="94" t="s">
        <v>793</v>
      </c>
      <c r="B542" s="25" t="s">
        <v>26</v>
      </c>
      <c r="C542" s="122"/>
      <c r="D542" s="123" t="s">
        <v>88</v>
      </c>
      <c r="E542" s="124">
        <f>2+5</f>
        <v>7</v>
      </c>
      <c r="F542" s="125">
        <v>1</v>
      </c>
      <c r="G542" s="126" t="s">
        <v>21</v>
      </c>
      <c r="H542" s="125">
        <v>20</v>
      </c>
      <c r="I542" s="126" t="s">
        <v>88</v>
      </c>
      <c r="J542" s="127">
        <f>2256000/20</f>
        <v>112800</v>
      </c>
      <c r="K542" s="123" t="s">
        <v>88</v>
      </c>
      <c r="L542" s="128"/>
      <c r="M542" s="128">
        <v>0.17</v>
      </c>
      <c r="N542" s="122">
        <f>5+10+100+20</f>
        <v>135</v>
      </c>
      <c r="O542" s="126" t="s">
        <v>88</v>
      </c>
      <c r="P542" s="122">
        <f t="shared" ref="P542" si="128">(C542+(E542*F542*H542))-N542</f>
        <v>5</v>
      </c>
      <c r="Q542" s="126" t="s">
        <v>88</v>
      </c>
      <c r="R542" s="127">
        <f t="shared" ref="R542" si="129">P542*(J542-(J542*L542)-((J542-(J542*L542))*M542))</f>
        <v>468120</v>
      </c>
      <c r="S542" s="32">
        <f t="shared" ref="S542" si="130">R542/1.11</f>
        <v>421729.7297297297</v>
      </c>
    </row>
    <row r="543" spans="1:19" s="25" customFormat="1">
      <c r="A543" s="94" t="s">
        <v>487</v>
      </c>
      <c r="B543" s="25" t="s">
        <v>26</v>
      </c>
      <c r="C543" s="122">
        <v>1</v>
      </c>
      <c r="D543" s="123" t="s">
        <v>88</v>
      </c>
      <c r="E543" s="124"/>
      <c r="F543" s="125">
        <v>1</v>
      </c>
      <c r="G543" s="126" t="s">
        <v>21</v>
      </c>
      <c r="H543" s="125">
        <v>20</v>
      </c>
      <c r="I543" s="126" t="s">
        <v>88</v>
      </c>
      <c r="J543" s="127">
        <f>2112000/20</f>
        <v>105600</v>
      </c>
      <c r="K543" s="123" t="s">
        <v>88</v>
      </c>
      <c r="L543" s="128"/>
      <c r="M543" s="128">
        <v>0.17</v>
      </c>
      <c r="N543" s="122"/>
      <c r="O543" s="126" t="s">
        <v>88</v>
      </c>
      <c r="P543" s="122">
        <f t="shared" si="126"/>
        <v>1</v>
      </c>
      <c r="Q543" s="126" t="s">
        <v>88</v>
      </c>
      <c r="R543" s="127">
        <f t="shared" si="127"/>
        <v>87648</v>
      </c>
      <c r="S543" s="32">
        <f t="shared" si="121"/>
        <v>78962.16216216216</v>
      </c>
    </row>
    <row r="544" spans="1:19" s="16" customFormat="1">
      <c r="A544" s="93" t="s">
        <v>488</v>
      </c>
      <c r="B544" s="16" t="s">
        <v>26</v>
      </c>
      <c r="C544" s="129"/>
      <c r="D544" s="130" t="s">
        <v>88</v>
      </c>
      <c r="E544" s="131"/>
      <c r="F544" s="132">
        <v>1</v>
      </c>
      <c r="G544" s="133" t="s">
        <v>21</v>
      </c>
      <c r="H544" s="132">
        <v>20</v>
      </c>
      <c r="I544" s="133" t="s">
        <v>88</v>
      </c>
      <c r="J544" s="134">
        <f>2352000/20</f>
        <v>117600</v>
      </c>
      <c r="K544" s="130" t="s">
        <v>88</v>
      </c>
      <c r="L544" s="135"/>
      <c r="M544" s="135">
        <v>0.17</v>
      </c>
      <c r="N544" s="129"/>
      <c r="O544" s="133" t="s">
        <v>88</v>
      </c>
      <c r="P544" s="129">
        <f t="shared" si="126"/>
        <v>0</v>
      </c>
      <c r="Q544" s="133" t="s">
        <v>88</v>
      </c>
      <c r="R544" s="134">
        <f t="shared" si="127"/>
        <v>0</v>
      </c>
      <c r="S544" s="23">
        <f t="shared" si="121"/>
        <v>0</v>
      </c>
    </row>
    <row r="545" spans="1:19" s="25" customFormat="1">
      <c r="A545" s="94" t="s">
        <v>489</v>
      </c>
      <c r="B545" s="25" t="s">
        <v>192</v>
      </c>
      <c r="C545" s="122">
        <v>200</v>
      </c>
      <c r="D545" s="123" t="s">
        <v>88</v>
      </c>
      <c r="E545" s="124"/>
      <c r="F545" s="125">
        <v>1</v>
      </c>
      <c r="G545" s="126" t="s">
        <v>21</v>
      </c>
      <c r="H545" s="125">
        <v>30</v>
      </c>
      <c r="I545" s="126" t="s">
        <v>88</v>
      </c>
      <c r="J545" s="127">
        <v>155000</v>
      </c>
      <c r="K545" s="123" t="s">
        <v>88</v>
      </c>
      <c r="L545" s="128"/>
      <c r="M545" s="128"/>
      <c r="N545" s="122">
        <f>1+3+1</f>
        <v>5</v>
      </c>
      <c r="O545" s="126" t="s">
        <v>88</v>
      </c>
      <c r="P545" s="122">
        <f t="shared" si="126"/>
        <v>195</v>
      </c>
      <c r="Q545" s="126" t="s">
        <v>88</v>
      </c>
      <c r="R545" s="127">
        <f t="shared" si="127"/>
        <v>30225000</v>
      </c>
      <c r="S545" s="32">
        <f t="shared" si="121"/>
        <v>27229729.729729727</v>
      </c>
    </row>
    <row r="546" spans="1:19">
      <c r="A546" s="15" t="s">
        <v>490</v>
      </c>
      <c r="S546" s="23"/>
    </row>
    <row r="547" spans="1:19">
      <c r="A547" s="34" t="s">
        <v>491</v>
      </c>
      <c r="B547" s="2" t="s">
        <v>192</v>
      </c>
      <c r="C547" s="3">
        <v>159</v>
      </c>
      <c r="D547" s="4" t="s">
        <v>34</v>
      </c>
      <c r="F547" s="6">
        <v>1</v>
      </c>
      <c r="G547" s="7" t="s">
        <v>21</v>
      </c>
      <c r="H547" s="6">
        <v>40</v>
      </c>
      <c r="I547" s="7" t="s">
        <v>34</v>
      </c>
      <c r="J547" s="8">
        <v>33600</v>
      </c>
      <c r="K547" s="4" t="s">
        <v>34</v>
      </c>
      <c r="N547" s="3">
        <f>40+2</f>
        <v>42</v>
      </c>
      <c r="O547" s="7" t="s">
        <v>34</v>
      </c>
      <c r="P547" s="3">
        <f>(C547+(E547*F547*H547))-N547</f>
        <v>117</v>
      </c>
      <c r="Q547" s="7" t="s">
        <v>34</v>
      </c>
      <c r="R547" s="8">
        <f>P547*(J547-(J547*L547)-((J547-(J547*L547))*M547))</f>
        <v>3931200</v>
      </c>
      <c r="S547" s="32">
        <f t="shared" si="121"/>
        <v>3541621.6216216213</v>
      </c>
    </row>
    <row r="548" spans="1:19">
      <c r="A548" s="34" t="s">
        <v>492</v>
      </c>
      <c r="B548" s="2" t="s">
        <v>192</v>
      </c>
      <c r="C548" s="3">
        <v>248</v>
      </c>
      <c r="D548" s="4" t="s">
        <v>34</v>
      </c>
      <c r="F548" s="6">
        <v>1</v>
      </c>
      <c r="G548" s="7" t="s">
        <v>21</v>
      </c>
      <c r="H548" s="6">
        <v>40</v>
      </c>
      <c r="I548" s="7" t="s">
        <v>34</v>
      </c>
      <c r="J548" s="8">
        <v>33600</v>
      </c>
      <c r="K548" s="4" t="s">
        <v>34</v>
      </c>
      <c r="N548" s="3">
        <f>40+1+2</f>
        <v>43</v>
      </c>
      <c r="O548" s="7" t="s">
        <v>34</v>
      </c>
      <c r="P548" s="3">
        <f>(C548+(E548*F548*H548))-N548</f>
        <v>205</v>
      </c>
      <c r="Q548" s="7" t="s">
        <v>34</v>
      </c>
      <c r="R548" s="8">
        <f>P548*(J548-(J548*L548)-((J548-(J548*L548))*M548))</f>
        <v>6888000</v>
      </c>
      <c r="S548" s="32">
        <f t="shared" si="121"/>
        <v>6205405.405405405</v>
      </c>
    </row>
    <row r="549" spans="1:19">
      <c r="A549" s="34" t="s">
        <v>493</v>
      </c>
      <c r="B549" s="2" t="s">
        <v>192</v>
      </c>
      <c r="C549" s="3">
        <v>405</v>
      </c>
      <c r="D549" s="4" t="s">
        <v>34</v>
      </c>
      <c r="F549" s="6">
        <v>1</v>
      </c>
      <c r="G549" s="7" t="s">
        <v>21</v>
      </c>
      <c r="H549" s="6">
        <v>40</v>
      </c>
      <c r="I549" s="7" t="s">
        <v>34</v>
      </c>
      <c r="J549" s="8">
        <v>33600</v>
      </c>
      <c r="K549" s="4" t="s">
        <v>34</v>
      </c>
      <c r="N549" s="3">
        <v>2</v>
      </c>
      <c r="O549" s="7" t="s">
        <v>34</v>
      </c>
      <c r="P549" s="3">
        <f>(C549+(E549*F549*H549))-N549</f>
        <v>403</v>
      </c>
      <c r="Q549" s="7" t="s">
        <v>34</v>
      </c>
      <c r="R549" s="8">
        <f>P549*(J549-(J549*L549)-((J549-(J549*L549))*M549))</f>
        <v>13540800</v>
      </c>
      <c r="S549" s="32">
        <f t="shared" si="121"/>
        <v>12198918.918918917</v>
      </c>
    </row>
    <row r="550" spans="1:19" s="17" customFormat="1">
      <c r="A550" s="16" t="s">
        <v>494</v>
      </c>
      <c r="B550" s="17" t="s">
        <v>192</v>
      </c>
      <c r="C550" s="18">
        <v>2</v>
      </c>
      <c r="D550" s="19" t="s">
        <v>34</v>
      </c>
      <c r="E550" s="20"/>
      <c r="F550" s="21">
        <v>1</v>
      </c>
      <c r="G550" s="22" t="s">
        <v>21</v>
      </c>
      <c r="H550" s="21">
        <v>40</v>
      </c>
      <c r="I550" s="22" t="s">
        <v>34</v>
      </c>
      <c r="J550" s="23">
        <v>33600</v>
      </c>
      <c r="K550" s="19" t="s">
        <v>34</v>
      </c>
      <c r="L550" s="24"/>
      <c r="M550" s="24"/>
      <c r="N550" s="18">
        <v>2</v>
      </c>
      <c r="O550" s="22" t="s">
        <v>34</v>
      </c>
      <c r="P550" s="18">
        <f>(C550+(E550*F550*H550))-N550</f>
        <v>0</v>
      </c>
      <c r="Q550" s="22" t="s">
        <v>34</v>
      </c>
      <c r="R550" s="23">
        <f>P550*(J550-(J550*L550)-((J550-(J550*L550))*M550))</f>
        <v>0</v>
      </c>
      <c r="S550" s="23">
        <f t="shared" si="121"/>
        <v>0</v>
      </c>
    </row>
    <row r="551" spans="1:19">
      <c r="A551" s="34" t="s">
        <v>495</v>
      </c>
      <c r="B551" s="2" t="s">
        <v>192</v>
      </c>
      <c r="C551" s="3">
        <v>4</v>
      </c>
      <c r="D551" s="4" t="s">
        <v>34</v>
      </c>
      <c r="F551" s="6">
        <v>1</v>
      </c>
      <c r="G551" s="7" t="s">
        <v>21</v>
      </c>
      <c r="H551" s="6">
        <v>24</v>
      </c>
      <c r="I551" s="7" t="s">
        <v>34</v>
      </c>
      <c r="J551" s="8">
        <v>38400</v>
      </c>
      <c r="K551" s="4" t="s">
        <v>34</v>
      </c>
      <c r="O551" s="7" t="s">
        <v>34</v>
      </c>
      <c r="P551" s="3">
        <f>(C551+(E551*F551*H551))-N551</f>
        <v>4</v>
      </c>
      <c r="Q551" s="7" t="s">
        <v>34</v>
      </c>
      <c r="R551" s="8">
        <f>P551*(J551-(J551*L551)-((J551-(J551*L551))*M551))</f>
        <v>153600</v>
      </c>
      <c r="S551" s="32">
        <f t="shared" si="121"/>
        <v>138378.37837837837</v>
      </c>
    </row>
    <row r="552" spans="1:19">
      <c r="A552" s="15" t="s">
        <v>496</v>
      </c>
      <c r="S552" s="23"/>
    </row>
    <row r="553" spans="1:19" s="17" customFormat="1">
      <c r="A553" s="137" t="s">
        <v>497</v>
      </c>
      <c r="B553" s="17" t="s">
        <v>19</v>
      </c>
      <c r="C553" s="18">
        <v>14</v>
      </c>
      <c r="D553" s="19" t="s">
        <v>43</v>
      </c>
      <c r="E553" s="20"/>
      <c r="F553" s="21">
        <v>12</v>
      </c>
      <c r="G553" s="22" t="s">
        <v>88</v>
      </c>
      <c r="H553" s="21">
        <v>12</v>
      </c>
      <c r="I553" s="22" t="s">
        <v>43</v>
      </c>
      <c r="J553" s="23">
        <f>240000/12</f>
        <v>20000</v>
      </c>
      <c r="K553" s="19" t="s">
        <v>43</v>
      </c>
      <c r="L553" s="24">
        <v>0.125</v>
      </c>
      <c r="M553" s="24">
        <v>0.05</v>
      </c>
      <c r="N553" s="18">
        <f>(6+2)+6</f>
        <v>14</v>
      </c>
      <c r="O553" s="22" t="s">
        <v>43</v>
      </c>
      <c r="P553" s="18">
        <f t="shared" ref="P553:P554" si="131">(C553+(E553*F553*H553))-N553</f>
        <v>0</v>
      </c>
      <c r="Q553" s="22" t="s">
        <v>43</v>
      </c>
      <c r="R553" s="23">
        <f t="shared" ref="R553:R554" si="132">P553*(J553-(J553*L553)-((J553-(J553*L553))*M553))</f>
        <v>0</v>
      </c>
      <c r="S553" s="23">
        <f t="shared" ref="S553:S554" si="133">R553/1.11</f>
        <v>0</v>
      </c>
    </row>
    <row r="554" spans="1:19" s="17" customFormat="1">
      <c r="A554" s="137" t="s">
        <v>498</v>
      </c>
      <c r="B554" s="17" t="s">
        <v>26</v>
      </c>
      <c r="C554" s="18"/>
      <c r="D554" s="19" t="s">
        <v>43</v>
      </c>
      <c r="E554" s="20"/>
      <c r="F554" s="21">
        <v>12</v>
      </c>
      <c r="G554" s="22" t="s">
        <v>34</v>
      </c>
      <c r="H554" s="21">
        <v>6</v>
      </c>
      <c r="I554" s="22" t="s">
        <v>43</v>
      </c>
      <c r="J554" s="23">
        <v>21000</v>
      </c>
      <c r="K554" s="19" t="s">
        <v>43</v>
      </c>
      <c r="L554" s="24"/>
      <c r="M554" s="24">
        <v>0.17</v>
      </c>
      <c r="N554" s="18"/>
      <c r="O554" s="22" t="s">
        <v>43</v>
      </c>
      <c r="P554" s="18">
        <f t="shared" si="131"/>
        <v>0</v>
      </c>
      <c r="Q554" s="22" t="s">
        <v>43</v>
      </c>
      <c r="R554" s="23">
        <f t="shared" si="132"/>
        <v>0</v>
      </c>
      <c r="S554" s="23">
        <f t="shared" si="133"/>
        <v>0</v>
      </c>
    </row>
    <row r="555" spans="1:19">
      <c r="A555" s="15" t="s">
        <v>499</v>
      </c>
      <c r="S555" s="23"/>
    </row>
    <row r="556" spans="1:19" s="17" customFormat="1">
      <c r="A556" s="137" t="s">
        <v>500</v>
      </c>
      <c r="B556" s="17" t="s">
        <v>19</v>
      </c>
      <c r="C556" s="18"/>
      <c r="D556" s="19" t="s">
        <v>43</v>
      </c>
      <c r="E556" s="20"/>
      <c r="F556" s="21">
        <v>1</v>
      </c>
      <c r="G556" s="22" t="s">
        <v>21</v>
      </c>
      <c r="H556" s="21">
        <v>144</v>
      </c>
      <c r="I556" s="22" t="s">
        <v>43</v>
      </c>
      <c r="J556" s="23">
        <v>45600</v>
      </c>
      <c r="K556" s="19" t="s">
        <v>43</v>
      </c>
      <c r="L556" s="24">
        <v>0.125</v>
      </c>
      <c r="M556" s="24">
        <v>0.05</v>
      </c>
      <c r="N556" s="18"/>
      <c r="O556" s="22" t="s">
        <v>43</v>
      </c>
      <c r="P556" s="18">
        <f t="shared" ref="P556:P568" si="134">(C556+(E556*F556*H556))-N556</f>
        <v>0</v>
      </c>
      <c r="Q556" s="22" t="s">
        <v>43</v>
      </c>
      <c r="R556" s="23">
        <f t="shared" ref="R556:R568" si="135">P556*(J556-(J556*L556)-((J556-(J556*L556))*M556))</f>
        <v>0</v>
      </c>
      <c r="S556" s="23">
        <f t="shared" si="121"/>
        <v>0</v>
      </c>
    </row>
    <row r="557" spans="1:19" s="26" customFormat="1">
      <c r="A557" s="138" t="s">
        <v>501</v>
      </c>
      <c r="B557" s="26" t="s">
        <v>19</v>
      </c>
      <c r="C557" s="27">
        <v>1</v>
      </c>
      <c r="D557" s="28" t="s">
        <v>43</v>
      </c>
      <c r="E557" s="29"/>
      <c r="F557" s="30">
        <v>1</v>
      </c>
      <c r="G557" s="31" t="s">
        <v>21</v>
      </c>
      <c r="H557" s="30">
        <v>120</v>
      </c>
      <c r="I557" s="31" t="s">
        <v>43</v>
      </c>
      <c r="J557" s="32">
        <v>29400</v>
      </c>
      <c r="K557" s="28" t="s">
        <v>43</v>
      </c>
      <c r="L557" s="33">
        <v>0.125</v>
      </c>
      <c r="M557" s="33">
        <v>0.05</v>
      </c>
      <c r="N557" s="27">
        <f>1-5</f>
        <v>-4</v>
      </c>
      <c r="O557" s="31" t="s">
        <v>43</v>
      </c>
      <c r="P557" s="27">
        <f t="shared" si="134"/>
        <v>5</v>
      </c>
      <c r="Q557" s="31" t="s">
        <v>43</v>
      </c>
      <c r="R557" s="32">
        <f t="shared" si="135"/>
        <v>122193.75</v>
      </c>
      <c r="S557" s="32">
        <f t="shared" si="121"/>
        <v>110084.45945945945</v>
      </c>
    </row>
    <row r="558" spans="1:19" s="17" customFormat="1">
      <c r="A558" s="137" t="s">
        <v>502</v>
      </c>
      <c r="B558" s="17" t="s">
        <v>19</v>
      </c>
      <c r="C558" s="18">
        <v>8</v>
      </c>
      <c r="D558" s="19" t="s">
        <v>43</v>
      </c>
      <c r="E558" s="20"/>
      <c r="F558" s="21">
        <v>1</v>
      </c>
      <c r="G558" s="22" t="s">
        <v>21</v>
      </c>
      <c r="H558" s="21">
        <v>144</v>
      </c>
      <c r="I558" s="22" t="s">
        <v>43</v>
      </c>
      <c r="J558" s="23">
        <v>22800</v>
      </c>
      <c r="K558" s="19" t="s">
        <v>43</v>
      </c>
      <c r="L558" s="24">
        <v>0.125</v>
      </c>
      <c r="M558" s="24">
        <v>0.05</v>
      </c>
      <c r="N558" s="18">
        <v>8</v>
      </c>
      <c r="O558" s="22" t="s">
        <v>43</v>
      </c>
      <c r="P558" s="18">
        <f t="shared" si="134"/>
        <v>0</v>
      </c>
      <c r="Q558" s="22" t="s">
        <v>43</v>
      </c>
      <c r="R558" s="23">
        <f t="shared" si="135"/>
        <v>0</v>
      </c>
      <c r="S558" s="23">
        <f t="shared" si="121"/>
        <v>0</v>
      </c>
    </row>
    <row r="559" spans="1:19" s="17" customFormat="1">
      <c r="A559" s="137" t="s">
        <v>503</v>
      </c>
      <c r="B559" s="17" t="s">
        <v>19</v>
      </c>
      <c r="C559" s="18"/>
      <c r="D559" s="19" t="s">
        <v>43</v>
      </c>
      <c r="E559" s="20"/>
      <c r="F559" s="21">
        <v>1</v>
      </c>
      <c r="G559" s="22" t="s">
        <v>21</v>
      </c>
      <c r="H559" s="21">
        <v>144</v>
      </c>
      <c r="I559" s="22" t="s">
        <v>43</v>
      </c>
      <c r="J559" s="23">
        <v>40800</v>
      </c>
      <c r="K559" s="19" t="s">
        <v>43</v>
      </c>
      <c r="L559" s="24">
        <v>0.125</v>
      </c>
      <c r="M559" s="24">
        <v>0.05</v>
      </c>
      <c r="N559" s="18"/>
      <c r="O559" s="22" t="s">
        <v>43</v>
      </c>
      <c r="P559" s="18">
        <f t="shared" si="134"/>
        <v>0</v>
      </c>
      <c r="Q559" s="22" t="s">
        <v>43</v>
      </c>
      <c r="R559" s="23">
        <f t="shared" si="135"/>
        <v>0</v>
      </c>
      <c r="S559" s="23">
        <f t="shared" si="121"/>
        <v>0</v>
      </c>
    </row>
    <row r="560" spans="1:19" s="17" customFormat="1">
      <c r="A560" s="137" t="s">
        <v>504</v>
      </c>
      <c r="B560" s="17" t="s">
        <v>19</v>
      </c>
      <c r="C560" s="18">
        <v>12</v>
      </c>
      <c r="D560" s="19" t="s">
        <v>43</v>
      </c>
      <c r="E560" s="20"/>
      <c r="F560" s="21">
        <v>1</v>
      </c>
      <c r="G560" s="22" t="s">
        <v>21</v>
      </c>
      <c r="H560" s="21">
        <v>144</v>
      </c>
      <c r="I560" s="22" t="s">
        <v>43</v>
      </c>
      <c r="J560" s="23">
        <v>36000</v>
      </c>
      <c r="K560" s="19" t="s">
        <v>43</v>
      </c>
      <c r="L560" s="24">
        <v>0.125</v>
      </c>
      <c r="M560" s="24">
        <v>0.05</v>
      </c>
      <c r="N560" s="18">
        <v>12</v>
      </c>
      <c r="O560" s="22" t="s">
        <v>43</v>
      </c>
      <c r="P560" s="18">
        <f t="shared" si="134"/>
        <v>0</v>
      </c>
      <c r="Q560" s="22" t="s">
        <v>43</v>
      </c>
      <c r="R560" s="23">
        <f t="shared" si="135"/>
        <v>0</v>
      </c>
      <c r="S560" s="23">
        <f t="shared" si="121"/>
        <v>0</v>
      </c>
    </row>
    <row r="561" spans="1:19" s="26" customFormat="1">
      <c r="A561" s="25" t="s">
        <v>505</v>
      </c>
      <c r="B561" s="26" t="s">
        <v>26</v>
      </c>
      <c r="C561" s="27">
        <v>98</v>
      </c>
      <c r="D561" s="28" t="s">
        <v>43</v>
      </c>
      <c r="E561" s="29">
        <v>1</v>
      </c>
      <c r="F561" s="30">
        <v>1</v>
      </c>
      <c r="G561" s="31" t="s">
        <v>21</v>
      </c>
      <c r="H561" s="30">
        <v>144</v>
      </c>
      <c r="I561" s="31" t="s">
        <v>43</v>
      </c>
      <c r="J561" s="32">
        <f>6739200/144</f>
        <v>46800</v>
      </c>
      <c r="K561" s="28" t="s">
        <v>43</v>
      </c>
      <c r="L561" s="33"/>
      <c r="M561" s="33">
        <v>0.17</v>
      </c>
      <c r="N561" s="27">
        <f>36+18+12+7</f>
        <v>73</v>
      </c>
      <c r="O561" s="31" t="s">
        <v>43</v>
      </c>
      <c r="P561" s="27">
        <f t="shared" si="134"/>
        <v>169</v>
      </c>
      <c r="Q561" s="31" t="s">
        <v>43</v>
      </c>
      <c r="R561" s="32">
        <f t="shared" si="135"/>
        <v>6564636</v>
      </c>
      <c r="S561" s="32">
        <f t="shared" si="121"/>
        <v>5914086.4864864862</v>
      </c>
    </row>
    <row r="562" spans="1:19" s="26" customFormat="1">
      <c r="A562" s="25" t="s">
        <v>506</v>
      </c>
      <c r="B562" s="26" t="s">
        <v>26</v>
      </c>
      <c r="C562" s="27">
        <v>72</v>
      </c>
      <c r="D562" s="28" t="s">
        <v>43</v>
      </c>
      <c r="E562" s="29"/>
      <c r="F562" s="30">
        <v>1</v>
      </c>
      <c r="G562" s="31" t="s">
        <v>21</v>
      </c>
      <c r="H562" s="30">
        <v>144</v>
      </c>
      <c r="I562" s="31" t="s">
        <v>43</v>
      </c>
      <c r="J562" s="32">
        <f>4492800/144</f>
        <v>31200</v>
      </c>
      <c r="K562" s="28" t="s">
        <v>43</v>
      </c>
      <c r="L562" s="33"/>
      <c r="M562" s="33">
        <v>0.17</v>
      </c>
      <c r="N562" s="27">
        <v>12</v>
      </c>
      <c r="O562" s="31" t="s">
        <v>43</v>
      </c>
      <c r="P562" s="27">
        <f t="shared" si="134"/>
        <v>60</v>
      </c>
      <c r="Q562" s="31" t="s">
        <v>43</v>
      </c>
      <c r="R562" s="32">
        <f t="shared" si="135"/>
        <v>1553760</v>
      </c>
      <c r="S562" s="32">
        <f t="shared" si="121"/>
        <v>1399783.7837837837</v>
      </c>
    </row>
    <row r="563" spans="1:19" s="17" customFormat="1">
      <c r="A563" s="16" t="s">
        <v>507</v>
      </c>
      <c r="B563" s="17" t="s">
        <v>26</v>
      </c>
      <c r="C563" s="18"/>
      <c r="D563" s="19" t="s">
        <v>43</v>
      </c>
      <c r="E563" s="20"/>
      <c r="F563" s="21">
        <v>1</v>
      </c>
      <c r="G563" s="22" t="s">
        <v>21</v>
      </c>
      <c r="H563" s="21">
        <v>144</v>
      </c>
      <c r="I563" s="22" t="s">
        <v>43</v>
      </c>
      <c r="J563" s="23">
        <v>29400</v>
      </c>
      <c r="K563" s="19" t="s">
        <v>43</v>
      </c>
      <c r="L563" s="24"/>
      <c r="M563" s="24">
        <v>0.17</v>
      </c>
      <c r="N563" s="18"/>
      <c r="O563" s="22" t="s">
        <v>43</v>
      </c>
      <c r="P563" s="18">
        <f t="shared" si="134"/>
        <v>0</v>
      </c>
      <c r="Q563" s="22" t="s">
        <v>43</v>
      </c>
      <c r="R563" s="23">
        <f t="shared" si="135"/>
        <v>0</v>
      </c>
      <c r="S563" s="23">
        <f t="shared" si="121"/>
        <v>0</v>
      </c>
    </row>
    <row r="564" spans="1:19" s="17" customFormat="1">
      <c r="A564" s="16" t="s">
        <v>508</v>
      </c>
      <c r="B564" s="17" t="s">
        <v>26</v>
      </c>
      <c r="C564" s="18">
        <f>26+10</f>
        <v>36</v>
      </c>
      <c r="D564" s="19" t="s">
        <v>43</v>
      </c>
      <c r="E564" s="20"/>
      <c r="F564" s="21">
        <v>1</v>
      </c>
      <c r="G564" s="22" t="s">
        <v>21</v>
      </c>
      <c r="H564" s="21">
        <v>144</v>
      </c>
      <c r="I564" s="22" t="s">
        <v>43</v>
      </c>
      <c r="J564" s="23">
        <f>2764800/144</f>
        <v>19200</v>
      </c>
      <c r="K564" s="19" t="s">
        <v>43</v>
      </c>
      <c r="L564" s="24"/>
      <c r="M564" s="24">
        <v>0.17</v>
      </c>
      <c r="N564" s="18">
        <v>36</v>
      </c>
      <c r="O564" s="22" t="s">
        <v>43</v>
      </c>
      <c r="P564" s="18">
        <f t="shared" si="134"/>
        <v>0</v>
      </c>
      <c r="Q564" s="22" t="s">
        <v>43</v>
      </c>
      <c r="R564" s="23">
        <f t="shared" si="135"/>
        <v>0</v>
      </c>
      <c r="S564" s="23">
        <f t="shared" si="121"/>
        <v>0</v>
      </c>
    </row>
    <row r="565" spans="1:19" s="17" customFormat="1">
      <c r="A565" s="16" t="s">
        <v>509</v>
      </c>
      <c r="B565" s="17" t="s">
        <v>26</v>
      </c>
      <c r="C565" s="18"/>
      <c r="D565" s="19" t="s">
        <v>43</v>
      </c>
      <c r="E565" s="20"/>
      <c r="F565" s="21">
        <v>1</v>
      </c>
      <c r="G565" s="22" t="s">
        <v>21</v>
      </c>
      <c r="H565" s="21">
        <v>144</v>
      </c>
      <c r="I565" s="22" t="s">
        <v>43</v>
      </c>
      <c r="J565" s="23">
        <f>3369600/144</f>
        <v>23400</v>
      </c>
      <c r="K565" s="19" t="s">
        <v>43</v>
      </c>
      <c r="L565" s="24"/>
      <c r="M565" s="24">
        <v>0.17</v>
      </c>
      <c r="N565" s="18"/>
      <c r="O565" s="22" t="s">
        <v>43</v>
      </c>
      <c r="P565" s="18">
        <f t="shared" si="134"/>
        <v>0</v>
      </c>
      <c r="Q565" s="22" t="s">
        <v>43</v>
      </c>
      <c r="R565" s="23">
        <f t="shared" si="135"/>
        <v>0</v>
      </c>
      <c r="S565" s="23">
        <f t="shared" si="121"/>
        <v>0</v>
      </c>
    </row>
    <row r="566" spans="1:19" s="17" customFormat="1">
      <c r="A566" s="16" t="s">
        <v>510</v>
      </c>
      <c r="B566" s="17" t="s">
        <v>275</v>
      </c>
      <c r="C566" s="18"/>
      <c r="D566" s="19" t="s">
        <v>43</v>
      </c>
      <c r="E566" s="20"/>
      <c r="F566" s="21">
        <v>1</v>
      </c>
      <c r="G566" s="22" t="s">
        <v>21</v>
      </c>
      <c r="H566" s="21">
        <v>144</v>
      </c>
      <c r="I566" s="22" t="s">
        <v>43</v>
      </c>
      <c r="J566" s="23">
        <v>12500</v>
      </c>
      <c r="K566" s="19" t="s">
        <v>43</v>
      </c>
      <c r="L566" s="24"/>
      <c r="M566" s="24"/>
      <c r="N566" s="18"/>
      <c r="O566" s="22" t="s">
        <v>43</v>
      </c>
      <c r="P566" s="18">
        <f t="shared" si="134"/>
        <v>0</v>
      </c>
      <c r="Q566" s="22" t="s">
        <v>43</v>
      </c>
      <c r="R566" s="23">
        <f t="shared" si="135"/>
        <v>0</v>
      </c>
      <c r="S566" s="23">
        <f>R566/1.11</f>
        <v>0</v>
      </c>
    </row>
    <row r="567" spans="1:19" s="17" customFormat="1">
      <c r="A567" s="16" t="s">
        <v>511</v>
      </c>
      <c r="B567" s="17" t="s">
        <v>275</v>
      </c>
      <c r="C567" s="18"/>
      <c r="D567" s="19" t="s">
        <v>43</v>
      </c>
      <c r="E567" s="20"/>
      <c r="F567" s="21">
        <v>1</v>
      </c>
      <c r="G567" s="22" t="s">
        <v>21</v>
      </c>
      <c r="H567" s="21">
        <v>144</v>
      </c>
      <c r="I567" s="22" t="s">
        <v>43</v>
      </c>
      <c r="J567" s="23">
        <v>12500</v>
      </c>
      <c r="K567" s="19" t="s">
        <v>43</v>
      </c>
      <c r="L567" s="24"/>
      <c r="M567" s="24"/>
      <c r="N567" s="18"/>
      <c r="O567" s="22" t="s">
        <v>43</v>
      </c>
      <c r="P567" s="18">
        <f t="shared" si="134"/>
        <v>0</v>
      </c>
      <c r="Q567" s="22" t="s">
        <v>43</v>
      </c>
      <c r="R567" s="23">
        <f t="shared" si="135"/>
        <v>0</v>
      </c>
      <c r="S567" s="23">
        <f>R567/1.11</f>
        <v>0</v>
      </c>
    </row>
    <row r="568" spans="1:19" s="26" customFormat="1">
      <c r="A568" s="25" t="s">
        <v>512</v>
      </c>
      <c r="B568" s="26" t="s">
        <v>275</v>
      </c>
      <c r="C568" s="27">
        <v>96</v>
      </c>
      <c r="D568" s="28" t="s">
        <v>43</v>
      </c>
      <c r="E568" s="29"/>
      <c r="F568" s="30">
        <v>1</v>
      </c>
      <c r="G568" s="31" t="s">
        <v>21</v>
      </c>
      <c r="H568" s="30">
        <v>96</v>
      </c>
      <c r="I568" s="31" t="s">
        <v>43</v>
      </c>
      <c r="J568" s="32">
        <v>27500</v>
      </c>
      <c r="K568" s="28" t="s">
        <v>43</v>
      </c>
      <c r="L568" s="33"/>
      <c r="M568" s="33"/>
      <c r="N568" s="27"/>
      <c r="O568" s="31" t="s">
        <v>43</v>
      </c>
      <c r="P568" s="27">
        <f t="shared" si="134"/>
        <v>96</v>
      </c>
      <c r="Q568" s="31" t="s">
        <v>43</v>
      </c>
      <c r="R568" s="32">
        <f t="shared" si="135"/>
        <v>2640000</v>
      </c>
      <c r="S568" s="32">
        <f>R568/1.11</f>
        <v>2378378.3783783782</v>
      </c>
    </row>
    <row r="569" spans="1:19">
      <c r="A569" s="15" t="s">
        <v>741</v>
      </c>
      <c r="S569" s="23"/>
    </row>
    <row r="570" spans="1:19" s="17" customFormat="1">
      <c r="A570" s="137" t="s">
        <v>742</v>
      </c>
      <c r="B570" s="17" t="s">
        <v>19</v>
      </c>
      <c r="C570" s="18"/>
      <c r="D570" s="19" t="s">
        <v>88</v>
      </c>
      <c r="E570" s="20">
        <v>5</v>
      </c>
      <c r="F570" s="21">
        <v>1</v>
      </c>
      <c r="G570" s="22" t="s">
        <v>21</v>
      </c>
      <c r="H570" s="21">
        <v>12</v>
      </c>
      <c r="I570" s="22" t="s">
        <v>88</v>
      </c>
      <c r="J570" s="23">
        <v>176400</v>
      </c>
      <c r="K570" s="19" t="s">
        <v>88</v>
      </c>
      <c r="L570" s="24">
        <v>0.125</v>
      </c>
      <c r="M570" s="24">
        <v>0.05</v>
      </c>
      <c r="N570" s="18">
        <v>60</v>
      </c>
      <c r="O570" s="22" t="s">
        <v>88</v>
      </c>
      <c r="P570" s="18">
        <f t="shared" ref="P570:P577" si="136">(C570+(E570*F570*H570))-N570</f>
        <v>0</v>
      </c>
      <c r="Q570" s="22" t="s">
        <v>88</v>
      </c>
      <c r="R570" s="23">
        <f t="shared" ref="R570:R577" si="137">P570*(J570-(J570*L570)-((J570-(J570*L570))*M570))</f>
        <v>0</v>
      </c>
      <c r="S570" s="23">
        <f t="shared" si="121"/>
        <v>0</v>
      </c>
    </row>
    <row r="571" spans="1:19" s="17" customFormat="1">
      <c r="A571" s="137" t="s">
        <v>743</v>
      </c>
      <c r="B571" s="17" t="s">
        <v>19</v>
      </c>
      <c r="C571" s="18"/>
      <c r="D571" s="19" t="s">
        <v>88</v>
      </c>
      <c r="E571" s="20"/>
      <c r="F571" s="21">
        <v>12</v>
      </c>
      <c r="G571" s="22" t="s">
        <v>34</v>
      </c>
      <c r="H571" s="21">
        <v>1</v>
      </c>
      <c r="I571" s="22" t="s">
        <v>88</v>
      </c>
      <c r="J571" s="23">
        <v>183600</v>
      </c>
      <c r="K571" s="19" t="s">
        <v>88</v>
      </c>
      <c r="L571" s="24">
        <v>0.125</v>
      </c>
      <c r="M571" s="24">
        <v>0.05</v>
      </c>
      <c r="N571" s="18"/>
      <c r="O571" s="22" t="s">
        <v>88</v>
      </c>
      <c r="P571" s="18">
        <f t="shared" si="136"/>
        <v>0</v>
      </c>
      <c r="Q571" s="22" t="s">
        <v>88</v>
      </c>
      <c r="R571" s="23">
        <f t="shared" si="137"/>
        <v>0</v>
      </c>
      <c r="S571" s="23">
        <f t="shared" si="121"/>
        <v>0</v>
      </c>
    </row>
    <row r="572" spans="1:19" s="17" customFormat="1">
      <c r="A572" s="137" t="s">
        <v>744</v>
      </c>
      <c r="B572" s="17" t="s">
        <v>19</v>
      </c>
      <c r="C572" s="18"/>
      <c r="D572" s="19" t="s">
        <v>43</v>
      </c>
      <c r="E572" s="20"/>
      <c r="F572" s="21">
        <v>12</v>
      </c>
      <c r="G572" s="22" t="s">
        <v>88</v>
      </c>
      <c r="H572" s="21">
        <v>12</v>
      </c>
      <c r="I572" s="22" t="s">
        <v>43</v>
      </c>
      <c r="J572" s="23">
        <v>17100</v>
      </c>
      <c r="K572" s="19" t="s">
        <v>43</v>
      </c>
      <c r="L572" s="24">
        <v>0.125</v>
      </c>
      <c r="M572" s="24">
        <v>0.05</v>
      </c>
      <c r="N572" s="18"/>
      <c r="O572" s="22" t="s">
        <v>43</v>
      </c>
      <c r="P572" s="18">
        <f t="shared" si="136"/>
        <v>0</v>
      </c>
      <c r="Q572" s="22" t="s">
        <v>43</v>
      </c>
      <c r="R572" s="23">
        <f t="shared" si="137"/>
        <v>0</v>
      </c>
      <c r="S572" s="23">
        <f t="shared" si="121"/>
        <v>0</v>
      </c>
    </row>
    <row r="573" spans="1:19" s="17" customFormat="1">
      <c r="A573" s="137" t="s">
        <v>745</v>
      </c>
      <c r="B573" s="17" t="s">
        <v>19</v>
      </c>
      <c r="C573" s="18"/>
      <c r="D573" s="19" t="s">
        <v>43</v>
      </c>
      <c r="E573" s="20"/>
      <c r="F573" s="21">
        <v>12</v>
      </c>
      <c r="G573" s="22" t="s">
        <v>88</v>
      </c>
      <c r="H573" s="21">
        <v>6</v>
      </c>
      <c r="I573" s="22" t="s">
        <v>43</v>
      </c>
      <c r="J573" s="23">
        <v>34500</v>
      </c>
      <c r="K573" s="19" t="s">
        <v>43</v>
      </c>
      <c r="L573" s="24">
        <v>0.125</v>
      </c>
      <c r="M573" s="24">
        <v>0.05</v>
      </c>
      <c r="N573" s="18"/>
      <c r="O573" s="22" t="s">
        <v>43</v>
      </c>
      <c r="P573" s="18">
        <f t="shared" si="136"/>
        <v>0</v>
      </c>
      <c r="Q573" s="22" t="s">
        <v>43</v>
      </c>
      <c r="R573" s="23">
        <f t="shared" si="137"/>
        <v>0</v>
      </c>
      <c r="S573" s="23">
        <f t="shared" si="121"/>
        <v>0</v>
      </c>
    </row>
    <row r="574" spans="1:19" s="17" customFormat="1">
      <c r="A574" s="137" t="s">
        <v>746</v>
      </c>
      <c r="B574" s="17" t="s">
        <v>19</v>
      </c>
      <c r="C574" s="18"/>
      <c r="D574" s="19" t="s">
        <v>88</v>
      </c>
      <c r="E574" s="20"/>
      <c r="F574" s="21">
        <v>1</v>
      </c>
      <c r="G574" s="22" t="s">
        <v>21</v>
      </c>
      <c r="H574" s="21">
        <v>12</v>
      </c>
      <c r="I574" s="22" t="s">
        <v>88</v>
      </c>
      <c r="J574" s="23">
        <v>183600</v>
      </c>
      <c r="K574" s="19" t="s">
        <v>88</v>
      </c>
      <c r="L574" s="24">
        <v>0.125</v>
      </c>
      <c r="M574" s="24">
        <v>0.05</v>
      </c>
      <c r="N574" s="18"/>
      <c r="O574" s="22" t="s">
        <v>88</v>
      </c>
      <c r="P574" s="18">
        <f t="shared" si="136"/>
        <v>0</v>
      </c>
      <c r="Q574" s="22" t="s">
        <v>88</v>
      </c>
      <c r="R574" s="23">
        <f t="shared" si="137"/>
        <v>0</v>
      </c>
      <c r="S574" s="23">
        <f t="shared" si="121"/>
        <v>0</v>
      </c>
    </row>
    <row r="575" spans="1:19" s="26" customFormat="1">
      <c r="A575" s="138" t="s">
        <v>747</v>
      </c>
      <c r="B575" s="26" t="s">
        <v>26</v>
      </c>
      <c r="C575" s="27">
        <v>3</v>
      </c>
      <c r="D575" s="28" t="s">
        <v>88</v>
      </c>
      <c r="E575" s="29"/>
      <c r="F575" s="30">
        <v>1</v>
      </c>
      <c r="G575" s="31" t="s">
        <v>21</v>
      </c>
      <c r="H575" s="30">
        <v>18</v>
      </c>
      <c r="I575" s="31" t="s">
        <v>88</v>
      </c>
      <c r="J575" s="32">
        <f>3240000/18</f>
        <v>180000</v>
      </c>
      <c r="K575" s="28" t="s">
        <v>88</v>
      </c>
      <c r="L575" s="33"/>
      <c r="M575" s="33">
        <v>0.17</v>
      </c>
      <c r="N575" s="27"/>
      <c r="O575" s="31" t="s">
        <v>88</v>
      </c>
      <c r="P575" s="27">
        <f t="shared" si="136"/>
        <v>3</v>
      </c>
      <c r="Q575" s="31" t="s">
        <v>88</v>
      </c>
      <c r="R575" s="32">
        <f t="shared" si="137"/>
        <v>448200</v>
      </c>
      <c r="S575" s="32">
        <f t="shared" si="121"/>
        <v>403783.78378378373</v>
      </c>
    </row>
    <row r="576" spans="1:19" s="17" customFormat="1">
      <c r="A576" s="16" t="s">
        <v>748</v>
      </c>
      <c r="B576" s="17" t="s">
        <v>26</v>
      </c>
      <c r="C576" s="18"/>
      <c r="D576" s="19" t="s">
        <v>43</v>
      </c>
      <c r="E576" s="20"/>
      <c r="F576" s="21">
        <v>12</v>
      </c>
      <c r="G576" s="22" t="s">
        <v>88</v>
      </c>
      <c r="H576" s="21">
        <v>12</v>
      </c>
      <c r="I576" s="22" t="s">
        <v>43</v>
      </c>
      <c r="J576" s="23">
        <v>14400</v>
      </c>
      <c r="K576" s="19" t="s">
        <v>43</v>
      </c>
      <c r="L576" s="24"/>
      <c r="M576" s="24">
        <v>0.17</v>
      </c>
      <c r="N576" s="18"/>
      <c r="O576" s="22" t="s">
        <v>43</v>
      </c>
      <c r="P576" s="18">
        <f t="shared" si="136"/>
        <v>0</v>
      </c>
      <c r="Q576" s="22" t="s">
        <v>43</v>
      </c>
      <c r="R576" s="23">
        <f t="shared" si="137"/>
        <v>0</v>
      </c>
      <c r="S576" s="23">
        <f t="shared" si="121"/>
        <v>0</v>
      </c>
    </row>
    <row r="577" spans="1:19" s="17" customFormat="1">
      <c r="A577" s="16" t="s">
        <v>749</v>
      </c>
      <c r="B577" s="17" t="s">
        <v>26</v>
      </c>
      <c r="C577" s="18"/>
      <c r="D577" s="19" t="s">
        <v>43</v>
      </c>
      <c r="E577" s="20"/>
      <c r="F577" s="21">
        <v>12</v>
      </c>
      <c r="G577" s="22" t="s">
        <v>88</v>
      </c>
      <c r="H577" s="21">
        <v>12</v>
      </c>
      <c r="I577" s="22" t="s">
        <v>43</v>
      </c>
      <c r="J577" s="23">
        <v>16800</v>
      </c>
      <c r="K577" s="19" t="s">
        <v>43</v>
      </c>
      <c r="L577" s="24"/>
      <c r="M577" s="24">
        <v>0.17</v>
      </c>
      <c r="N577" s="18"/>
      <c r="O577" s="22" t="s">
        <v>43</v>
      </c>
      <c r="P577" s="18">
        <f t="shared" si="136"/>
        <v>0</v>
      </c>
      <c r="Q577" s="22" t="s">
        <v>43</v>
      </c>
      <c r="R577" s="23">
        <f t="shared" si="137"/>
        <v>0</v>
      </c>
      <c r="S577" s="23">
        <f t="shared" si="121"/>
        <v>0</v>
      </c>
    </row>
    <row r="578" spans="1:19">
      <c r="A578" s="15" t="s">
        <v>522</v>
      </c>
      <c r="S578" s="23"/>
    </row>
    <row r="579" spans="1:19" s="45" customFormat="1">
      <c r="A579" s="44" t="s">
        <v>523</v>
      </c>
      <c r="B579" s="45" t="s">
        <v>19</v>
      </c>
      <c r="C579" s="46">
        <v>432</v>
      </c>
      <c r="D579" s="47" t="s">
        <v>162</v>
      </c>
      <c r="E579" s="48">
        <f>1+1</f>
        <v>2</v>
      </c>
      <c r="F579" s="49">
        <v>12</v>
      </c>
      <c r="G579" s="50" t="s">
        <v>34</v>
      </c>
      <c r="H579" s="49">
        <v>24</v>
      </c>
      <c r="I579" s="50" t="s">
        <v>162</v>
      </c>
      <c r="J579" s="51">
        <v>6700</v>
      </c>
      <c r="K579" s="47" t="s">
        <v>162</v>
      </c>
      <c r="L579" s="52">
        <v>0.125</v>
      </c>
      <c r="M579" s="52">
        <v>0.05</v>
      </c>
      <c r="N579" s="46">
        <f>(15*12)+(24*12)+288+(2*12)</f>
        <v>780</v>
      </c>
      <c r="O579" s="50" t="s">
        <v>162</v>
      </c>
      <c r="P579" s="46">
        <f t="shared" ref="P579:P605" si="138">(C579+(E579*F579*H579))-N579</f>
        <v>228</v>
      </c>
      <c r="Q579" s="50" t="s">
        <v>162</v>
      </c>
      <c r="R579" s="51">
        <f t="shared" ref="R579:R605" si="139">P579*(J579-(J579*L579)-((J579-(J579*L579))*M579))</f>
        <v>1269817.5</v>
      </c>
      <c r="S579" s="51">
        <f t="shared" si="121"/>
        <v>1143979.7297297297</v>
      </c>
    </row>
    <row r="580" spans="1:19" s="45" customFormat="1">
      <c r="A580" s="44" t="s">
        <v>524</v>
      </c>
      <c r="B580" s="45" t="s">
        <v>19</v>
      </c>
      <c r="C580" s="46"/>
      <c r="D580" s="47" t="s">
        <v>162</v>
      </c>
      <c r="E580" s="48">
        <v>1</v>
      </c>
      <c r="F580" s="49">
        <v>12</v>
      </c>
      <c r="G580" s="50" t="s">
        <v>34</v>
      </c>
      <c r="H580" s="49">
        <v>12</v>
      </c>
      <c r="I580" s="50" t="s">
        <v>162</v>
      </c>
      <c r="J580" s="51">
        <v>13800</v>
      </c>
      <c r="K580" s="47" t="s">
        <v>162</v>
      </c>
      <c r="L580" s="52">
        <v>0.125</v>
      </c>
      <c r="M580" s="52">
        <v>0.05</v>
      </c>
      <c r="N580" s="46"/>
      <c r="O580" s="50" t="s">
        <v>162</v>
      </c>
      <c r="P580" s="46">
        <f t="shared" si="138"/>
        <v>144</v>
      </c>
      <c r="Q580" s="50" t="s">
        <v>162</v>
      </c>
      <c r="R580" s="51">
        <f t="shared" si="139"/>
        <v>1651860</v>
      </c>
      <c r="S580" s="32">
        <f t="shared" si="121"/>
        <v>1488162.1621621621</v>
      </c>
    </row>
    <row r="581" spans="1:19" s="45" customFormat="1">
      <c r="A581" s="44" t="s">
        <v>525</v>
      </c>
      <c r="B581" s="45" t="s">
        <v>19</v>
      </c>
      <c r="C581" s="46">
        <v>1128</v>
      </c>
      <c r="D581" s="47" t="s">
        <v>162</v>
      </c>
      <c r="E581" s="48"/>
      <c r="F581" s="49">
        <v>12</v>
      </c>
      <c r="G581" s="50" t="s">
        <v>34</v>
      </c>
      <c r="H581" s="49">
        <v>12</v>
      </c>
      <c r="I581" s="50" t="s">
        <v>162</v>
      </c>
      <c r="J581" s="51">
        <v>10600</v>
      </c>
      <c r="K581" s="47" t="s">
        <v>162</v>
      </c>
      <c r="L581" s="52">
        <v>0.125</v>
      </c>
      <c r="M581" s="52">
        <v>0.05</v>
      </c>
      <c r="N581" s="46">
        <f>432+288</f>
        <v>720</v>
      </c>
      <c r="O581" s="50" t="s">
        <v>162</v>
      </c>
      <c r="P581" s="46">
        <f t="shared" si="138"/>
        <v>408</v>
      </c>
      <c r="Q581" s="50" t="s">
        <v>162</v>
      </c>
      <c r="R581" s="51">
        <f t="shared" si="139"/>
        <v>3594990</v>
      </c>
      <c r="S581" s="51">
        <f t="shared" si="121"/>
        <v>3238729.7297297292</v>
      </c>
    </row>
    <row r="582" spans="1:19" s="63" customFormat="1">
      <c r="A582" s="72" t="s">
        <v>526</v>
      </c>
      <c r="B582" s="63" t="s">
        <v>19</v>
      </c>
      <c r="C582" s="64"/>
      <c r="D582" s="65" t="s">
        <v>162</v>
      </c>
      <c r="E582" s="66"/>
      <c r="F582" s="67">
        <v>12</v>
      </c>
      <c r="G582" s="68" t="s">
        <v>34</v>
      </c>
      <c r="H582" s="67">
        <v>6</v>
      </c>
      <c r="I582" s="68" t="s">
        <v>162</v>
      </c>
      <c r="J582" s="69">
        <v>21200</v>
      </c>
      <c r="K582" s="65" t="s">
        <v>162</v>
      </c>
      <c r="L582" s="70">
        <v>0.125</v>
      </c>
      <c r="M582" s="70">
        <v>0.05</v>
      </c>
      <c r="N582" s="64"/>
      <c r="O582" s="68" t="s">
        <v>162</v>
      </c>
      <c r="P582" s="64">
        <f t="shared" si="138"/>
        <v>0</v>
      </c>
      <c r="Q582" s="68" t="s">
        <v>162</v>
      </c>
      <c r="R582" s="69">
        <f t="shared" si="139"/>
        <v>0</v>
      </c>
      <c r="S582" s="23">
        <f t="shared" si="121"/>
        <v>0</v>
      </c>
    </row>
    <row r="583" spans="1:19" s="63" customFormat="1">
      <c r="A583" s="72" t="s">
        <v>527</v>
      </c>
      <c r="B583" s="63" t="s">
        <v>19</v>
      </c>
      <c r="C583" s="64">
        <f>12+12</f>
        <v>24</v>
      </c>
      <c r="D583" s="65" t="s">
        <v>162</v>
      </c>
      <c r="E583" s="66"/>
      <c r="F583" s="67">
        <v>8</v>
      </c>
      <c r="G583" s="68" t="s">
        <v>34</v>
      </c>
      <c r="H583" s="67">
        <v>6</v>
      </c>
      <c r="I583" s="68" t="s">
        <v>162</v>
      </c>
      <c r="J583" s="69">
        <v>34500</v>
      </c>
      <c r="K583" s="65" t="s">
        <v>162</v>
      </c>
      <c r="L583" s="70">
        <v>0.125</v>
      </c>
      <c r="M583" s="70">
        <v>0.05</v>
      </c>
      <c r="N583" s="64">
        <f>(2*12)</f>
        <v>24</v>
      </c>
      <c r="O583" s="68" t="s">
        <v>162</v>
      </c>
      <c r="P583" s="64">
        <f t="shared" si="138"/>
        <v>0</v>
      </c>
      <c r="Q583" s="68" t="s">
        <v>162</v>
      </c>
      <c r="R583" s="69">
        <f t="shared" si="139"/>
        <v>0</v>
      </c>
      <c r="S583" s="23">
        <f t="shared" si="121"/>
        <v>0</v>
      </c>
    </row>
    <row r="584" spans="1:19" s="17" customFormat="1">
      <c r="A584" s="95" t="s">
        <v>528</v>
      </c>
      <c r="B584" s="96" t="s">
        <v>19</v>
      </c>
      <c r="C584" s="97">
        <v>288</v>
      </c>
      <c r="D584" s="98" t="s">
        <v>162</v>
      </c>
      <c r="E584" s="105"/>
      <c r="F584" s="100">
        <v>12</v>
      </c>
      <c r="G584" s="101" t="s">
        <v>34</v>
      </c>
      <c r="H584" s="100">
        <v>12</v>
      </c>
      <c r="I584" s="101" t="s">
        <v>162</v>
      </c>
      <c r="J584" s="102">
        <v>9500</v>
      </c>
      <c r="K584" s="98" t="s">
        <v>162</v>
      </c>
      <c r="L584" s="103">
        <v>0.125</v>
      </c>
      <c r="M584" s="103">
        <v>0.05</v>
      </c>
      <c r="N584" s="97">
        <f>144+(12*12)</f>
        <v>288</v>
      </c>
      <c r="O584" s="101" t="s">
        <v>162</v>
      </c>
      <c r="P584" s="97">
        <f t="shared" si="138"/>
        <v>0</v>
      </c>
      <c r="Q584" s="101" t="s">
        <v>162</v>
      </c>
      <c r="R584" s="102">
        <f t="shared" si="139"/>
        <v>0</v>
      </c>
      <c r="S584" s="102">
        <f t="shared" si="121"/>
        <v>0</v>
      </c>
    </row>
    <row r="585" spans="1:19" s="26" customFormat="1">
      <c r="A585" s="35" t="s">
        <v>528</v>
      </c>
      <c r="B585" s="36" t="s">
        <v>19</v>
      </c>
      <c r="C585" s="37"/>
      <c r="D585" s="38" t="s">
        <v>162</v>
      </c>
      <c r="E585" s="39">
        <f>5+15</f>
        <v>20</v>
      </c>
      <c r="F585" s="40">
        <v>12</v>
      </c>
      <c r="G585" s="41" t="s">
        <v>34</v>
      </c>
      <c r="H585" s="40">
        <v>12</v>
      </c>
      <c r="I585" s="41" t="s">
        <v>162</v>
      </c>
      <c r="J585" s="42">
        <v>9600</v>
      </c>
      <c r="K585" s="38" t="s">
        <v>162</v>
      </c>
      <c r="L585" s="43">
        <v>0.125</v>
      </c>
      <c r="M585" s="43">
        <v>0.05</v>
      </c>
      <c r="N585" s="37">
        <f>(12*12)+(24*12)+720+720+144+(24*12)+144+(5*12)+(3*12)</f>
        <v>2544</v>
      </c>
      <c r="O585" s="41" t="s">
        <v>162</v>
      </c>
      <c r="P585" s="37">
        <f t="shared" ref="P585" si="140">(C585+(E585*F585*H585))-N585</f>
        <v>336</v>
      </c>
      <c r="Q585" s="41" t="s">
        <v>162</v>
      </c>
      <c r="R585" s="42">
        <f t="shared" ref="R585" si="141">P585*(J585-(J585*L585)-((J585-(J585*L585))*M585))</f>
        <v>2681280</v>
      </c>
      <c r="S585" s="42">
        <f t="shared" ref="S585" si="142">R585/1.11</f>
        <v>2415567.5675675673</v>
      </c>
    </row>
    <row r="586" spans="1:19" s="26" customFormat="1">
      <c r="A586" s="25" t="s">
        <v>529</v>
      </c>
      <c r="B586" s="26" t="s">
        <v>19</v>
      </c>
      <c r="C586" s="27"/>
      <c r="D586" s="28" t="s">
        <v>162</v>
      </c>
      <c r="E586" s="29">
        <f>3+2</f>
        <v>5</v>
      </c>
      <c r="F586" s="30">
        <v>12</v>
      </c>
      <c r="G586" s="31" t="s">
        <v>34</v>
      </c>
      <c r="H586" s="30">
        <v>6</v>
      </c>
      <c r="I586" s="31" t="s">
        <v>162</v>
      </c>
      <c r="J586" s="32">
        <v>19200</v>
      </c>
      <c r="K586" s="28" t="s">
        <v>162</v>
      </c>
      <c r="L586" s="33">
        <v>0.125</v>
      </c>
      <c r="M586" s="33">
        <v>0.05</v>
      </c>
      <c r="N586" s="27">
        <f>216+72</f>
        <v>288</v>
      </c>
      <c r="O586" s="31" t="s">
        <v>162</v>
      </c>
      <c r="P586" s="27">
        <f t="shared" si="138"/>
        <v>72</v>
      </c>
      <c r="Q586" s="31" t="s">
        <v>162</v>
      </c>
      <c r="R586" s="32">
        <f t="shared" si="139"/>
        <v>1149120</v>
      </c>
      <c r="S586" s="32">
        <f t="shared" ref="S586:S652" si="143">R586/1.11</f>
        <v>1035243.2432432432</v>
      </c>
    </row>
    <row r="587" spans="1:19" s="17" customFormat="1">
      <c r="A587" s="16" t="s">
        <v>530</v>
      </c>
      <c r="B587" s="17" t="s">
        <v>19</v>
      </c>
      <c r="C587" s="18">
        <v>6</v>
      </c>
      <c r="D587" s="19" t="s">
        <v>162</v>
      </c>
      <c r="E587" s="20"/>
      <c r="F587" s="21">
        <v>12</v>
      </c>
      <c r="G587" s="22" t="s">
        <v>34</v>
      </c>
      <c r="H587" s="21">
        <v>24</v>
      </c>
      <c r="I587" s="22" t="s">
        <v>162</v>
      </c>
      <c r="J587" s="23">
        <v>5600</v>
      </c>
      <c r="K587" s="19" t="s">
        <v>162</v>
      </c>
      <c r="L587" s="24">
        <v>0.125</v>
      </c>
      <c r="M587" s="24">
        <v>0.05</v>
      </c>
      <c r="N587" s="18">
        <v>6</v>
      </c>
      <c r="O587" s="22" t="s">
        <v>162</v>
      </c>
      <c r="P587" s="18">
        <f t="shared" si="138"/>
        <v>0</v>
      </c>
      <c r="Q587" s="22" t="s">
        <v>162</v>
      </c>
      <c r="R587" s="23">
        <f t="shared" si="139"/>
        <v>0</v>
      </c>
      <c r="S587" s="23">
        <f t="shared" si="143"/>
        <v>0</v>
      </c>
    </row>
    <row r="588" spans="1:19" s="63" customFormat="1">
      <c r="A588" s="72" t="s">
        <v>531</v>
      </c>
      <c r="B588" s="63" t="s">
        <v>19</v>
      </c>
      <c r="C588" s="64"/>
      <c r="D588" s="65" t="s">
        <v>162</v>
      </c>
      <c r="E588" s="66">
        <f>3+4+1</f>
        <v>8</v>
      </c>
      <c r="F588" s="67">
        <v>12</v>
      </c>
      <c r="G588" s="68" t="s">
        <v>34</v>
      </c>
      <c r="H588" s="67">
        <v>12</v>
      </c>
      <c r="I588" s="68" t="s">
        <v>162</v>
      </c>
      <c r="J588" s="69">
        <v>8400</v>
      </c>
      <c r="K588" s="65" t="s">
        <v>162</v>
      </c>
      <c r="L588" s="70">
        <v>0.125</v>
      </c>
      <c r="M588" s="70">
        <v>0.05</v>
      </c>
      <c r="N588" s="64">
        <f>432+144+(48*12)</f>
        <v>1152</v>
      </c>
      <c r="O588" s="68" t="s">
        <v>162</v>
      </c>
      <c r="P588" s="64">
        <f t="shared" si="138"/>
        <v>0</v>
      </c>
      <c r="Q588" s="68" t="s">
        <v>162</v>
      </c>
      <c r="R588" s="69">
        <f t="shared" si="139"/>
        <v>0</v>
      </c>
      <c r="S588" s="23">
        <f t="shared" si="143"/>
        <v>0</v>
      </c>
    </row>
    <row r="589" spans="1:19" s="63" customFormat="1">
      <c r="A589" s="72" t="s">
        <v>532</v>
      </c>
      <c r="B589" s="63" t="s">
        <v>19</v>
      </c>
      <c r="C589" s="64"/>
      <c r="D589" s="65" t="s">
        <v>162</v>
      </c>
      <c r="E589" s="66">
        <v>1</v>
      </c>
      <c r="F589" s="67">
        <v>12</v>
      </c>
      <c r="G589" s="68" t="s">
        <v>34</v>
      </c>
      <c r="H589" s="67">
        <v>6</v>
      </c>
      <c r="I589" s="68" t="s">
        <v>162</v>
      </c>
      <c r="J589" s="69">
        <v>16800</v>
      </c>
      <c r="K589" s="65" t="s">
        <v>162</v>
      </c>
      <c r="L589" s="70">
        <v>0.125</v>
      </c>
      <c r="M589" s="70">
        <v>0.05</v>
      </c>
      <c r="N589" s="64">
        <v>72</v>
      </c>
      <c r="O589" s="68" t="s">
        <v>162</v>
      </c>
      <c r="P589" s="64">
        <f t="shared" si="138"/>
        <v>0</v>
      </c>
      <c r="Q589" s="68" t="s">
        <v>162</v>
      </c>
      <c r="R589" s="69">
        <f t="shared" si="139"/>
        <v>0</v>
      </c>
      <c r="S589" s="23">
        <f t="shared" si="143"/>
        <v>0</v>
      </c>
    </row>
    <row r="590" spans="1:19" s="45" customFormat="1">
      <c r="A590" s="44" t="s">
        <v>533</v>
      </c>
      <c r="B590" s="45" t="s">
        <v>19</v>
      </c>
      <c r="C590" s="46">
        <v>144</v>
      </c>
      <c r="D590" s="47" t="s">
        <v>162</v>
      </c>
      <c r="E590" s="48"/>
      <c r="F590" s="49">
        <v>12</v>
      </c>
      <c r="G590" s="50" t="s">
        <v>34</v>
      </c>
      <c r="H590" s="49">
        <v>12</v>
      </c>
      <c r="I590" s="50" t="s">
        <v>162</v>
      </c>
      <c r="J590" s="51">
        <v>11000</v>
      </c>
      <c r="K590" s="47" t="s">
        <v>162</v>
      </c>
      <c r="L590" s="52">
        <v>0.125</v>
      </c>
      <c r="M590" s="52">
        <v>0.05</v>
      </c>
      <c r="N590" s="46"/>
      <c r="O590" s="50" t="s">
        <v>162</v>
      </c>
      <c r="P590" s="46">
        <f t="shared" si="138"/>
        <v>144</v>
      </c>
      <c r="Q590" s="50" t="s">
        <v>162</v>
      </c>
      <c r="R590" s="51">
        <f t="shared" si="139"/>
        <v>1316700</v>
      </c>
      <c r="S590" s="32">
        <f t="shared" si="143"/>
        <v>1186216.2162162161</v>
      </c>
    </row>
    <row r="591" spans="1:19" s="63" customFormat="1">
      <c r="A591" s="72" t="s">
        <v>534</v>
      </c>
      <c r="B591" s="63" t="s">
        <v>19</v>
      </c>
      <c r="C591" s="64"/>
      <c r="D591" s="65" t="s">
        <v>162</v>
      </c>
      <c r="E591" s="66">
        <v>2</v>
      </c>
      <c r="F591" s="67">
        <v>12</v>
      </c>
      <c r="G591" s="68" t="s">
        <v>34</v>
      </c>
      <c r="H591" s="67">
        <v>24</v>
      </c>
      <c r="I591" s="68" t="s">
        <v>162</v>
      </c>
      <c r="J591" s="69">
        <v>5400</v>
      </c>
      <c r="K591" s="65" t="s">
        <v>162</v>
      </c>
      <c r="L591" s="70">
        <v>0.125</v>
      </c>
      <c r="M591" s="70">
        <v>0.05</v>
      </c>
      <c r="N591" s="64">
        <v>576</v>
      </c>
      <c r="O591" s="68" t="s">
        <v>162</v>
      </c>
      <c r="P591" s="64">
        <f t="shared" si="138"/>
        <v>0</v>
      </c>
      <c r="Q591" s="68" t="s">
        <v>162</v>
      </c>
      <c r="R591" s="69">
        <f t="shared" si="139"/>
        <v>0</v>
      </c>
      <c r="S591" s="23">
        <f t="shared" si="143"/>
        <v>0</v>
      </c>
    </row>
    <row r="592" spans="1:19" s="45" customFormat="1">
      <c r="A592" s="44" t="s">
        <v>535</v>
      </c>
      <c r="B592" s="45" t="s">
        <v>19</v>
      </c>
      <c r="C592" s="46"/>
      <c r="D592" s="47" t="s">
        <v>162</v>
      </c>
      <c r="E592" s="48">
        <f>1+1</f>
        <v>2</v>
      </c>
      <c r="F592" s="49">
        <v>12</v>
      </c>
      <c r="G592" s="50" t="s">
        <v>34</v>
      </c>
      <c r="H592" s="49">
        <v>12</v>
      </c>
      <c r="I592" s="50" t="s">
        <v>162</v>
      </c>
      <c r="J592" s="51">
        <v>16900</v>
      </c>
      <c r="K592" s="47" t="s">
        <v>162</v>
      </c>
      <c r="L592" s="52">
        <v>0.125</v>
      </c>
      <c r="M592" s="52">
        <v>0.05</v>
      </c>
      <c r="N592" s="46">
        <v>144</v>
      </c>
      <c r="O592" s="50" t="s">
        <v>162</v>
      </c>
      <c r="P592" s="46">
        <f t="shared" si="138"/>
        <v>144</v>
      </c>
      <c r="Q592" s="50" t="s">
        <v>162</v>
      </c>
      <c r="R592" s="51">
        <f t="shared" si="139"/>
        <v>2022930</v>
      </c>
      <c r="S592" s="32">
        <f t="shared" si="143"/>
        <v>1822459.4594594594</v>
      </c>
    </row>
    <row r="593" spans="1:19" s="45" customFormat="1">
      <c r="A593" s="44" t="s">
        <v>536</v>
      </c>
      <c r="B593" s="45" t="s">
        <v>19</v>
      </c>
      <c r="C593" s="46"/>
      <c r="D593" s="47" t="s">
        <v>162</v>
      </c>
      <c r="E593" s="48">
        <f>1+1</f>
        <v>2</v>
      </c>
      <c r="F593" s="49">
        <v>12</v>
      </c>
      <c r="G593" s="50" t="s">
        <v>34</v>
      </c>
      <c r="H593" s="49">
        <v>6</v>
      </c>
      <c r="I593" s="50" t="s">
        <v>162</v>
      </c>
      <c r="J593" s="51">
        <v>33800</v>
      </c>
      <c r="K593" s="47" t="s">
        <v>162</v>
      </c>
      <c r="L593" s="52">
        <v>0.125</v>
      </c>
      <c r="M593" s="52">
        <v>0.05</v>
      </c>
      <c r="N593" s="46">
        <v>72</v>
      </c>
      <c r="O593" s="50" t="s">
        <v>162</v>
      </c>
      <c r="P593" s="46">
        <f t="shared" si="138"/>
        <v>72</v>
      </c>
      <c r="Q593" s="50" t="s">
        <v>162</v>
      </c>
      <c r="R593" s="51">
        <f t="shared" si="139"/>
        <v>2022930</v>
      </c>
      <c r="S593" s="32">
        <f t="shared" si="143"/>
        <v>1822459.4594594594</v>
      </c>
    </row>
    <row r="594" spans="1:19" s="45" customFormat="1">
      <c r="A594" s="44" t="s">
        <v>537</v>
      </c>
      <c r="B594" s="45" t="s">
        <v>26</v>
      </c>
      <c r="C594" s="46">
        <v>48</v>
      </c>
      <c r="D594" s="47" t="s">
        <v>43</v>
      </c>
      <c r="E594" s="48"/>
      <c r="F594" s="49">
        <v>24</v>
      </c>
      <c r="G594" s="50" t="s">
        <v>34</v>
      </c>
      <c r="H594" s="49">
        <v>2</v>
      </c>
      <c r="I594" s="50" t="s">
        <v>43</v>
      </c>
      <c r="J594" s="51">
        <f>3801600/24/2</f>
        <v>79200</v>
      </c>
      <c r="K594" s="47" t="s">
        <v>43</v>
      </c>
      <c r="L594" s="52"/>
      <c r="M594" s="52">
        <v>0.17</v>
      </c>
      <c r="N594" s="46"/>
      <c r="O594" s="50" t="s">
        <v>43</v>
      </c>
      <c r="P594" s="46">
        <f t="shared" si="138"/>
        <v>48</v>
      </c>
      <c r="Q594" s="50" t="s">
        <v>43</v>
      </c>
      <c r="R594" s="51">
        <f t="shared" si="139"/>
        <v>3155328</v>
      </c>
      <c r="S594" s="51">
        <f t="shared" si="143"/>
        <v>2842637.8378378376</v>
      </c>
    </row>
    <row r="595" spans="1:19" s="45" customFormat="1">
      <c r="A595" s="44" t="s">
        <v>538</v>
      </c>
      <c r="B595" s="45" t="s">
        <v>26</v>
      </c>
      <c r="C595" s="46">
        <v>85</v>
      </c>
      <c r="D595" s="47" t="s">
        <v>43</v>
      </c>
      <c r="E595" s="48">
        <v>2</v>
      </c>
      <c r="F595" s="49">
        <v>1</v>
      </c>
      <c r="G595" s="50" t="s">
        <v>21</v>
      </c>
      <c r="H595" s="49">
        <v>24</v>
      </c>
      <c r="I595" s="50" t="s">
        <v>43</v>
      </c>
      <c r="J595" s="51">
        <f>2980800/24</f>
        <v>124200</v>
      </c>
      <c r="K595" s="47" t="s">
        <v>43</v>
      </c>
      <c r="L595" s="52"/>
      <c r="M595" s="52">
        <v>0.17</v>
      </c>
      <c r="N595" s="46">
        <f>(576/12)</f>
        <v>48</v>
      </c>
      <c r="O595" s="50" t="s">
        <v>43</v>
      </c>
      <c r="P595" s="46">
        <f t="shared" si="138"/>
        <v>85</v>
      </c>
      <c r="Q595" s="50" t="s">
        <v>43</v>
      </c>
      <c r="R595" s="51">
        <f t="shared" si="139"/>
        <v>8762310</v>
      </c>
      <c r="S595" s="51">
        <f t="shared" si="143"/>
        <v>7893972.9729729723</v>
      </c>
    </row>
    <row r="596" spans="1:19" s="17" customFormat="1">
      <c r="A596" s="16" t="s">
        <v>539</v>
      </c>
      <c r="B596" s="17" t="s">
        <v>26</v>
      </c>
      <c r="C596" s="18">
        <v>2</v>
      </c>
      <c r="D596" s="19" t="s">
        <v>43</v>
      </c>
      <c r="E596" s="20"/>
      <c r="F596" s="21">
        <v>1</v>
      </c>
      <c r="G596" s="22" t="s">
        <v>21</v>
      </c>
      <c r="H596" s="21">
        <v>12</v>
      </c>
      <c r="I596" s="22" t="s">
        <v>43</v>
      </c>
      <c r="J596" s="23">
        <f>2980800/12</f>
        <v>248400</v>
      </c>
      <c r="K596" s="19" t="s">
        <v>43</v>
      </c>
      <c r="L596" s="24"/>
      <c r="M596" s="24">
        <v>0.17</v>
      </c>
      <c r="N596" s="18">
        <f>1+1</f>
        <v>2</v>
      </c>
      <c r="O596" s="22" t="s">
        <v>43</v>
      </c>
      <c r="P596" s="18">
        <f t="shared" si="138"/>
        <v>0</v>
      </c>
      <c r="Q596" s="22" t="s">
        <v>43</v>
      </c>
      <c r="R596" s="23">
        <f t="shared" si="139"/>
        <v>0</v>
      </c>
      <c r="S596" s="23">
        <f t="shared" si="143"/>
        <v>0</v>
      </c>
    </row>
    <row r="597" spans="1:19" s="26" customFormat="1">
      <c r="A597" s="25" t="s">
        <v>754</v>
      </c>
      <c r="B597" s="26" t="s">
        <v>26</v>
      </c>
      <c r="C597" s="27">
        <v>160</v>
      </c>
      <c r="D597" s="28" t="s">
        <v>162</v>
      </c>
      <c r="E597" s="29">
        <v>1</v>
      </c>
      <c r="F597" s="30">
        <v>20</v>
      </c>
      <c r="G597" s="31" t="s">
        <v>34</v>
      </c>
      <c r="H597" s="30">
        <v>4</v>
      </c>
      <c r="I597" s="31" t="s">
        <v>162</v>
      </c>
      <c r="J597" s="32">
        <f>2640000/20/4</f>
        <v>33000</v>
      </c>
      <c r="K597" s="28" t="s">
        <v>162</v>
      </c>
      <c r="L597" s="33"/>
      <c r="M597" s="33">
        <v>0.17</v>
      </c>
      <c r="N597" s="27">
        <f>(2*12)+(1*12)+(2*12)+(2*12)+(3*12)+12+24</f>
        <v>156</v>
      </c>
      <c r="O597" s="31" t="s">
        <v>162</v>
      </c>
      <c r="P597" s="27">
        <f>(C597+(E597*F597*H597))-N597</f>
        <v>84</v>
      </c>
      <c r="Q597" s="31" t="s">
        <v>162</v>
      </c>
      <c r="R597" s="32">
        <f>P597*(J597-(J597*L597)-((J597-(J597*L597))*M597))</f>
        <v>2300760</v>
      </c>
      <c r="S597" s="32">
        <f>R597/1.11</f>
        <v>2072756.7567567567</v>
      </c>
    </row>
    <row r="598" spans="1:19" s="26" customFormat="1">
      <c r="A598" s="25" t="s">
        <v>540</v>
      </c>
      <c r="B598" s="26" t="s">
        <v>26</v>
      </c>
      <c r="C598" s="27">
        <v>88</v>
      </c>
      <c r="D598" s="28" t="s">
        <v>43</v>
      </c>
      <c r="E598" s="29"/>
      <c r="F598" s="30">
        <v>1</v>
      </c>
      <c r="G598" s="31" t="s">
        <v>21</v>
      </c>
      <c r="H598" s="30">
        <v>24</v>
      </c>
      <c r="I598" s="31" t="s">
        <v>43</v>
      </c>
      <c r="J598" s="32">
        <f>2448000/24</f>
        <v>102000</v>
      </c>
      <c r="K598" s="28" t="s">
        <v>43</v>
      </c>
      <c r="L598" s="33"/>
      <c r="M598" s="33">
        <v>0.17</v>
      </c>
      <c r="N598" s="27">
        <v>3</v>
      </c>
      <c r="O598" s="31" t="s">
        <v>43</v>
      </c>
      <c r="P598" s="27">
        <f t="shared" si="138"/>
        <v>85</v>
      </c>
      <c r="Q598" s="31" t="s">
        <v>43</v>
      </c>
      <c r="R598" s="32">
        <f t="shared" si="139"/>
        <v>7196100</v>
      </c>
      <c r="S598" s="32">
        <f t="shared" si="143"/>
        <v>6482972.9729729723</v>
      </c>
    </row>
    <row r="599" spans="1:19" s="17" customFormat="1">
      <c r="A599" s="16" t="s">
        <v>541</v>
      </c>
      <c r="B599" s="17" t="s">
        <v>26</v>
      </c>
      <c r="C599" s="18"/>
      <c r="D599" s="19" t="s">
        <v>43</v>
      </c>
      <c r="E599" s="20"/>
      <c r="F599" s="21">
        <v>1</v>
      </c>
      <c r="G599" s="22" t="s">
        <v>21</v>
      </c>
      <c r="H599" s="21">
        <v>16</v>
      </c>
      <c r="I599" s="22" t="s">
        <v>43</v>
      </c>
      <c r="J599" s="23">
        <f>1824000/16</f>
        <v>114000</v>
      </c>
      <c r="K599" s="19" t="s">
        <v>43</v>
      </c>
      <c r="L599" s="24"/>
      <c r="M599" s="24">
        <v>0.17</v>
      </c>
      <c r="N599" s="18"/>
      <c r="O599" s="22" t="s">
        <v>43</v>
      </c>
      <c r="P599" s="18">
        <f t="shared" si="138"/>
        <v>0</v>
      </c>
      <c r="Q599" s="22" t="s">
        <v>43</v>
      </c>
      <c r="R599" s="23">
        <f t="shared" si="139"/>
        <v>0</v>
      </c>
      <c r="S599" s="23">
        <f t="shared" si="143"/>
        <v>0</v>
      </c>
    </row>
    <row r="600" spans="1:19" s="26" customFormat="1">
      <c r="A600" s="25" t="s">
        <v>758</v>
      </c>
      <c r="B600" s="26" t="s">
        <v>26</v>
      </c>
      <c r="C600" s="27">
        <v>288</v>
      </c>
      <c r="D600" s="28" t="s">
        <v>162</v>
      </c>
      <c r="E600" s="29">
        <v>2</v>
      </c>
      <c r="F600" s="30">
        <v>24</v>
      </c>
      <c r="G600" s="31" t="s">
        <v>34</v>
      </c>
      <c r="H600" s="30">
        <v>6</v>
      </c>
      <c r="I600" s="31" t="s">
        <v>162</v>
      </c>
      <c r="J600" s="32">
        <f>2448000/24/6</f>
        <v>17000</v>
      </c>
      <c r="K600" s="28" t="s">
        <v>162</v>
      </c>
      <c r="L600" s="33"/>
      <c r="M600" s="33">
        <v>0.17</v>
      </c>
      <c r="N600" s="27">
        <f>(4*12)+(4*12)+(3*12)+(2*12)+(2*12)+(2*12)+(3*12)+(2*12)+12+144+(8*12)</f>
        <v>516</v>
      </c>
      <c r="O600" s="31" t="s">
        <v>162</v>
      </c>
      <c r="P600" s="27">
        <f t="shared" si="138"/>
        <v>60</v>
      </c>
      <c r="Q600" s="31" t="s">
        <v>162</v>
      </c>
      <c r="R600" s="32">
        <f t="shared" si="139"/>
        <v>846600</v>
      </c>
      <c r="S600" s="32">
        <f t="shared" si="143"/>
        <v>762702.70270270261</v>
      </c>
    </row>
    <row r="601" spans="1:19" s="17" customFormat="1">
      <c r="A601" s="16" t="s">
        <v>542</v>
      </c>
      <c r="B601" s="17" t="s">
        <v>26</v>
      </c>
      <c r="C601" s="18">
        <v>84</v>
      </c>
      <c r="D601" s="19" t="s">
        <v>162</v>
      </c>
      <c r="E601" s="20"/>
      <c r="F601" s="21">
        <v>10</v>
      </c>
      <c r="G601" s="22" t="s">
        <v>43</v>
      </c>
      <c r="H601" s="21">
        <v>12</v>
      </c>
      <c r="I601" s="22" t="s">
        <v>162</v>
      </c>
      <c r="J601" s="23">
        <f>2040000/10/12</f>
        <v>17000</v>
      </c>
      <c r="K601" s="19" t="s">
        <v>162</v>
      </c>
      <c r="L601" s="24"/>
      <c r="M601" s="24">
        <v>0.17</v>
      </c>
      <c r="N601" s="18">
        <f>(2*12)+(5*12)</f>
        <v>84</v>
      </c>
      <c r="O601" s="22" t="s">
        <v>162</v>
      </c>
      <c r="P601" s="18">
        <f t="shared" si="138"/>
        <v>0</v>
      </c>
      <c r="Q601" s="22" t="s">
        <v>162</v>
      </c>
      <c r="R601" s="23">
        <f t="shared" si="139"/>
        <v>0</v>
      </c>
      <c r="S601" s="23">
        <f t="shared" si="143"/>
        <v>0</v>
      </c>
    </row>
    <row r="602" spans="1:19" s="17" customFormat="1">
      <c r="A602" s="16" t="s">
        <v>543</v>
      </c>
      <c r="B602" s="17" t="s">
        <v>26</v>
      </c>
      <c r="C602" s="18">
        <v>12</v>
      </c>
      <c r="D602" s="19" t="s">
        <v>162</v>
      </c>
      <c r="E602" s="20"/>
      <c r="F602" s="21">
        <v>10</v>
      </c>
      <c r="G602" s="22" t="s">
        <v>34</v>
      </c>
      <c r="H602" s="21">
        <v>6</v>
      </c>
      <c r="I602" s="22" t="s">
        <v>162</v>
      </c>
      <c r="J602" s="23">
        <f>2040000/10/6</f>
        <v>34000</v>
      </c>
      <c r="K602" s="19" t="s">
        <v>162</v>
      </c>
      <c r="L602" s="24"/>
      <c r="M602" s="24">
        <v>0.17</v>
      </c>
      <c r="N602" s="18">
        <v>12</v>
      </c>
      <c r="O602" s="22" t="s">
        <v>162</v>
      </c>
      <c r="P602" s="18">
        <f t="shared" si="138"/>
        <v>0</v>
      </c>
      <c r="Q602" s="22" t="s">
        <v>162</v>
      </c>
      <c r="R602" s="23">
        <f t="shared" si="139"/>
        <v>0</v>
      </c>
      <c r="S602" s="23">
        <f t="shared" si="143"/>
        <v>0</v>
      </c>
    </row>
    <row r="603" spans="1:19" s="63" customFormat="1">
      <c r="A603" s="72" t="s">
        <v>545</v>
      </c>
      <c r="B603" s="63" t="s">
        <v>26</v>
      </c>
      <c r="C603" s="64"/>
      <c r="D603" s="65" t="s">
        <v>162</v>
      </c>
      <c r="E603" s="66"/>
      <c r="F603" s="67">
        <v>24</v>
      </c>
      <c r="G603" s="68" t="s">
        <v>43</v>
      </c>
      <c r="H603" s="67">
        <v>12</v>
      </c>
      <c r="I603" s="68" t="s">
        <v>162</v>
      </c>
      <c r="J603" s="69">
        <f>3571200/24/12</f>
        <v>12400</v>
      </c>
      <c r="K603" s="65" t="s">
        <v>162</v>
      </c>
      <c r="L603" s="70"/>
      <c r="M603" s="70">
        <v>0.17</v>
      </c>
      <c r="N603" s="64"/>
      <c r="O603" s="68" t="s">
        <v>162</v>
      </c>
      <c r="P603" s="64">
        <f t="shared" si="138"/>
        <v>0</v>
      </c>
      <c r="Q603" s="68" t="s">
        <v>162</v>
      </c>
      <c r="R603" s="69">
        <f t="shared" si="139"/>
        <v>0</v>
      </c>
      <c r="S603" s="23">
        <f t="shared" si="143"/>
        <v>0</v>
      </c>
    </row>
    <row r="604" spans="1:19" s="63" customFormat="1">
      <c r="A604" s="72" t="s">
        <v>546</v>
      </c>
      <c r="B604" s="63" t="s">
        <v>26</v>
      </c>
      <c r="C604" s="64"/>
      <c r="D604" s="65" t="s">
        <v>162</v>
      </c>
      <c r="E604" s="66"/>
      <c r="F604" s="67">
        <v>16</v>
      </c>
      <c r="G604" s="68" t="s">
        <v>43</v>
      </c>
      <c r="H604" s="67">
        <v>12</v>
      </c>
      <c r="I604" s="68" t="s">
        <v>162</v>
      </c>
      <c r="J604" s="69">
        <f>3648000/16/12</f>
        <v>19000</v>
      </c>
      <c r="K604" s="65" t="s">
        <v>162</v>
      </c>
      <c r="L604" s="70"/>
      <c r="M604" s="70">
        <v>0.17</v>
      </c>
      <c r="N604" s="64"/>
      <c r="O604" s="68" t="s">
        <v>162</v>
      </c>
      <c r="P604" s="64">
        <f t="shared" si="138"/>
        <v>0</v>
      </c>
      <c r="Q604" s="68" t="s">
        <v>162</v>
      </c>
      <c r="R604" s="69">
        <f t="shared" si="139"/>
        <v>0</v>
      </c>
      <c r="S604" s="23">
        <f t="shared" si="143"/>
        <v>0</v>
      </c>
    </row>
    <row r="605" spans="1:19" s="17" customFormat="1">
      <c r="A605" s="16" t="s">
        <v>547</v>
      </c>
      <c r="B605" s="17" t="s">
        <v>26</v>
      </c>
      <c r="C605" s="18"/>
      <c r="D605" s="19" t="s">
        <v>162</v>
      </c>
      <c r="E605" s="20"/>
      <c r="F605" s="21">
        <v>24</v>
      </c>
      <c r="G605" s="22" t="s">
        <v>34</v>
      </c>
      <c r="H605" s="21">
        <v>6</v>
      </c>
      <c r="I605" s="22" t="s">
        <v>162</v>
      </c>
      <c r="J605" s="23">
        <v>22000</v>
      </c>
      <c r="K605" s="19" t="s">
        <v>162</v>
      </c>
      <c r="L605" s="24"/>
      <c r="M605" s="24">
        <v>0.17</v>
      </c>
      <c r="N605" s="18"/>
      <c r="O605" s="22" t="s">
        <v>162</v>
      </c>
      <c r="P605" s="18">
        <f t="shared" si="138"/>
        <v>0</v>
      </c>
      <c r="Q605" s="22" t="s">
        <v>162</v>
      </c>
      <c r="R605" s="23">
        <f t="shared" si="139"/>
        <v>0</v>
      </c>
      <c r="S605" s="23">
        <f t="shared" si="143"/>
        <v>0</v>
      </c>
    </row>
    <row r="606" spans="1:19">
      <c r="S606" s="23"/>
    </row>
    <row r="607" spans="1:19" ht="15.75">
      <c r="A607" s="14" t="s">
        <v>548</v>
      </c>
      <c r="S607" s="23"/>
    </row>
    <row r="608" spans="1:19" s="26" customFormat="1">
      <c r="A608" s="25" t="s">
        <v>549</v>
      </c>
      <c r="B608" s="26" t="s">
        <v>19</v>
      </c>
      <c r="C608" s="27">
        <v>372</v>
      </c>
      <c r="D608" s="28" t="s">
        <v>20</v>
      </c>
      <c r="E608" s="29"/>
      <c r="F608" s="30">
        <v>12</v>
      </c>
      <c r="G608" s="31" t="s">
        <v>34</v>
      </c>
      <c r="H608" s="30">
        <v>24</v>
      </c>
      <c r="I608" s="31" t="s">
        <v>20</v>
      </c>
      <c r="J608" s="32">
        <v>3550</v>
      </c>
      <c r="K608" s="28" t="s">
        <v>20</v>
      </c>
      <c r="L608" s="33">
        <v>0.125</v>
      </c>
      <c r="M608" s="33">
        <v>0.05</v>
      </c>
      <c r="N608" s="27">
        <f>(24*12)</f>
        <v>288</v>
      </c>
      <c r="O608" s="31" t="s">
        <v>20</v>
      </c>
      <c r="P608" s="27">
        <f t="shared" ref="P608:P609" si="144">(C608+(E608*F608*H608))-N608</f>
        <v>84</v>
      </c>
      <c r="Q608" s="31" t="s">
        <v>20</v>
      </c>
      <c r="R608" s="32">
        <f t="shared" ref="R608:R609" si="145">P608*(J608-(J608*L608)-((J608-(J608*L608))*M608))</f>
        <v>247878.75</v>
      </c>
      <c r="S608" s="32">
        <f t="shared" si="143"/>
        <v>223314.18918918917</v>
      </c>
    </row>
    <row r="609" spans="1:19" s="26" customFormat="1">
      <c r="A609" s="25" t="s">
        <v>550</v>
      </c>
      <c r="B609" s="26" t="s">
        <v>19</v>
      </c>
      <c r="C609" s="27">
        <v>276</v>
      </c>
      <c r="D609" s="28" t="s">
        <v>20</v>
      </c>
      <c r="E609" s="29"/>
      <c r="F609" s="30">
        <v>1</v>
      </c>
      <c r="G609" s="31" t="s">
        <v>21</v>
      </c>
      <c r="H609" s="30">
        <v>288</v>
      </c>
      <c r="I609" s="31" t="s">
        <v>20</v>
      </c>
      <c r="J609" s="32">
        <v>3550</v>
      </c>
      <c r="K609" s="28" t="s">
        <v>20</v>
      </c>
      <c r="L609" s="33">
        <v>0.125</v>
      </c>
      <c r="M609" s="33">
        <v>0.05</v>
      </c>
      <c r="N609" s="27"/>
      <c r="O609" s="31" t="s">
        <v>20</v>
      </c>
      <c r="P609" s="27">
        <f t="shared" si="144"/>
        <v>276</v>
      </c>
      <c r="Q609" s="31" t="s">
        <v>20</v>
      </c>
      <c r="R609" s="32">
        <f t="shared" si="145"/>
        <v>814458.75</v>
      </c>
      <c r="S609" s="32">
        <f t="shared" si="143"/>
        <v>733746.62162162154</v>
      </c>
    </row>
    <row r="610" spans="1:19" s="45" customFormat="1">
      <c r="A610" s="44" t="s">
        <v>551</v>
      </c>
      <c r="B610" s="45" t="s">
        <v>19</v>
      </c>
      <c r="C610" s="46">
        <v>792</v>
      </c>
      <c r="D610" s="47" t="s">
        <v>20</v>
      </c>
      <c r="E610" s="48">
        <f>(3+0.5+0.75+0.75)+5+5+1+1</f>
        <v>17</v>
      </c>
      <c r="F610" s="49">
        <v>1</v>
      </c>
      <c r="G610" s="50" t="s">
        <v>21</v>
      </c>
      <c r="H610" s="49">
        <v>288</v>
      </c>
      <c r="I610" s="50" t="s">
        <v>20</v>
      </c>
      <c r="J610" s="51">
        <v>4800</v>
      </c>
      <c r="K610" s="47" t="s">
        <v>20</v>
      </c>
      <c r="L610" s="52">
        <v>0.125</v>
      </c>
      <c r="M610" s="52">
        <v>0.05</v>
      </c>
      <c r="N610" s="46">
        <f>(288+288)+(24*12)+(24*12)+(24*12)+(2592+288)</f>
        <v>4320</v>
      </c>
      <c r="O610" s="50" t="s">
        <v>20</v>
      </c>
      <c r="P610" s="46">
        <f>(C610+(E610*F610*H610))-N610</f>
        <v>1368</v>
      </c>
      <c r="Q610" s="50" t="s">
        <v>20</v>
      </c>
      <c r="R610" s="51">
        <f>P610*(J610-(J610*L610)-((J610-(J610*L610))*M610))</f>
        <v>5458320</v>
      </c>
      <c r="S610" s="51">
        <f t="shared" si="143"/>
        <v>4917405.405405405</v>
      </c>
    </row>
    <row r="611" spans="1:19" s="45" customFormat="1">
      <c r="A611" s="44" t="s">
        <v>552</v>
      </c>
      <c r="B611" s="45" t="s">
        <v>26</v>
      </c>
      <c r="C611" s="46"/>
      <c r="D611" s="47" t="s">
        <v>43</v>
      </c>
      <c r="E611" s="48">
        <f>4+3</f>
        <v>7</v>
      </c>
      <c r="F611" s="49">
        <v>1</v>
      </c>
      <c r="G611" s="50" t="s">
        <v>21</v>
      </c>
      <c r="H611" s="49">
        <v>24</v>
      </c>
      <c r="I611" s="50" t="s">
        <v>43</v>
      </c>
      <c r="J611" s="51">
        <f>1440000/24</f>
        <v>60000</v>
      </c>
      <c r="K611" s="47" t="s">
        <v>43</v>
      </c>
      <c r="L611" s="52"/>
      <c r="M611" s="52">
        <v>0.17</v>
      </c>
      <c r="N611" s="46">
        <v>72</v>
      </c>
      <c r="O611" s="50" t="s">
        <v>43</v>
      </c>
      <c r="P611" s="46">
        <f>(C611+(E611*F611*H611))-N611</f>
        <v>96</v>
      </c>
      <c r="Q611" s="50" t="s">
        <v>43</v>
      </c>
      <c r="R611" s="51">
        <f>P611*(J611-(J611*L611)-((J611-(J611*L611))*M611))</f>
        <v>4780800</v>
      </c>
      <c r="S611" s="32">
        <f t="shared" si="143"/>
        <v>4307027.0270270268</v>
      </c>
    </row>
    <row r="612" spans="1:19" s="26" customFormat="1">
      <c r="A612" s="108" t="s">
        <v>553</v>
      </c>
      <c r="B612" s="26" t="s">
        <v>182</v>
      </c>
      <c r="C612" s="27">
        <v>1110</v>
      </c>
      <c r="D612" s="28" t="s">
        <v>20</v>
      </c>
      <c r="E612" s="29"/>
      <c r="F612" s="30">
        <v>1</v>
      </c>
      <c r="G612" s="31" t="s">
        <v>21</v>
      </c>
      <c r="H612" s="30">
        <v>120</v>
      </c>
      <c r="I612" s="31" t="s">
        <v>20</v>
      </c>
      <c r="J612" s="32">
        <v>11500</v>
      </c>
      <c r="K612" s="28" t="s">
        <v>20</v>
      </c>
      <c r="L612" s="33"/>
      <c r="M612" s="33"/>
      <c r="N612" s="27">
        <f>(3*12)+12</f>
        <v>48</v>
      </c>
      <c r="O612" s="31" t="s">
        <v>20</v>
      </c>
      <c r="P612" s="27">
        <f t="shared" ref="P612:P617" si="146">(C612+(E612*F612*H612))-N612</f>
        <v>1062</v>
      </c>
      <c r="Q612" s="31" t="s">
        <v>20</v>
      </c>
      <c r="R612" s="32">
        <f t="shared" ref="R612:R617" si="147">P612*(J612-(J612*L612)-((J612-(J612*L612))*M612))</f>
        <v>12213000</v>
      </c>
      <c r="S612" s="32">
        <f t="shared" si="143"/>
        <v>11002702.702702701</v>
      </c>
    </row>
    <row r="613" spans="1:19" s="26" customFormat="1">
      <c r="A613" s="108" t="s">
        <v>822</v>
      </c>
      <c r="B613" s="26" t="s">
        <v>182</v>
      </c>
      <c r="C613" s="27"/>
      <c r="D613" s="28" t="s">
        <v>20</v>
      </c>
      <c r="E613" s="29">
        <v>4</v>
      </c>
      <c r="F613" s="30">
        <v>1</v>
      </c>
      <c r="G613" s="31" t="s">
        <v>21</v>
      </c>
      <c r="H613" s="30">
        <v>100</v>
      </c>
      <c r="I613" s="31" t="s">
        <v>20</v>
      </c>
      <c r="J613" s="32">
        <v>13500</v>
      </c>
      <c r="K613" s="28" t="s">
        <v>20</v>
      </c>
      <c r="L613" s="33">
        <v>0.05</v>
      </c>
      <c r="M613" s="33"/>
      <c r="N613" s="27">
        <v>100</v>
      </c>
      <c r="O613" s="31" t="s">
        <v>20</v>
      </c>
      <c r="P613" s="27">
        <f t="shared" ref="P613" si="148">(C613+(E613*F613*H613))-N613</f>
        <v>300</v>
      </c>
      <c r="Q613" s="31" t="s">
        <v>20</v>
      </c>
      <c r="R613" s="32">
        <f t="shared" ref="R613" si="149">P613*(J613-(J613*L613)-((J613-(J613*L613))*M613))</f>
        <v>3847500</v>
      </c>
      <c r="S613" s="32">
        <f t="shared" ref="S613" si="150">R613/1.11</f>
        <v>3466216.2162162159</v>
      </c>
    </row>
    <row r="614" spans="1:19" s="26" customFormat="1">
      <c r="A614" s="108" t="s">
        <v>554</v>
      </c>
      <c r="B614" s="26" t="s">
        <v>182</v>
      </c>
      <c r="C614" s="27">
        <v>486</v>
      </c>
      <c r="D614" s="28" t="s">
        <v>20</v>
      </c>
      <c r="E614" s="29"/>
      <c r="F614" s="30">
        <v>1</v>
      </c>
      <c r="G614" s="31" t="s">
        <v>21</v>
      </c>
      <c r="H614" s="30">
        <v>96</v>
      </c>
      <c r="I614" s="31" t="s">
        <v>20</v>
      </c>
      <c r="J614" s="32">
        <v>21000</v>
      </c>
      <c r="K614" s="28" t="s">
        <v>20</v>
      </c>
      <c r="L614" s="33"/>
      <c r="M614" s="33"/>
      <c r="N614" s="27"/>
      <c r="O614" s="31" t="s">
        <v>20</v>
      </c>
      <c r="P614" s="27">
        <f t="shared" si="146"/>
        <v>486</v>
      </c>
      <c r="Q614" s="31" t="s">
        <v>20</v>
      </c>
      <c r="R614" s="32">
        <f t="shared" si="147"/>
        <v>10206000</v>
      </c>
      <c r="S614" s="32">
        <f t="shared" si="143"/>
        <v>9194594.5945945941</v>
      </c>
    </row>
    <row r="615" spans="1:19" s="17" customFormat="1">
      <c r="A615" s="109" t="s">
        <v>765</v>
      </c>
      <c r="B615" s="17" t="s">
        <v>182</v>
      </c>
      <c r="C615" s="18"/>
      <c r="D615" s="19" t="s">
        <v>20</v>
      </c>
      <c r="E615" s="20"/>
      <c r="F615" s="21">
        <v>1</v>
      </c>
      <c r="G615" s="22" t="s">
        <v>21</v>
      </c>
      <c r="H615" s="21">
        <v>144</v>
      </c>
      <c r="I615" s="22" t="s">
        <v>20</v>
      </c>
      <c r="J615" s="23">
        <v>8750</v>
      </c>
      <c r="K615" s="19" t="s">
        <v>20</v>
      </c>
      <c r="L615" s="24"/>
      <c r="M615" s="24"/>
      <c r="N615" s="18"/>
      <c r="O615" s="22" t="s">
        <v>20</v>
      </c>
      <c r="P615" s="18">
        <f t="shared" si="146"/>
        <v>0</v>
      </c>
      <c r="Q615" s="22" t="s">
        <v>20</v>
      </c>
      <c r="R615" s="23">
        <f t="shared" si="147"/>
        <v>0</v>
      </c>
      <c r="S615" s="23">
        <f t="shared" si="143"/>
        <v>0</v>
      </c>
    </row>
    <row r="616" spans="1:19" s="26" customFormat="1">
      <c r="A616" s="108" t="s">
        <v>766</v>
      </c>
      <c r="B616" s="26" t="s">
        <v>182</v>
      </c>
      <c r="C616" s="27">
        <v>24</v>
      </c>
      <c r="D616" s="28" t="s">
        <v>20</v>
      </c>
      <c r="E616" s="29"/>
      <c r="F616" s="30">
        <v>1</v>
      </c>
      <c r="G616" s="31" t="s">
        <v>21</v>
      </c>
      <c r="H616" s="30">
        <v>144</v>
      </c>
      <c r="I616" s="31" t="s">
        <v>20</v>
      </c>
      <c r="J616" s="32">
        <v>8750</v>
      </c>
      <c r="K616" s="28" t="s">
        <v>20</v>
      </c>
      <c r="L616" s="33"/>
      <c r="M616" s="33"/>
      <c r="N616" s="27"/>
      <c r="O616" s="31" t="s">
        <v>20</v>
      </c>
      <c r="P616" s="27">
        <f t="shared" si="146"/>
        <v>24</v>
      </c>
      <c r="Q616" s="31" t="s">
        <v>20</v>
      </c>
      <c r="R616" s="32">
        <f t="shared" si="147"/>
        <v>210000</v>
      </c>
      <c r="S616" s="32">
        <f t="shared" si="143"/>
        <v>189189.18918918917</v>
      </c>
    </row>
    <row r="617" spans="1:19" s="26" customFormat="1">
      <c r="A617" s="108" t="s">
        <v>767</v>
      </c>
      <c r="B617" s="26" t="s">
        <v>182</v>
      </c>
      <c r="C617" s="27">
        <v>40</v>
      </c>
      <c r="D617" s="28" t="s">
        <v>20</v>
      </c>
      <c r="E617" s="29"/>
      <c r="F617" s="30">
        <v>1</v>
      </c>
      <c r="G617" s="31" t="s">
        <v>21</v>
      </c>
      <c r="H617" s="30">
        <v>160</v>
      </c>
      <c r="I617" s="31" t="s">
        <v>20</v>
      </c>
      <c r="J617" s="32">
        <v>8750</v>
      </c>
      <c r="K617" s="28" t="s">
        <v>20</v>
      </c>
      <c r="L617" s="33"/>
      <c r="M617" s="33"/>
      <c r="N617" s="27"/>
      <c r="O617" s="31" t="s">
        <v>20</v>
      </c>
      <c r="P617" s="27">
        <f t="shared" si="146"/>
        <v>40</v>
      </c>
      <c r="Q617" s="31" t="s">
        <v>20</v>
      </c>
      <c r="R617" s="32">
        <f t="shared" si="147"/>
        <v>350000</v>
      </c>
      <c r="S617" s="32">
        <f t="shared" si="143"/>
        <v>315315.31531531527</v>
      </c>
    </row>
    <row r="618" spans="1:19" s="26" customFormat="1">
      <c r="A618" s="34" t="s">
        <v>761</v>
      </c>
      <c r="B618" s="26" t="s">
        <v>275</v>
      </c>
      <c r="C618" s="27">
        <v>2400</v>
      </c>
      <c r="D618" s="28" t="s">
        <v>20</v>
      </c>
      <c r="E618" s="244"/>
      <c r="F618" s="30">
        <v>1</v>
      </c>
      <c r="G618" s="31" t="s">
        <v>21</v>
      </c>
      <c r="H618" s="245">
        <v>480</v>
      </c>
      <c r="I618" s="31" t="s">
        <v>20</v>
      </c>
      <c r="J618" s="32">
        <v>26000</v>
      </c>
      <c r="K618" s="28" t="s">
        <v>20</v>
      </c>
      <c r="L618" s="227">
        <v>0.2</v>
      </c>
      <c r="M618" s="33"/>
      <c r="N618" s="27">
        <f>((2+2)*12)+(3*12)+(3*12)+12+12</f>
        <v>144</v>
      </c>
      <c r="O618" s="31" t="s">
        <v>20</v>
      </c>
      <c r="P618" s="27">
        <f>(C618+(E618*F618*H618))-N618</f>
        <v>2256</v>
      </c>
      <c r="Q618" s="31" t="s">
        <v>20</v>
      </c>
      <c r="R618" s="32">
        <f>P618*(J618-(J618*L618)-((J618-(J618*L618))*M618))</f>
        <v>46924800</v>
      </c>
      <c r="S618" s="32">
        <f>R618/1.11</f>
        <v>42274594.59459459</v>
      </c>
    </row>
    <row r="619" spans="1:19" s="26" customFormat="1">
      <c r="A619" s="34" t="s">
        <v>763</v>
      </c>
      <c r="B619" s="26" t="s">
        <v>275</v>
      </c>
      <c r="C619" s="27">
        <v>2400</v>
      </c>
      <c r="D619" s="28" t="s">
        <v>20</v>
      </c>
      <c r="E619" s="244"/>
      <c r="F619" s="30">
        <v>1</v>
      </c>
      <c r="G619" s="31" t="s">
        <v>21</v>
      </c>
      <c r="H619" s="245">
        <v>480</v>
      </c>
      <c r="I619" s="31" t="s">
        <v>20</v>
      </c>
      <c r="J619" s="32">
        <v>20800</v>
      </c>
      <c r="K619" s="28" t="s">
        <v>20</v>
      </c>
      <c r="L619" s="227">
        <v>0.3</v>
      </c>
      <c r="M619" s="33"/>
      <c r="N619" s="27">
        <f>(2*12)+(3*12)+12+12+12</f>
        <v>96</v>
      </c>
      <c r="O619" s="31" t="s">
        <v>20</v>
      </c>
      <c r="P619" s="27">
        <f>(C619+(E619*F619*H619))-N619</f>
        <v>2304</v>
      </c>
      <c r="Q619" s="31" t="s">
        <v>20</v>
      </c>
      <c r="R619" s="32">
        <f>P619*(J619-(J619*L619)-((J619-(J619*L619))*M619))</f>
        <v>33546240</v>
      </c>
      <c r="S619" s="32">
        <f>R619/1.11</f>
        <v>30221837.837837834</v>
      </c>
    </row>
    <row r="620" spans="1:19" s="26" customFormat="1">
      <c r="A620" s="34" t="s">
        <v>759</v>
      </c>
      <c r="B620" s="26" t="s">
        <v>275</v>
      </c>
      <c r="C620" s="27">
        <v>2400</v>
      </c>
      <c r="D620" s="28" t="s">
        <v>20</v>
      </c>
      <c r="E620" s="244"/>
      <c r="F620" s="30">
        <v>1</v>
      </c>
      <c r="G620" s="31" t="s">
        <v>21</v>
      </c>
      <c r="H620" s="245">
        <v>480</v>
      </c>
      <c r="I620" s="31" t="s">
        <v>20</v>
      </c>
      <c r="J620" s="32">
        <v>15000</v>
      </c>
      <c r="K620" s="28" t="s">
        <v>20</v>
      </c>
      <c r="L620" s="227">
        <v>0.2</v>
      </c>
      <c r="M620" s="33"/>
      <c r="N620" s="27">
        <f>(16*12)+(2*12)+(1*12)+(3*12)+(2*12)+(8*12)+(2*12)</f>
        <v>408</v>
      </c>
      <c r="O620" s="31" t="s">
        <v>20</v>
      </c>
      <c r="P620" s="27">
        <f>(C620+(E620*F620*H620))-N620</f>
        <v>1992</v>
      </c>
      <c r="Q620" s="31" t="s">
        <v>20</v>
      </c>
      <c r="R620" s="32">
        <f>P620*(J620-(J620*L620)-((J620-(J620*L620))*M620))</f>
        <v>23904000</v>
      </c>
      <c r="S620" s="32">
        <f>R620/1.11</f>
        <v>21535135.135135133</v>
      </c>
    </row>
    <row r="621" spans="1:19" s="26" customFormat="1">
      <c r="A621" s="34" t="s">
        <v>762</v>
      </c>
      <c r="B621" s="26" t="s">
        <v>275</v>
      </c>
      <c r="C621" s="27">
        <v>2400</v>
      </c>
      <c r="D621" s="28" t="s">
        <v>20</v>
      </c>
      <c r="E621" s="244"/>
      <c r="F621" s="30">
        <v>1</v>
      </c>
      <c r="G621" s="31" t="s">
        <v>21</v>
      </c>
      <c r="H621" s="245">
        <v>480</v>
      </c>
      <c r="I621" s="31" t="s">
        <v>20</v>
      </c>
      <c r="J621" s="32">
        <v>29900</v>
      </c>
      <c r="K621" s="28" t="s">
        <v>20</v>
      </c>
      <c r="L621" s="227">
        <v>0.25</v>
      </c>
      <c r="M621" s="33"/>
      <c r="N621" s="27">
        <f>(2*12)+(2*12)+(3*12)+(3*12)+12+12+12+12+12+12+(2*12)+(2*12)</f>
        <v>240</v>
      </c>
      <c r="O621" s="31" t="s">
        <v>20</v>
      </c>
      <c r="P621" s="27">
        <f>(C621+(E621*F621*H621))-N621</f>
        <v>2160</v>
      </c>
      <c r="Q621" s="31" t="s">
        <v>20</v>
      </c>
      <c r="R621" s="32">
        <f>P621*(J621-(J621*L621)-((J621-(J621*L621))*M621))</f>
        <v>48438000</v>
      </c>
      <c r="S621" s="32">
        <f>R621/1.11</f>
        <v>43637837.837837838</v>
      </c>
    </row>
    <row r="622" spans="1:19" s="26" customFormat="1">
      <c r="A622" s="34" t="s">
        <v>760</v>
      </c>
      <c r="B622" s="26" t="s">
        <v>275</v>
      </c>
      <c r="C622" s="27">
        <v>1536</v>
      </c>
      <c r="D622" s="28" t="s">
        <v>20</v>
      </c>
      <c r="E622" s="244"/>
      <c r="F622" s="30">
        <v>1</v>
      </c>
      <c r="G622" s="31" t="s">
        <v>21</v>
      </c>
      <c r="H622" s="245">
        <v>384</v>
      </c>
      <c r="I622" s="31" t="s">
        <v>20</v>
      </c>
      <c r="J622" s="32">
        <v>16000</v>
      </c>
      <c r="K622" s="28" t="s">
        <v>20</v>
      </c>
      <c r="L622" s="227">
        <v>0.25</v>
      </c>
      <c r="M622" s="33"/>
      <c r="N622" s="27">
        <f>(2*12)+(3*12)+(3*12)+(2*12)+(2*12)+12+(3*12)+12+(2*12)+12</f>
        <v>240</v>
      </c>
      <c r="O622" s="31" t="s">
        <v>20</v>
      </c>
      <c r="P622" s="27">
        <f>(C622+(E622*F622*H622))-N622</f>
        <v>1296</v>
      </c>
      <c r="Q622" s="31" t="s">
        <v>20</v>
      </c>
      <c r="R622" s="32">
        <f>P622*(J622-(J622*L622)-((J622-(J622*L622))*M622))</f>
        <v>15552000</v>
      </c>
      <c r="S622" s="32">
        <f>R622/1.11</f>
        <v>14010810.81081081</v>
      </c>
    </row>
    <row r="623" spans="1:19">
      <c r="S623" s="23"/>
    </row>
    <row r="624" spans="1:19" ht="15.75">
      <c r="A624" s="14" t="s">
        <v>555</v>
      </c>
      <c r="S624" s="23"/>
    </row>
    <row r="625" spans="1:19">
      <c r="A625" s="15" t="s">
        <v>556</v>
      </c>
      <c r="S625" s="23"/>
    </row>
    <row r="626" spans="1:19" s="17" customFormat="1">
      <c r="A626" s="16" t="s">
        <v>557</v>
      </c>
      <c r="B626" s="17" t="s">
        <v>19</v>
      </c>
      <c r="C626" s="18">
        <v>48</v>
      </c>
      <c r="D626" s="19" t="s">
        <v>34</v>
      </c>
      <c r="E626" s="20"/>
      <c r="F626" s="21">
        <v>1</v>
      </c>
      <c r="G626" s="22" t="s">
        <v>21</v>
      </c>
      <c r="H626" s="21">
        <v>48</v>
      </c>
      <c r="I626" s="22" t="s">
        <v>34</v>
      </c>
      <c r="J626" s="23">
        <v>31200</v>
      </c>
      <c r="K626" s="19" t="s">
        <v>34</v>
      </c>
      <c r="L626" s="24">
        <v>0.125</v>
      </c>
      <c r="M626" s="24">
        <v>0.05</v>
      </c>
      <c r="N626" s="18">
        <v>48</v>
      </c>
      <c r="O626" s="22" t="s">
        <v>34</v>
      </c>
      <c r="P626" s="18">
        <f>(C626+(E626*F626*H626))-N626</f>
        <v>0</v>
      </c>
      <c r="Q626" s="22" t="s">
        <v>34</v>
      </c>
      <c r="R626" s="23">
        <f>P626*(J626-(J626*L626)-((J626-(J626*L626))*M626))</f>
        <v>0</v>
      </c>
      <c r="S626" s="23">
        <f t="shared" si="143"/>
        <v>0</v>
      </c>
    </row>
    <row r="627" spans="1:19" s="26" customFormat="1">
      <c r="A627" s="94" t="s">
        <v>558</v>
      </c>
      <c r="B627" s="26" t="s">
        <v>26</v>
      </c>
      <c r="C627" s="27">
        <v>322</v>
      </c>
      <c r="D627" s="28" t="s">
        <v>43</v>
      </c>
      <c r="E627" s="29"/>
      <c r="F627" s="30">
        <v>1</v>
      </c>
      <c r="G627" s="31" t="s">
        <v>21</v>
      </c>
      <c r="H627" s="30">
        <v>48</v>
      </c>
      <c r="I627" s="31" t="s">
        <v>43</v>
      </c>
      <c r="J627" s="32">
        <f>1497600/48</f>
        <v>31200</v>
      </c>
      <c r="K627" s="28" t="s">
        <v>43</v>
      </c>
      <c r="L627" s="33"/>
      <c r="M627" s="33">
        <v>0.17</v>
      </c>
      <c r="N627" s="27">
        <f>12+5+48+6+48+48+48</f>
        <v>215</v>
      </c>
      <c r="O627" s="31" t="s">
        <v>43</v>
      </c>
      <c r="P627" s="27">
        <f>(C627+(E627*F627*H627))-N627</f>
        <v>107</v>
      </c>
      <c r="Q627" s="31" t="s">
        <v>43</v>
      </c>
      <c r="R627" s="32">
        <f>P627*(J627-(J627*L627)-((J627-(J627*L627))*M627))</f>
        <v>2770872</v>
      </c>
      <c r="S627" s="32">
        <f t="shared" si="143"/>
        <v>2496281.0810810807</v>
      </c>
    </row>
    <row r="628" spans="1:19">
      <c r="S628" s="23"/>
    </row>
    <row r="629" spans="1:19" ht="15.75">
      <c r="A629" s="14" t="s">
        <v>559</v>
      </c>
      <c r="S629" s="23"/>
    </row>
    <row r="630" spans="1:19" s="45" customFormat="1">
      <c r="A630" s="44" t="s">
        <v>734</v>
      </c>
      <c r="B630" s="45" t="s">
        <v>19</v>
      </c>
      <c r="C630" s="46">
        <v>84</v>
      </c>
      <c r="D630" s="47" t="s">
        <v>20</v>
      </c>
      <c r="E630" s="48"/>
      <c r="F630" s="49">
        <v>10</v>
      </c>
      <c r="G630" s="50" t="s">
        <v>34</v>
      </c>
      <c r="H630" s="49">
        <v>12</v>
      </c>
      <c r="I630" s="50" t="s">
        <v>20</v>
      </c>
      <c r="J630" s="51">
        <v>11200</v>
      </c>
      <c r="K630" s="47" t="s">
        <v>20</v>
      </c>
      <c r="L630" s="52">
        <v>0.125</v>
      </c>
      <c r="M630" s="52">
        <v>0.05</v>
      </c>
      <c r="N630" s="46"/>
      <c r="O630" s="50" t="s">
        <v>20</v>
      </c>
      <c r="P630" s="46">
        <f t="shared" ref="P630:P646" si="151">(C630+(E630*F630*H630))-N630</f>
        <v>84</v>
      </c>
      <c r="Q630" s="50" t="s">
        <v>20</v>
      </c>
      <c r="R630" s="51">
        <f t="shared" ref="R630:R646" si="152">P630*(J630-(J630*L630)-((J630-(J630*L630))*M630))</f>
        <v>782040</v>
      </c>
      <c r="S630" s="51">
        <f t="shared" ref="S630:S631" si="153">R630/1.11</f>
        <v>704540.54054054047</v>
      </c>
    </row>
    <row r="631" spans="1:19" s="45" customFormat="1">
      <c r="A631" s="44" t="s">
        <v>735</v>
      </c>
      <c r="B631" s="45" t="s">
        <v>19</v>
      </c>
      <c r="C631" s="46">
        <v>48</v>
      </c>
      <c r="D631" s="47" t="s">
        <v>20</v>
      </c>
      <c r="E631" s="48"/>
      <c r="F631" s="49">
        <v>10</v>
      </c>
      <c r="G631" s="50" t="s">
        <v>34</v>
      </c>
      <c r="H631" s="49">
        <v>12</v>
      </c>
      <c r="I631" s="50" t="s">
        <v>20</v>
      </c>
      <c r="J631" s="51">
        <v>12400</v>
      </c>
      <c r="K631" s="47" t="s">
        <v>20</v>
      </c>
      <c r="L631" s="52">
        <v>0.125</v>
      </c>
      <c r="M631" s="52">
        <v>0.05</v>
      </c>
      <c r="N631" s="46"/>
      <c r="O631" s="50" t="s">
        <v>20</v>
      </c>
      <c r="P631" s="46">
        <f t="shared" si="151"/>
        <v>48</v>
      </c>
      <c r="Q631" s="50" t="s">
        <v>20</v>
      </c>
      <c r="R631" s="51">
        <f t="shared" si="152"/>
        <v>494760</v>
      </c>
      <c r="S631" s="51">
        <f t="shared" si="153"/>
        <v>445729.7297297297</v>
      </c>
    </row>
    <row r="632" spans="1:19" s="45" customFormat="1">
      <c r="A632" s="35" t="s">
        <v>560</v>
      </c>
      <c r="B632" s="36" t="s">
        <v>19</v>
      </c>
      <c r="C632" s="37">
        <v>600</v>
      </c>
      <c r="D632" s="38" t="s">
        <v>20</v>
      </c>
      <c r="E632" s="39"/>
      <c r="F632" s="40">
        <v>10</v>
      </c>
      <c r="G632" s="41" t="s">
        <v>34</v>
      </c>
      <c r="H632" s="40">
        <v>12</v>
      </c>
      <c r="I632" s="41" t="s">
        <v>20</v>
      </c>
      <c r="J632" s="42">
        <v>12400</v>
      </c>
      <c r="K632" s="38" t="s">
        <v>20</v>
      </c>
      <c r="L632" s="43">
        <v>0.125</v>
      </c>
      <c r="M632" s="43">
        <v>0.05</v>
      </c>
      <c r="N632" s="37">
        <f>240+(10*12)</f>
        <v>360</v>
      </c>
      <c r="O632" s="41" t="s">
        <v>20</v>
      </c>
      <c r="P632" s="37">
        <f t="shared" si="151"/>
        <v>240</v>
      </c>
      <c r="Q632" s="41" t="s">
        <v>20</v>
      </c>
      <c r="R632" s="42">
        <f t="shared" si="152"/>
        <v>2473800</v>
      </c>
      <c r="S632" s="42">
        <f t="shared" si="143"/>
        <v>2228648.6486486485</v>
      </c>
    </row>
    <row r="633" spans="1:19" s="45" customFormat="1">
      <c r="A633" s="35" t="s">
        <v>560</v>
      </c>
      <c r="B633" s="36" t="s">
        <v>19</v>
      </c>
      <c r="C633" s="37"/>
      <c r="D633" s="38" t="s">
        <v>20</v>
      </c>
      <c r="E633" s="39">
        <f>2+1+1</f>
        <v>4</v>
      </c>
      <c r="F633" s="40">
        <v>10</v>
      </c>
      <c r="G633" s="41" t="s">
        <v>34</v>
      </c>
      <c r="H633" s="40">
        <v>12</v>
      </c>
      <c r="I633" s="41" t="s">
        <v>20</v>
      </c>
      <c r="J633" s="42">
        <v>12950</v>
      </c>
      <c r="K633" s="38" t="s">
        <v>20</v>
      </c>
      <c r="L633" s="43">
        <v>0.125</v>
      </c>
      <c r="M633" s="43">
        <v>0.05</v>
      </c>
      <c r="N633" s="37"/>
      <c r="O633" s="41" t="s">
        <v>20</v>
      </c>
      <c r="P633" s="37">
        <f t="shared" ref="P633" si="154">(C633+(E633*F633*H633))-N633</f>
        <v>480</v>
      </c>
      <c r="Q633" s="41" t="s">
        <v>20</v>
      </c>
      <c r="R633" s="42">
        <f t="shared" ref="R633" si="155">P633*(J633-(J633*L633)-((J633-(J633*L633))*M633))</f>
        <v>5167050</v>
      </c>
      <c r="S633" s="42">
        <f t="shared" ref="S633" si="156">R633/1.11</f>
        <v>4655000</v>
      </c>
    </row>
    <row r="634" spans="1:19" s="17" customFormat="1">
      <c r="A634" s="16" t="s">
        <v>561</v>
      </c>
      <c r="B634" s="17" t="s">
        <v>19</v>
      </c>
      <c r="C634" s="18"/>
      <c r="D634" s="19" t="s">
        <v>20</v>
      </c>
      <c r="E634" s="20"/>
      <c r="F634" s="21">
        <v>5</v>
      </c>
      <c r="G634" s="22" t="s">
        <v>34</v>
      </c>
      <c r="H634" s="21">
        <v>12</v>
      </c>
      <c r="I634" s="22" t="s">
        <v>20</v>
      </c>
      <c r="J634" s="23">
        <v>27000</v>
      </c>
      <c r="K634" s="19" t="s">
        <v>20</v>
      </c>
      <c r="L634" s="24">
        <v>0.125</v>
      </c>
      <c r="M634" s="24">
        <v>0.05</v>
      </c>
      <c r="N634" s="18"/>
      <c r="O634" s="22" t="s">
        <v>20</v>
      </c>
      <c r="P634" s="18">
        <f t="shared" si="151"/>
        <v>0</v>
      </c>
      <c r="Q634" s="22" t="s">
        <v>20</v>
      </c>
      <c r="R634" s="23">
        <f t="shared" si="152"/>
        <v>0</v>
      </c>
      <c r="S634" s="23">
        <f t="shared" si="143"/>
        <v>0</v>
      </c>
    </row>
    <row r="635" spans="1:19" s="17" customFormat="1">
      <c r="A635" s="16" t="s">
        <v>562</v>
      </c>
      <c r="B635" s="17" t="s">
        <v>19</v>
      </c>
      <c r="C635" s="18"/>
      <c r="D635" s="19" t="s">
        <v>20</v>
      </c>
      <c r="E635" s="20"/>
      <c r="F635" s="21">
        <v>1</v>
      </c>
      <c r="G635" s="22" t="s">
        <v>21</v>
      </c>
      <c r="H635" s="21">
        <v>24</v>
      </c>
      <c r="I635" s="22" t="s">
        <v>20</v>
      </c>
      <c r="J635" s="23">
        <v>40000</v>
      </c>
      <c r="K635" s="19" t="s">
        <v>20</v>
      </c>
      <c r="L635" s="24">
        <v>0.125</v>
      </c>
      <c r="M635" s="24">
        <v>0.05</v>
      </c>
      <c r="N635" s="18"/>
      <c r="O635" s="22" t="s">
        <v>20</v>
      </c>
      <c r="P635" s="18">
        <f t="shared" si="151"/>
        <v>0</v>
      </c>
      <c r="Q635" s="22" t="s">
        <v>20</v>
      </c>
      <c r="R635" s="23">
        <f t="shared" si="152"/>
        <v>0</v>
      </c>
      <c r="S635" s="23">
        <f t="shared" si="143"/>
        <v>0</v>
      </c>
    </row>
    <row r="636" spans="1:19" s="17" customFormat="1">
      <c r="A636" s="16" t="s">
        <v>563</v>
      </c>
      <c r="B636" s="17" t="s">
        <v>19</v>
      </c>
      <c r="C636" s="18">
        <v>48</v>
      </c>
      <c r="D636" s="19" t="s">
        <v>20</v>
      </c>
      <c r="E636" s="20"/>
      <c r="F636" s="21">
        <v>1</v>
      </c>
      <c r="G636" s="22" t="s">
        <v>21</v>
      </c>
      <c r="H636" s="21">
        <v>24</v>
      </c>
      <c r="I636" s="22" t="s">
        <v>20</v>
      </c>
      <c r="J636" s="23">
        <v>45500</v>
      </c>
      <c r="K636" s="19" t="s">
        <v>20</v>
      </c>
      <c r="L636" s="24">
        <v>0.125</v>
      </c>
      <c r="M636" s="24">
        <v>0.05</v>
      </c>
      <c r="N636" s="18">
        <f>24+24</f>
        <v>48</v>
      </c>
      <c r="O636" s="22" t="s">
        <v>20</v>
      </c>
      <c r="P636" s="18">
        <f t="shared" si="151"/>
        <v>0</v>
      </c>
      <c r="Q636" s="22" t="s">
        <v>20</v>
      </c>
      <c r="R636" s="23">
        <f t="shared" si="152"/>
        <v>0</v>
      </c>
      <c r="S636" s="23">
        <f t="shared" si="143"/>
        <v>0</v>
      </c>
    </row>
    <row r="637" spans="1:19" s="17" customFormat="1">
      <c r="A637" s="16" t="s">
        <v>564</v>
      </c>
      <c r="B637" s="17" t="s">
        <v>26</v>
      </c>
      <c r="C637" s="18"/>
      <c r="D637" s="19" t="s">
        <v>20</v>
      </c>
      <c r="E637" s="20"/>
      <c r="F637" s="21">
        <v>10</v>
      </c>
      <c r="G637" s="22" t="s">
        <v>43</v>
      </c>
      <c r="H637" s="21">
        <v>12</v>
      </c>
      <c r="I637" s="22" t="s">
        <v>20</v>
      </c>
      <c r="J637" s="23">
        <f>1500000/10/12</f>
        <v>12500</v>
      </c>
      <c r="K637" s="19" t="s">
        <v>20</v>
      </c>
      <c r="L637" s="24"/>
      <c r="M637" s="24">
        <v>0.17</v>
      </c>
      <c r="N637" s="18"/>
      <c r="O637" s="22" t="s">
        <v>20</v>
      </c>
      <c r="P637" s="18">
        <f t="shared" si="151"/>
        <v>0</v>
      </c>
      <c r="Q637" s="22" t="s">
        <v>20</v>
      </c>
      <c r="R637" s="23">
        <f t="shared" si="152"/>
        <v>0</v>
      </c>
      <c r="S637" s="23">
        <f t="shared" si="143"/>
        <v>0</v>
      </c>
    </row>
    <row r="638" spans="1:19" s="63" customFormat="1">
      <c r="A638" s="72" t="s">
        <v>565</v>
      </c>
      <c r="B638" s="63" t="s">
        <v>26</v>
      </c>
      <c r="C638" s="64"/>
      <c r="D638" s="65" t="s">
        <v>43</v>
      </c>
      <c r="E638" s="66"/>
      <c r="F638" s="67">
        <v>1</v>
      </c>
      <c r="G638" s="68" t="s">
        <v>21</v>
      </c>
      <c r="H638" s="67">
        <v>10</v>
      </c>
      <c r="I638" s="68" t="s">
        <v>43</v>
      </c>
      <c r="J638" s="69">
        <f>1560000/10</f>
        <v>156000</v>
      </c>
      <c r="K638" s="65" t="s">
        <v>43</v>
      </c>
      <c r="L638" s="70"/>
      <c r="M638" s="70">
        <v>0.17</v>
      </c>
      <c r="N638" s="64"/>
      <c r="O638" s="68" t="s">
        <v>43</v>
      </c>
      <c r="P638" s="64">
        <f t="shared" si="151"/>
        <v>0</v>
      </c>
      <c r="Q638" s="68" t="s">
        <v>43</v>
      </c>
      <c r="R638" s="69">
        <f t="shared" si="152"/>
        <v>0</v>
      </c>
      <c r="S638" s="69">
        <f t="shared" si="143"/>
        <v>0</v>
      </c>
    </row>
    <row r="639" spans="1:19" s="63" customFormat="1">
      <c r="A639" s="72" t="s">
        <v>566</v>
      </c>
      <c r="B639" s="63" t="s">
        <v>26</v>
      </c>
      <c r="C639" s="64"/>
      <c r="D639" s="65" t="s">
        <v>20</v>
      </c>
      <c r="E639" s="66"/>
      <c r="F639" s="67">
        <v>10</v>
      </c>
      <c r="G639" s="68" t="s">
        <v>43</v>
      </c>
      <c r="H639" s="67">
        <v>12</v>
      </c>
      <c r="I639" s="68" t="s">
        <v>20</v>
      </c>
      <c r="J639" s="69">
        <f>13000</f>
        <v>13000</v>
      </c>
      <c r="K639" s="65" t="s">
        <v>20</v>
      </c>
      <c r="L639" s="70"/>
      <c r="M639" s="70">
        <v>0.17</v>
      </c>
      <c r="N639" s="64"/>
      <c r="O639" s="68" t="s">
        <v>20</v>
      </c>
      <c r="P639" s="64">
        <f t="shared" si="151"/>
        <v>0</v>
      </c>
      <c r="Q639" s="68" t="s">
        <v>20</v>
      </c>
      <c r="R639" s="69">
        <f t="shared" si="152"/>
        <v>0</v>
      </c>
      <c r="S639" s="23">
        <f t="shared" si="143"/>
        <v>0</v>
      </c>
    </row>
    <row r="640" spans="1:19" s="45" customFormat="1">
      <c r="A640" s="44" t="s">
        <v>567</v>
      </c>
      <c r="B640" s="45" t="s">
        <v>26</v>
      </c>
      <c r="C640" s="46">
        <v>10</v>
      </c>
      <c r="D640" s="47" t="s">
        <v>43</v>
      </c>
      <c r="E640" s="48">
        <v>1</v>
      </c>
      <c r="F640" s="49">
        <v>4</v>
      </c>
      <c r="G640" s="50" t="s">
        <v>34</v>
      </c>
      <c r="H640" s="49">
        <v>2</v>
      </c>
      <c r="I640" s="50" t="s">
        <v>43</v>
      </c>
      <c r="J640" s="51">
        <f>1440000/4/2</f>
        <v>180000</v>
      </c>
      <c r="K640" s="47" t="s">
        <v>43</v>
      </c>
      <c r="L640" s="52"/>
      <c r="M640" s="52">
        <v>0.17</v>
      </c>
      <c r="N640" s="46">
        <f>2+2+(96/12)</f>
        <v>12</v>
      </c>
      <c r="O640" s="50" t="s">
        <v>43</v>
      </c>
      <c r="P640" s="46">
        <f>(C640+(E640*F640*H640))-N640</f>
        <v>6</v>
      </c>
      <c r="Q640" s="50" t="s">
        <v>43</v>
      </c>
      <c r="R640" s="51">
        <f>P640*(J640-(J640*L640)-((J640-(J640*L640))*M640))</f>
        <v>896400</v>
      </c>
      <c r="S640" s="51">
        <f t="shared" si="143"/>
        <v>807567.56756756746</v>
      </c>
    </row>
    <row r="641" spans="1:19" s="45" customFormat="1">
      <c r="A641" s="35" t="s">
        <v>568</v>
      </c>
      <c r="B641" s="36" t="s">
        <v>26</v>
      </c>
      <c r="C641" s="37">
        <v>18</v>
      </c>
      <c r="D641" s="38" t="s">
        <v>43</v>
      </c>
      <c r="E641" s="39"/>
      <c r="F641" s="40">
        <v>1</v>
      </c>
      <c r="G641" s="41" t="s">
        <v>21</v>
      </c>
      <c r="H641" s="40">
        <v>5</v>
      </c>
      <c r="I641" s="41" t="s">
        <v>43</v>
      </c>
      <c r="J641" s="42">
        <f>1320000/5</f>
        <v>264000</v>
      </c>
      <c r="K641" s="38" t="s">
        <v>20</v>
      </c>
      <c r="L641" s="43"/>
      <c r="M641" s="43">
        <v>0.17</v>
      </c>
      <c r="N641" s="37">
        <f>(60/12)+(60/12)</f>
        <v>10</v>
      </c>
      <c r="O641" s="41" t="s">
        <v>43</v>
      </c>
      <c r="P641" s="37">
        <f t="shared" si="151"/>
        <v>8</v>
      </c>
      <c r="Q641" s="41" t="s">
        <v>43</v>
      </c>
      <c r="R641" s="42">
        <f t="shared" si="152"/>
        <v>1752960</v>
      </c>
      <c r="S641" s="42">
        <f t="shared" si="143"/>
        <v>1579243.2432432431</v>
      </c>
    </row>
    <row r="642" spans="1:19" s="45" customFormat="1">
      <c r="A642" s="35" t="s">
        <v>568</v>
      </c>
      <c r="B642" s="36" t="s">
        <v>26</v>
      </c>
      <c r="C642" s="37">
        <v>5</v>
      </c>
      <c r="D642" s="38" t="s">
        <v>43</v>
      </c>
      <c r="E642" s="39"/>
      <c r="F642" s="40">
        <v>1</v>
      </c>
      <c r="G642" s="41" t="s">
        <v>21</v>
      </c>
      <c r="H642" s="40">
        <v>5</v>
      </c>
      <c r="I642" s="41" t="s">
        <v>43</v>
      </c>
      <c r="J642" s="42">
        <f>1410000/5</f>
        <v>282000</v>
      </c>
      <c r="K642" s="38" t="s">
        <v>20</v>
      </c>
      <c r="L642" s="43"/>
      <c r="M642" s="43">
        <v>0.17</v>
      </c>
      <c r="N642" s="37"/>
      <c r="O642" s="41" t="s">
        <v>43</v>
      </c>
      <c r="P642" s="37">
        <f t="shared" si="151"/>
        <v>5</v>
      </c>
      <c r="Q642" s="41" t="s">
        <v>43</v>
      </c>
      <c r="R642" s="42">
        <f t="shared" si="152"/>
        <v>1170300</v>
      </c>
      <c r="S642" s="42">
        <f t="shared" si="143"/>
        <v>1054324.3243243243</v>
      </c>
    </row>
    <row r="643" spans="1:19" s="45" customFormat="1">
      <c r="A643" s="44" t="s">
        <v>569</v>
      </c>
      <c r="B643" s="45" t="s">
        <v>26</v>
      </c>
      <c r="C643" s="46">
        <v>8</v>
      </c>
      <c r="D643" s="47" t="s">
        <v>43</v>
      </c>
      <c r="E643" s="48"/>
      <c r="F643" s="49">
        <v>1</v>
      </c>
      <c r="G643" s="50" t="s">
        <v>21</v>
      </c>
      <c r="H643" s="49">
        <v>4</v>
      </c>
      <c r="I643" s="50" t="s">
        <v>43</v>
      </c>
      <c r="J643" s="51">
        <f>1536000/4</f>
        <v>384000</v>
      </c>
      <c r="K643" s="47" t="s">
        <v>43</v>
      </c>
      <c r="L643" s="52"/>
      <c r="M643" s="52">
        <v>0.17</v>
      </c>
      <c r="N643" s="46"/>
      <c r="O643" s="50" t="s">
        <v>43</v>
      </c>
      <c r="P643" s="46">
        <f t="shared" si="151"/>
        <v>8</v>
      </c>
      <c r="Q643" s="50" t="s">
        <v>43</v>
      </c>
      <c r="R643" s="51">
        <f t="shared" si="152"/>
        <v>2549760</v>
      </c>
      <c r="S643" s="51">
        <f t="shared" si="143"/>
        <v>2297081.0810810807</v>
      </c>
    </row>
    <row r="644" spans="1:19" s="26" customFormat="1">
      <c r="A644" s="25" t="s">
        <v>570</v>
      </c>
      <c r="B644" s="26" t="s">
        <v>26</v>
      </c>
      <c r="C644" s="27"/>
      <c r="D644" s="28" t="s">
        <v>20</v>
      </c>
      <c r="E644" s="29">
        <v>5</v>
      </c>
      <c r="F644" s="30">
        <v>1</v>
      </c>
      <c r="G644" s="31" t="s">
        <v>21</v>
      </c>
      <c r="H644" s="30">
        <v>24</v>
      </c>
      <c r="I644" s="31" t="s">
        <v>20</v>
      </c>
      <c r="J644" s="32">
        <f>1164000/24</f>
        <v>48500</v>
      </c>
      <c r="K644" s="28" t="s">
        <v>20</v>
      </c>
      <c r="L644" s="33"/>
      <c r="M644" s="33">
        <v>0.17</v>
      </c>
      <c r="N644" s="27">
        <f>12+48+12+6</f>
        <v>78</v>
      </c>
      <c r="O644" s="31" t="s">
        <v>20</v>
      </c>
      <c r="P644" s="27">
        <f t="shared" si="151"/>
        <v>42</v>
      </c>
      <c r="Q644" s="31" t="s">
        <v>20</v>
      </c>
      <c r="R644" s="32">
        <f t="shared" si="152"/>
        <v>1690710</v>
      </c>
      <c r="S644" s="32">
        <f t="shared" si="143"/>
        <v>1523162.1621621621</v>
      </c>
    </row>
    <row r="645" spans="1:19" s="17" customFormat="1">
      <c r="A645" s="16" t="s">
        <v>571</v>
      </c>
      <c r="B645" s="17" t="s">
        <v>26</v>
      </c>
      <c r="C645" s="18"/>
      <c r="D645" s="19" t="s">
        <v>20</v>
      </c>
      <c r="E645" s="20">
        <v>2</v>
      </c>
      <c r="F645" s="21">
        <v>1</v>
      </c>
      <c r="G645" s="22" t="s">
        <v>21</v>
      </c>
      <c r="H645" s="21">
        <v>24</v>
      </c>
      <c r="I645" s="22" t="s">
        <v>20</v>
      </c>
      <c r="J645" s="23">
        <f>1020000/24</f>
        <v>42500</v>
      </c>
      <c r="K645" s="19" t="s">
        <v>20</v>
      </c>
      <c r="L645" s="24"/>
      <c r="M645" s="24">
        <v>0.17</v>
      </c>
      <c r="N645" s="18">
        <f>(4*12)</f>
        <v>48</v>
      </c>
      <c r="O645" s="22" t="s">
        <v>20</v>
      </c>
      <c r="P645" s="18">
        <f t="shared" si="151"/>
        <v>0</v>
      </c>
      <c r="Q645" s="22" t="s">
        <v>20</v>
      </c>
      <c r="R645" s="23">
        <f t="shared" si="152"/>
        <v>0</v>
      </c>
      <c r="S645" s="23">
        <f t="shared" si="143"/>
        <v>0</v>
      </c>
    </row>
    <row r="646" spans="1:19" s="26" customFormat="1">
      <c r="A646" s="25" t="s">
        <v>572</v>
      </c>
      <c r="B646" s="26" t="s">
        <v>26</v>
      </c>
      <c r="C646" s="27">
        <v>18</v>
      </c>
      <c r="D646" s="28" t="s">
        <v>20</v>
      </c>
      <c r="E646" s="29">
        <v>1</v>
      </c>
      <c r="F646" s="30">
        <v>1</v>
      </c>
      <c r="G646" s="31" t="s">
        <v>21</v>
      </c>
      <c r="H646" s="30">
        <v>24</v>
      </c>
      <c r="I646" s="31" t="s">
        <v>20</v>
      </c>
      <c r="J646" s="32">
        <f>1416000/24</f>
        <v>59000</v>
      </c>
      <c r="K646" s="28" t="s">
        <v>20</v>
      </c>
      <c r="L646" s="33"/>
      <c r="M646" s="33">
        <v>0.17</v>
      </c>
      <c r="N646" s="27"/>
      <c r="O646" s="31" t="s">
        <v>20</v>
      </c>
      <c r="P646" s="27">
        <f t="shared" si="151"/>
        <v>42</v>
      </c>
      <c r="Q646" s="31" t="s">
        <v>20</v>
      </c>
      <c r="R646" s="32">
        <f t="shared" si="152"/>
        <v>2056740</v>
      </c>
      <c r="S646" s="32">
        <f t="shared" si="143"/>
        <v>1852918.9189189188</v>
      </c>
    </row>
    <row r="647" spans="1:19">
      <c r="S647" s="23"/>
    </row>
    <row r="648" spans="1:19">
      <c r="S648" s="23"/>
    </row>
    <row r="649" spans="1:19" ht="15.75">
      <c r="A649" s="14" t="s">
        <v>585</v>
      </c>
      <c r="S649" s="23"/>
    </row>
    <row r="650" spans="1:19" s="45" customFormat="1">
      <c r="A650" s="44" t="s">
        <v>586</v>
      </c>
      <c r="B650" s="45" t="s">
        <v>19</v>
      </c>
      <c r="C650" s="46">
        <v>350</v>
      </c>
      <c r="D650" s="47" t="s">
        <v>20</v>
      </c>
      <c r="E650" s="48">
        <f>1+(0.5+0.5+0.5+0.5+1)</f>
        <v>4</v>
      </c>
      <c r="F650" s="49">
        <v>72</v>
      </c>
      <c r="G650" s="50" t="s">
        <v>34</v>
      </c>
      <c r="H650" s="49">
        <v>10</v>
      </c>
      <c r="I650" s="50" t="s">
        <v>20</v>
      </c>
      <c r="J650" s="51">
        <v>3600</v>
      </c>
      <c r="K650" s="47" t="s">
        <v>20</v>
      </c>
      <c r="L650" s="52">
        <v>0.125</v>
      </c>
      <c r="M650" s="52">
        <v>0.05</v>
      </c>
      <c r="N650" s="46">
        <f>50+50+50+250+720+1440+(200+210)+10</f>
        <v>2980</v>
      </c>
      <c r="O650" s="50" t="s">
        <v>20</v>
      </c>
      <c r="P650" s="46">
        <f t="shared" ref="P650:P657" si="157">(C650+(E650*F650*H650))-N650</f>
        <v>250</v>
      </c>
      <c r="Q650" s="50" t="s">
        <v>20</v>
      </c>
      <c r="R650" s="51">
        <f t="shared" ref="R650:R657" si="158">P650*(J650-(J650*L650)-((J650-(J650*L650))*M650))</f>
        <v>748125</v>
      </c>
      <c r="S650" s="51">
        <f t="shared" si="143"/>
        <v>673986.48648648639</v>
      </c>
    </row>
    <row r="651" spans="1:19" s="63" customFormat="1">
      <c r="A651" s="72" t="s">
        <v>587</v>
      </c>
      <c r="B651" s="63" t="s">
        <v>19</v>
      </c>
      <c r="C651" s="64"/>
      <c r="D651" s="65" t="s">
        <v>162</v>
      </c>
      <c r="E651" s="66"/>
      <c r="F651" s="67">
        <v>12</v>
      </c>
      <c r="G651" s="68" t="s">
        <v>34</v>
      </c>
      <c r="H651" s="67">
        <v>24</v>
      </c>
      <c r="I651" s="68" t="s">
        <v>162</v>
      </c>
      <c r="J651" s="69">
        <v>16500</v>
      </c>
      <c r="K651" s="65" t="s">
        <v>162</v>
      </c>
      <c r="L651" s="70">
        <v>0.125</v>
      </c>
      <c r="M651" s="70">
        <v>0.05</v>
      </c>
      <c r="N651" s="64"/>
      <c r="O651" s="68" t="s">
        <v>162</v>
      </c>
      <c r="P651" s="64">
        <f t="shared" si="157"/>
        <v>0</v>
      </c>
      <c r="Q651" s="68" t="s">
        <v>162</v>
      </c>
      <c r="R651" s="69">
        <f t="shared" si="158"/>
        <v>0</v>
      </c>
      <c r="S651" s="23">
        <f t="shared" si="143"/>
        <v>0</v>
      </c>
    </row>
    <row r="652" spans="1:19" s="26" customFormat="1">
      <c r="A652" s="25" t="s">
        <v>588</v>
      </c>
      <c r="B652" s="26" t="s">
        <v>26</v>
      </c>
      <c r="C652" s="27">
        <v>160</v>
      </c>
      <c r="D652" s="28" t="s">
        <v>20</v>
      </c>
      <c r="E652" s="29">
        <f>(1+1+0.5+0.5)+(0.5+0.5)</f>
        <v>4</v>
      </c>
      <c r="F652" s="30">
        <v>48</v>
      </c>
      <c r="G652" s="31" t="s">
        <v>34</v>
      </c>
      <c r="H652" s="30">
        <v>10</v>
      </c>
      <c r="I652" s="31" t="s">
        <v>20</v>
      </c>
      <c r="J652" s="32">
        <f>30500/10</f>
        <v>3050</v>
      </c>
      <c r="K652" s="28" t="s">
        <v>20</v>
      </c>
      <c r="L652" s="33"/>
      <c r="M652" s="33">
        <v>0.17</v>
      </c>
      <c r="N652" s="27">
        <f>100+250</f>
        <v>350</v>
      </c>
      <c r="O652" s="31" t="s">
        <v>20</v>
      </c>
      <c r="P652" s="27">
        <f t="shared" si="157"/>
        <v>1730</v>
      </c>
      <c r="Q652" s="31" t="s">
        <v>20</v>
      </c>
      <c r="R652" s="32">
        <f t="shared" si="158"/>
        <v>4379495</v>
      </c>
      <c r="S652" s="32">
        <f t="shared" si="143"/>
        <v>3945490.9909909908</v>
      </c>
    </row>
    <row r="653" spans="1:19" s="17" customFormat="1">
      <c r="A653" s="16" t="s">
        <v>589</v>
      </c>
      <c r="B653" s="17" t="s">
        <v>26</v>
      </c>
      <c r="C653" s="18">
        <v>20</v>
      </c>
      <c r="D653" s="19" t="s">
        <v>20</v>
      </c>
      <c r="E653" s="20"/>
      <c r="F653" s="21">
        <v>48</v>
      </c>
      <c r="G653" s="22" t="s">
        <v>34</v>
      </c>
      <c r="H653" s="21">
        <v>10</v>
      </c>
      <c r="I653" s="22" t="s">
        <v>20</v>
      </c>
      <c r="J653" s="23">
        <f>30500/10</f>
        <v>3050</v>
      </c>
      <c r="K653" s="19" t="s">
        <v>20</v>
      </c>
      <c r="L653" s="24"/>
      <c r="M653" s="24">
        <v>0.17</v>
      </c>
      <c r="N653" s="18">
        <v>20</v>
      </c>
      <c r="O653" s="22" t="s">
        <v>20</v>
      </c>
      <c r="P653" s="18">
        <f t="shared" si="157"/>
        <v>0</v>
      </c>
      <c r="Q653" s="22" t="s">
        <v>20</v>
      </c>
      <c r="R653" s="23">
        <f t="shared" si="158"/>
        <v>0</v>
      </c>
      <c r="S653" s="23">
        <f t="shared" ref="S653:S724" si="159">R653/1.11</f>
        <v>0</v>
      </c>
    </row>
    <row r="654" spans="1:19" s="17" customFormat="1">
      <c r="A654" s="16" t="s">
        <v>590</v>
      </c>
      <c r="B654" s="17" t="s">
        <v>26</v>
      </c>
      <c r="C654" s="18"/>
      <c r="D654" s="19" t="s">
        <v>43</v>
      </c>
      <c r="E654" s="20"/>
      <c r="F654" s="21">
        <v>12</v>
      </c>
      <c r="G654" s="22" t="s">
        <v>34</v>
      </c>
      <c r="H654" s="21">
        <v>12</v>
      </c>
      <c r="I654" s="22" t="s">
        <v>43</v>
      </c>
      <c r="J654" s="23">
        <v>25800</v>
      </c>
      <c r="K654" s="19" t="s">
        <v>43</v>
      </c>
      <c r="L654" s="24"/>
      <c r="M654" s="24">
        <v>0.17</v>
      </c>
      <c r="N654" s="18"/>
      <c r="O654" s="22" t="s">
        <v>43</v>
      </c>
      <c r="P654" s="18">
        <f t="shared" si="157"/>
        <v>0</v>
      </c>
      <c r="Q654" s="22" t="s">
        <v>43</v>
      </c>
      <c r="R654" s="23">
        <f t="shared" si="158"/>
        <v>0</v>
      </c>
      <c r="S654" s="23">
        <f t="shared" si="159"/>
        <v>0</v>
      </c>
    </row>
    <row r="655" spans="1:19" s="63" customFormat="1">
      <c r="A655" s="72" t="s">
        <v>591</v>
      </c>
      <c r="B655" s="63" t="s">
        <v>275</v>
      </c>
      <c r="C655" s="64"/>
      <c r="D655" s="65" t="s">
        <v>104</v>
      </c>
      <c r="E655" s="66"/>
      <c r="F655" s="67">
        <v>1</v>
      </c>
      <c r="G655" s="68" t="s">
        <v>21</v>
      </c>
      <c r="H655" s="67">
        <v>24</v>
      </c>
      <c r="I655" s="68" t="s">
        <v>104</v>
      </c>
      <c r="J655" s="69">
        <v>94000</v>
      </c>
      <c r="K655" s="65" t="s">
        <v>104</v>
      </c>
      <c r="L655" s="70"/>
      <c r="M655" s="70"/>
      <c r="N655" s="64"/>
      <c r="O655" s="68" t="s">
        <v>104</v>
      </c>
      <c r="P655" s="64">
        <f t="shared" si="157"/>
        <v>0</v>
      </c>
      <c r="Q655" s="68" t="s">
        <v>104</v>
      </c>
      <c r="R655" s="69">
        <f t="shared" si="158"/>
        <v>0</v>
      </c>
      <c r="S655" s="23">
        <f t="shared" si="159"/>
        <v>0</v>
      </c>
    </row>
    <row r="656" spans="1:19" s="26" customFormat="1">
      <c r="A656" s="25" t="s">
        <v>592</v>
      </c>
      <c r="B656" s="26" t="s">
        <v>182</v>
      </c>
      <c r="C656" s="27">
        <v>1546</v>
      </c>
      <c r="D656" s="28" t="s">
        <v>43</v>
      </c>
      <c r="E656" s="29"/>
      <c r="F656" s="30">
        <v>1</v>
      </c>
      <c r="G656" s="31" t="s">
        <v>21</v>
      </c>
      <c r="H656" s="30">
        <v>108</v>
      </c>
      <c r="I656" s="31" t="s">
        <v>43</v>
      </c>
      <c r="J656" s="32">
        <v>18000</v>
      </c>
      <c r="K656" s="28" t="s">
        <v>43</v>
      </c>
      <c r="L656" s="33">
        <v>0.05</v>
      </c>
      <c r="M656" s="33"/>
      <c r="N656" s="27">
        <f>2+3+3+1+3+20+108+36+3+108+2+12+216+108</f>
        <v>625</v>
      </c>
      <c r="O656" s="31" t="s">
        <v>43</v>
      </c>
      <c r="P656" s="27">
        <f t="shared" si="157"/>
        <v>921</v>
      </c>
      <c r="Q656" s="31" t="s">
        <v>43</v>
      </c>
      <c r="R656" s="32">
        <f t="shared" si="158"/>
        <v>15749100</v>
      </c>
      <c r="S656" s="32">
        <f t="shared" si="159"/>
        <v>14188378.378378376</v>
      </c>
    </row>
    <row r="657" spans="1:19" s="26" customFormat="1">
      <c r="A657" s="25" t="s">
        <v>738</v>
      </c>
      <c r="B657" s="26" t="s">
        <v>659</v>
      </c>
      <c r="C657" s="27">
        <v>3540</v>
      </c>
      <c r="D657" s="28" t="s">
        <v>20</v>
      </c>
      <c r="E657" s="29"/>
      <c r="F657" s="30">
        <v>1</v>
      </c>
      <c r="G657" s="31" t="s">
        <v>21</v>
      </c>
      <c r="H657" s="30">
        <v>600</v>
      </c>
      <c r="I657" s="31" t="s">
        <v>20</v>
      </c>
      <c r="J657" s="32">
        <v>2700</v>
      </c>
      <c r="K657" s="28" t="s">
        <v>20</v>
      </c>
      <c r="L657" s="33">
        <v>0.35</v>
      </c>
      <c r="M657" s="33"/>
      <c r="N657" s="27">
        <f>20+120</f>
        <v>140</v>
      </c>
      <c r="O657" s="31" t="s">
        <v>20</v>
      </c>
      <c r="P657" s="27">
        <f t="shared" si="157"/>
        <v>3400</v>
      </c>
      <c r="Q657" s="31" t="s">
        <v>20</v>
      </c>
      <c r="R657" s="32">
        <f t="shared" si="158"/>
        <v>5967000</v>
      </c>
      <c r="S657" s="32">
        <f t="shared" si="159"/>
        <v>5375675.6756756753</v>
      </c>
    </row>
    <row r="658" spans="1:19">
      <c r="S658" s="23"/>
    </row>
    <row r="659" spans="1:19" ht="15.75">
      <c r="A659" s="14" t="s">
        <v>593</v>
      </c>
      <c r="S659" s="23"/>
    </row>
    <row r="660" spans="1:19">
      <c r="A660" s="15" t="s">
        <v>594</v>
      </c>
      <c r="S660" s="23"/>
    </row>
    <row r="661" spans="1:19" s="63" customFormat="1">
      <c r="A661" s="72" t="s">
        <v>595</v>
      </c>
      <c r="B661" s="63" t="s">
        <v>19</v>
      </c>
      <c r="C661" s="64"/>
      <c r="D661" s="65" t="s">
        <v>20</v>
      </c>
      <c r="E661" s="66"/>
      <c r="F661" s="67">
        <v>40</v>
      </c>
      <c r="G661" s="68" t="s">
        <v>104</v>
      </c>
      <c r="H661" s="67">
        <v>12</v>
      </c>
      <c r="I661" s="68" t="s">
        <v>20</v>
      </c>
      <c r="J661" s="69">
        <v>6700</v>
      </c>
      <c r="K661" s="65" t="s">
        <v>20</v>
      </c>
      <c r="L661" s="70">
        <v>0.125</v>
      </c>
      <c r="M661" s="70">
        <v>0.05</v>
      </c>
      <c r="N661" s="64"/>
      <c r="O661" s="68" t="s">
        <v>20</v>
      </c>
      <c r="P661" s="64">
        <f t="shared" ref="P661" si="160">(C661+(E661*F661*H661))-N661</f>
        <v>0</v>
      </c>
      <c r="Q661" s="68" t="s">
        <v>20</v>
      </c>
      <c r="R661" s="69">
        <f t="shared" ref="R661" si="161">P661*(J661-(J661*L661)-((J661-(J661*L661))*M661))</f>
        <v>0</v>
      </c>
      <c r="S661" s="23">
        <f t="shared" si="159"/>
        <v>0</v>
      </c>
    </row>
    <row r="662" spans="1:19" s="63" customFormat="1">
      <c r="A662" s="72" t="s">
        <v>596</v>
      </c>
      <c r="B662" s="63" t="s">
        <v>19</v>
      </c>
      <c r="C662" s="64"/>
      <c r="D662" s="65" t="s">
        <v>20</v>
      </c>
      <c r="E662" s="66"/>
      <c r="F662" s="67">
        <v>20</v>
      </c>
      <c r="G662" s="68" t="s">
        <v>104</v>
      </c>
      <c r="H662" s="67">
        <v>12</v>
      </c>
      <c r="I662" s="68" t="s">
        <v>20</v>
      </c>
      <c r="J662" s="69">
        <v>8400</v>
      </c>
      <c r="K662" s="65" t="s">
        <v>20</v>
      </c>
      <c r="L662" s="70">
        <v>0.125</v>
      </c>
      <c r="M662" s="70">
        <v>0.05</v>
      </c>
      <c r="N662" s="64"/>
      <c r="O662" s="68" t="s">
        <v>20</v>
      </c>
      <c r="P662" s="64">
        <f>(C662+(E662*F662*H662))-N662</f>
        <v>0</v>
      </c>
      <c r="Q662" s="68" t="s">
        <v>20</v>
      </c>
      <c r="R662" s="69">
        <f>P662*(J662-(J662*L662)-((J662-(J662*L662))*M662))</f>
        <v>0</v>
      </c>
      <c r="S662" s="23">
        <f t="shared" si="159"/>
        <v>0</v>
      </c>
    </row>
    <row r="663" spans="1:19" s="17" customFormat="1">
      <c r="A663" s="93" t="s">
        <v>597</v>
      </c>
      <c r="B663" s="17" t="s">
        <v>26</v>
      </c>
      <c r="C663" s="18"/>
      <c r="D663" s="19" t="s">
        <v>43</v>
      </c>
      <c r="E663" s="20"/>
      <c r="F663" s="21">
        <v>1</v>
      </c>
      <c r="G663" s="22" t="s">
        <v>21</v>
      </c>
      <c r="H663" s="21">
        <v>40</v>
      </c>
      <c r="I663" s="22" t="s">
        <v>43</v>
      </c>
      <c r="J663" s="23">
        <f>3096000/40</f>
        <v>77400</v>
      </c>
      <c r="K663" s="19" t="s">
        <v>43</v>
      </c>
      <c r="L663" s="24"/>
      <c r="M663" s="24">
        <v>0.17</v>
      </c>
      <c r="N663" s="18"/>
      <c r="O663" s="22" t="s">
        <v>43</v>
      </c>
      <c r="P663" s="18">
        <f t="shared" ref="P663:P668" si="162">(C663+(E663*F663*H663))-N663</f>
        <v>0</v>
      </c>
      <c r="Q663" s="22" t="s">
        <v>43</v>
      </c>
      <c r="R663" s="23">
        <f t="shared" ref="R663:R668" si="163">P663*(J663-(J663*L663)-((J663-(J663*L663))*M663))</f>
        <v>0</v>
      </c>
      <c r="S663" s="23">
        <f t="shared" si="159"/>
        <v>0</v>
      </c>
    </row>
    <row r="664" spans="1:19" s="26" customFormat="1">
      <c r="A664" s="94" t="s">
        <v>598</v>
      </c>
      <c r="B664" s="26" t="s">
        <v>26</v>
      </c>
      <c r="C664" s="27">
        <v>48</v>
      </c>
      <c r="D664" s="28" t="s">
        <v>43</v>
      </c>
      <c r="E664" s="29"/>
      <c r="F664" s="30">
        <v>1</v>
      </c>
      <c r="G664" s="31" t="s">
        <v>21</v>
      </c>
      <c r="H664" s="30">
        <v>40</v>
      </c>
      <c r="I664" s="31" t="s">
        <v>43</v>
      </c>
      <c r="J664" s="32">
        <f>2976000/40</f>
        <v>74400</v>
      </c>
      <c r="K664" s="28" t="s">
        <v>43</v>
      </c>
      <c r="L664" s="33"/>
      <c r="M664" s="33">
        <v>0.17</v>
      </c>
      <c r="N664" s="27">
        <f>15+2+1</f>
        <v>18</v>
      </c>
      <c r="O664" s="31" t="s">
        <v>43</v>
      </c>
      <c r="P664" s="27">
        <f t="shared" si="162"/>
        <v>30</v>
      </c>
      <c r="Q664" s="31" t="s">
        <v>43</v>
      </c>
      <c r="R664" s="32">
        <f t="shared" si="163"/>
        <v>1852560</v>
      </c>
      <c r="S664" s="32">
        <f t="shared" si="159"/>
        <v>1668972.9729729728</v>
      </c>
    </row>
    <row r="665" spans="1:19" s="17" customFormat="1">
      <c r="A665" s="93" t="s">
        <v>599</v>
      </c>
      <c r="B665" s="17" t="s">
        <v>26</v>
      </c>
      <c r="C665" s="18"/>
      <c r="D665" s="19" t="s">
        <v>20</v>
      </c>
      <c r="E665" s="20"/>
      <c r="F665" s="21">
        <v>1</v>
      </c>
      <c r="G665" s="22" t="s">
        <v>21</v>
      </c>
      <c r="H665" s="21">
        <v>20</v>
      </c>
      <c r="I665" s="22" t="s">
        <v>20</v>
      </c>
      <c r="J665" s="23">
        <v>90000</v>
      </c>
      <c r="K665" s="19" t="s">
        <v>20</v>
      </c>
      <c r="L665" s="24"/>
      <c r="M665" s="24">
        <v>0.17</v>
      </c>
      <c r="N665" s="18"/>
      <c r="O665" s="22" t="s">
        <v>20</v>
      </c>
      <c r="P665" s="18">
        <f t="shared" si="162"/>
        <v>0</v>
      </c>
      <c r="Q665" s="22" t="s">
        <v>20</v>
      </c>
      <c r="R665" s="23">
        <f t="shared" si="163"/>
        <v>0</v>
      </c>
      <c r="S665" s="23">
        <f t="shared" si="159"/>
        <v>0</v>
      </c>
    </row>
    <row r="666" spans="1:19" s="17" customFormat="1">
      <c r="A666" s="93" t="s">
        <v>600</v>
      </c>
      <c r="B666" s="17" t="s">
        <v>26</v>
      </c>
      <c r="C666" s="18"/>
      <c r="D666" s="19" t="s">
        <v>20</v>
      </c>
      <c r="E666" s="20"/>
      <c r="F666" s="21">
        <v>1</v>
      </c>
      <c r="G666" s="22" t="s">
        <v>21</v>
      </c>
      <c r="H666" s="21">
        <v>20</v>
      </c>
      <c r="I666" s="22" t="s">
        <v>20</v>
      </c>
      <c r="J666" s="23">
        <v>87500</v>
      </c>
      <c r="K666" s="19" t="s">
        <v>20</v>
      </c>
      <c r="L666" s="24"/>
      <c r="M666" s="24">
        <v>0.17</v>
      </c>
      <c r="N666" s="18"/>
      <c r="O666" s="22" t="s">
        <v>20</v>
      </c>
      <c r="P666" s="18">
        <f t="shared" si="162"/>
        <v>0</v>
      </c>
      <c r="Q666" s="22" t="s">
        <v>20</v>
      </c>
      <c r="R666" s="23">
        <f t="shared" si="163"/>
        <v>0</v>
      </c>
      <c r="S666" s="23">
        <f t="shared" si="159"/>
        <v>0</v>
      </c>
    </row>
    <row r="667" spans="1:19" s="17" customFormat="1">
      <c r="A667" s="93" t="s">
        <v>601</v>
      </c>
      <c r="B667" s="17" t="s">
        <v>26</v>
      </c>
      <c r="C667" s="18"/>
      <c r="D667" s="19" t="s">
        <v>43</v>
      </c>
      <c r="E667" s="20"/>
      <c r="F667" s="21">
        <v>1</v>
      </c>
      <c r="G667" s="22" t="s">
        <v>21</v>
      </c>
      <c r="H667" s="21">
        <v>40</v>
      </c>
      <c r="I667" s="22" t="s">
        <v>43</v>
      </c>
      <c r="J667" s="23">
        <f>3360000/40</f>
        <v>84000</v>
      </c>
      <c r="K667" s="19" t="s">
        <v>43</v>
      </c>
      <c r="L667" s="24"/>
      <c r="M667" s="24">
        <v>0.17</v>
      </c>
      <c r="N667" s="18"/>
      <c r="O667" s="22" t="s">
        <v>43</v>
      </c>
      <c r="P667" s="18">
        <f t="shared" si="162"/>
        <v>0</v>
      </c>
      <c r="Q667" s="22" t="s">
        <v>43</v>
      </c>
      <c r="R667" s="23">
        <f t="shared" si="163"/>
        <v>0</v>
      </c>
      <c r="S667" s="23">
        <f t="shared" si="159"/>
        <v>0</v>
      </c>
    </row>
    <row r="668" spans="1:19" s="26" customFormat="1">
      <c r="A668" s="94" t="s">
        <v>602</v>
      </c>
      <c r="B668" s="26" t="s">
        <v>26</v>
      </c>
      <c r="C668" s="27">
        <v>20</v>
      </c>
      <c r="D668" s="28" t="s">
        <v>43</v>
      </c>
      <c r="E668" s="29"/>
      <c r="F668" s="30">
        <v>1</v>
      </c>
      <c r="G668" s="31" t="s">
        <v>21</v>
      </c>
      <c r="H668" s="30">
        <v>20</v>
      </c>
      <c r="I668" s="31" t="s">
        <v>43</v>
      </c>
      <c r="J668" s="32">
        <f>1992000/20</f>
        <v>99600</v>
      </c>
      <c r="K668" s="28" t="s">
        <v>43</v>
      </c>
      <c r="L668" s="33"/>
      <c r="M668" s="33">
        <v>0.17</v>
      </c>
      <c r="N668" s="27"/>
      <c r="O668" s="31" t="s">
        <v>43</v>
      </c>
      <c r="P668" s="27">
        <f t="shared" si="162"/>
        <v>20</v>
      </c>
      <c r="Q668" s="31" t="s">
        <v>43</v>
      </c>
      <c r="R668" s="32">
        <f t="shared" si="163"/>
        <v>1653360</v>
      </c>
      <c r="S668" s="32">
        <f t="shared" si="159"/>
        <v>1489513.5135135134</v>
      </c>
    </row>
    <row r="669" spans="1:19">
      <c r="A669" s="15" t="s">
        <v>603</v>
      </c>
      <c r="S669" s="23"/>
    </row>
    <row r="670" spans="1:19" s="63" customFormat="1">
      <c r="A670" s="72" t="s">
        <v>604</v>
      </c>
      <c r="B670" s="63" t="s">
        <v>19</v>
      </c>
      <c r="C670" s="64">
        <v>18</v>
      </c>
      <c r="D670" s="65" t="s">
        <v>43</v>
      </c>
      <c r="E670" s="66"/>
      <c r="F670" s="67">
        <v>18</v>
      </c>
      <c r="G670" s="68" t="s">
        <v>104</v>
      </c>
      <c r="H670" s="67">
        <v>1</v>
      </c>
      <c r="I670" s="68" t="s">
        <v>43</v>
      </c>
      <c r="J670" s="69">
        <f>5300*12</f>
        <v>63600</v>
      </c>
      <c r="K670" s="65" t="s">
        <v>43</v>
      </c>
      <c r="L670" s="70">
        <v>0.125</v>
      </c>
      <c r="M670" s="70">
        <v>0.05</v>
      </c>
      <c r="N670" s="64">
        <v>18</v>
      </c>
      <c r="O670" s="68" t="s">
        <v>43</v>
      </c>
      <c r="P670" s="64">
        <f t="shared" ref="P670:P675" si="164">(C670+(E670*F670*H670))-N670</f>
        <v>0</v>
      </c>
      <c r="Q670" s="68" t="s">
        <v>43</v>
      </c>
      <c r="R670" s="69">
        <f t="shared" ref="R670:R675" si="165">P670*(J670-(J670*L670)-((J670-(J670*L670))*M670))</f>
        <v>0</v>
      </c>
      <c r="S670" s="23">
        <f t="shared" si="159"/>
        <v>0</v>
      </c>
    </row>
    <row r="671" spans="1:19" s="63" customFormat="1">
      <c r="A671" s="72" t="s">
        <v>605</v>
      </c>
      <c r="B671" s="63" t="s">
        <v>19</v>
      </c>
      <c r="C671" s="64">
        <v>3</v>
      </c>
      <c r="D671" s="65" t="s">
        <v>43</v>
      </c>
      <c r="E671" s="66"/>
      <c r="F671" s="67">
        <v>24</v>
      </c>
      <c r="G671" s="68" t="s">
        <v>104</v>
      </c>
      <c r="H671" s="67">
        <v>2</v>
      </c>
      <c r="I671" s="68" t="s">
        <v>43</v>
      </c>
      <c r="J671" s="69">
        <f>4900*12</f>
        <v>58800</v>
      </c>
      <c r="K671" s="65" t="s">
        <v>43</v>
      </c>
      <c r="L671" s="70">
        <v>0.125</v>
      </c>
      <c r="M671" s="70">
        <v>0.05</v>
      </c>
      <c r="N671" s="64">
        <v>3</v>
      </c>
      <c r="O671" s="68" t="s">
        <v>43</v>
      </c>
      <c r="P671" s="64">
        <f t="shared" si="164"/>
        <v>0</v>
      </c>
      <c r="Q671" s="68" t="s">
        <v>43</v>
      </c>
      <c r="R671" s="69">
        <f t="shared" si="165"/>
        <v>0</v>
      </c>
      <c r="S671" s="23">
        <f t="shared" si="159"/>
        <v>0</v>
      </c>
    </row>
    <row r="672" spans="1:19" s="63" customFormat="1">
      <c r="A672" s="72" t="s">
        <v>606</v>
      </c>
      <c r="B672" s="63" t="s">
        <v>19</v>
      </c>
      <c r="C672" s="64"/>
      <c r="D672" s="65" t="s">
        <v>43</v>
      </c>
      <c r="E672" s="66"/>
      <c r="F672" s="67">
        <v>18</v>
      </c>
      <c r="G672" s="68" t="s">
        <v>104</v>
      </c>
      <c r="H672" s="67">
        <v>1</v>
      </c>
      <c r="I672" s="68" t="s">
        <v>43</v>
      </c>
      <c r="J672" s="69">
        <f>6100*12</f>
        <v>73200</v>
      </c>
      <c r="K672" s="65" t="s">
        <v>43</v>
      </c>
      <c r="L672" s="70">
        <v>0.125</v>
      </c>
      <c r="M672" s="70">
        <v>0.05</v>
      </c>
      <c r="N672" s="64"/>
      <c r="O672" s="68" t="s">
        <v>43</v>
      </c>
      <c r="P672" s="64">
        <f t="shared" si="164"/>
        <v>0</v>
      </c>
      <c r="Q672" s="68" t="s">
        <v>43</v>
      </c>
      <c r="R672" s="69">
        <f t="shared" si="165"/>
        <v>0</v>
      </c>
      <c r="S672" s="23">
        <f t="shared" si="159"/>
        <v>0</v>
      </c>
    </row>
    <row r="673" spans="1:19" s="63" customFormat="1">
      <c r="A673" s="72" t="s">
        <v>607</v>
      </c>
      <c r="B673" s="63" t="s">
        <v>19</v>
      </c>
      <c r="C673" s="64"/>
      <c r="D673" s="65" t="s">
        <v>43</v>
      </c>
      <c r="E673" s="66"/>
      <c r="F673" s="67">
        <v>24</v>
      </c>
      <c r="G673" s="68" t="s">
        <v>104</v>
      </c>
      <c r="H673" s="67">
        <v>6</v>
      </c>
      <c r="I673" s="68" t="s">
        <v>20</v>
      </c>
      <c r="J673" s="69">
        <v>12600</v>
      </c>
      <c r="K673" s="65" t="s">
        <v>20</v>
      </c>
      <c r="L673" s="70">
        <v>0.125</v>
      </c>
      <c r="M673" s="70">
        <v>0.05</v>
      </c>
      <c r="N673" s="64"/>
      <c r="O673" s="68" t="s">
        <v>20</v>
      </c>
      <c r="P673" s="64">
        <f t="shared" si="164"/>
        <v>0</v>
      </c>
      <c r="Q673" s="68" t="s">
        <v>20</v>
      </c>
      <c r="R673" s="69">
        <f t="shared" si="165"/>
        <v>0</v>
      </c>
      <c r="S673" s="23">
        <f t="shared" si="159"/>
        <v>0</v>
      </c>
    </row>
    <row r="674" spans="1:19" s="45" customFormat="1">
      <c r="A674" s="44" t="s">
        <v>608</v>
      </c>
      <c r="B674" s="45" t="s">
        <v>26</v>
      </c>
      <c r="C674" s="46">
        <v>38</v>
      </c>
      <c r="D674" s="47" t="s">
        <v>43</v>
      </c>
      <c r="E674" s="48">
        <v>1</v>
      </c>
      <c r="F674" s="49">
        <v>1</v>
      </c>
      <c r="G674" s="50" t="s">
        <v>21</v>
      </c>
      <c r="H674" s="49">
        <v>18</v>
      </c>
      <c r="I674" s="50" t="s">
        <v>43</v>
      </c>
      <c r="J674" s="51">
        <f>1069200/18</f>
        <v>59400</v>
      </c>
      <c r="K674" s="47" t="s">
        <v>43</v>
      </c>
      <c r="L674" s="52"/>
      <c r="M674" s="52">
        <v>0.17</v>
      </c>
      <c r="N674" s="46">
        <f>3+10+3+3+2</f>
        <v>21</v>
      </c>
      <c r="O674" s="50" t="s">
        <v>43</v>
      </c>
      <c r="P674" s="46">
        <f t="shared" si="164"/>
        <v>35</v>
      </c>
      <c r="Q674" s="50" t="s">
        <v>43</v>
      </c>
      <c r="R674" s="51">
        <f t="shared" si="165"/>
        <v>1725570</v>
      </c>
      <c r="S674" s="51">
        <f t="shared" si="159"/>
        <v>1554567.5675675673</v>
      </c>
    </row>
    <row r="675" spans="1:19" s="26" customFormat="1">
      <c r="A675" s="25" t="s">
        <v>609</v>
      </c>
      <c r="B675" s="26" t="s">
        <v>26</v>
      </c>
      <c r="C675" s="27">
        <v>7</v>
      </c>
      <c r="D675" s="28" t="s">
        <v>43</v>
      </c>
      <c r="E675" s="29"/>
      <c r="F675" s="30">
        <v>1</v>
      </c>
      <c r="G675" s="31" t="s">
        <v>21</v>
      </c>
      <c r="H675" s="30">
        <v>18</v>
      </c>
      <c r="I675" s="31" t="s">
        <v>43</v>
      </c>
      <c r="J675" s="32">
        <f>1274400/18</f>
        <v>70800</v>
      </c>
      <c r="K675" s="28" t="s">
        <v>43</v>
      </c>
      <c r="L675" s="33"/>
      <c r="M675" s="33">
        <v>0.17</v>
      </c>
      <c r="N675" s="27">
        <v>2</v>
      </c>
      <c r="O675" s="31" t="s">
        <v>43</v>
      </c>
      <c r="P675" s="27">
        <f t="shared" si="164"/>
        <v>5</v>
      </c>
      <c r="Q675" s="31" t="s">
        <v>43</v>
      </c>
      <c r="R675" s="32">
        <f t="shared" si="165"/>
        <v>293820</v>
      </c>
      <c r="S675" s="32">
        <f t="shared" si="159"/>
        <v>264702.70270270266</v>
      </c>
    </row>
    <row r="676" spans="1:19">
      <c r="S676" s="23"/>
    </row>
    <row r="677" spans="1:19" ht="15.75">
      <c r="A677" s="14" t="s">
        <v>610</v>
      </c>
      <c r="S677" s="23"/>
    </row>
    <row r="678" spans="1:19">
      <c r="A678" s="15" t="s">
        <v>611</v>
      </c>
      <c r="S678" s="23"/>
    </row>
    <row r="679" spans="1:19" s="17" customFormat="1">
      <c r="A679" s="16" t="s">
        <v>782</v>
      </c>
      <c r="B679" s="63" t="s">
        <v>19</v>
      </c>
      <c r="C679" s="18"/>
      <c r="D679" s="19" t="s">
        <v>20</v>
      </c>
      <c r="E679" s="20">
        <v>1</v>
      </c>
      <c r="F679" s="21">
        <v>1</v>
      </c>
      <c r="G679" s="22" t="s">
        <v>21</v>
      </c>
      <c r="H679" s="21">
        <v>72</v>
      </c>
      <c r="I679" s="22" t="s">
        <v>20</v>
      </c>
      <c r="J679" s="23">
        <v>34500</v>
      </c>
      <c r="K679" s="19" t="s">
        <v>20</v>
      </c>
      <c r="L679" s="24">
        <v>0.125</v>
      </c>
      <c r="M679" s="24">
        <v>0.05</v>
      </c>
      <c r="N679" s="18">
        <v>72</v>
      </c>
      <c r="O679" s="22" t="s">
        <v>20</v>
      </c>
      <c r="P679" s="18">
        <f>(C679+(E679*F679*H679))-N679</f>
        <v>0</v>
      </c>
      <c r="Q679" s="22" t="s">
        <v>20</v>
      </c>
      <c r="R679" s="23">
        <f>P679*(J679-(J679*L679)-((J679-(J679*L679))*M679))</f>
        <v>0</v>
      </c>
      <c r="S679" s="23">
        <f t="shared" ref="S679" si="166">R679/1.11</f>
        <v>0</v>
      </c>
    </row>
    <row r="680" spans="1:19" s="17" customFormat="1">
      <c r="A680" s="16" t="s">
        <v>612</v>
      </c>
      <c r="B680" s="63" t="s">
        <v>19</v>
      </c>
      <c r="C680" s="18"/>
      <c r="D680" s="19" t="s">
        <v>20</v>
      </c>
      <c r="E680" s="20">
        <v>1</v>
      </c>
      <c r="F680" s="21">
        <v>1</v>
      </c>
      <c r="G680" s="22" t="s">
        <v>21</v>
      </c>
      <c r="H680" s="21">
        <v>24</v>
      </c>
      <c r="I680" s="22" t="s">
        <v>20</v>
      </c>
      <c r="J680" s="23">
        <v>97000</v>
      </c>
      <c r="K680" s="19" t="s">
        <v>20</v>
      </c>
      <c r="L680" s="24">
        <v>0.125</v>
      </c>
      <c r="M680" s="24">
        <v>0.05</v>
      </c>
      <c r="N680" s="18">
        <v>24</v>
      </c>
      <c r="O680" s="22" t="s">
        <v>20</v>
      </c>
      <c r="P680" s="18">
        <f>(C680+(E680*F680*H680))-N680</f>
        <v>0</v>
      </c>
      <c r="Q680" s="22" t="s">
        <v>20</v>
      </c>
      <c r="R680" s="23">
        <f>P680*(J680-(J680*L680)-((J680-(J680*L680))*M680))</f>
        <v>0</v>
      </c>
      <c r="S680" s="23">
        <f t="shared" si="159"/>
        <v>0</v>
      </c>
    </row>
    <row r="681" spans="1:19" s="17" customFormat="1">
      <c r="A681" s="16" t="s">
        <v>613</v>
      </c>
      <c r="B681" s="17" t="s">
        <v>26</v>
      </c>
      <c r="C681" s="18"/>
      <c r="D681" s="19" t="s">
        <v>43</v>
      </c>
      <c r="E681" s="20"/>
      <c r="F681" s="21">
        <v>1</v>
      </c>
      <c r="G681" s="22" t="s">
        <v>21</v>
      </c>
      <c r="H681" s="21">
        <v>48</v>
      </c>
      <c r="I681" s="22" t="s">
        <v>20</v>
      </c>
      <c r="J681" s="23">
        <f>2400000/48</f>
        <v>50000</v>
      </c>
      <c r="K681" s="19" t="s">
        <v>20</v>
      </c>
      <c r="L681" s="24"/>
      <c r="M681" s="24">
        <v>0.17</v>
      </c>
      <c r="N681" s="18"/>
      <c r="O681" s="22" t="s">
        <v>20</v>
      </c>
      <c r="P681" s="18">
        <f>(C681+(E681*F681*H681))-N681</f>
        <v>0</v>
      </c>
      <c r="Q681" s="22" t="s">
        <v>20</v>
      </c>
      <c r="R681" s="23">
        <f>P681*(J681-(J681*L681)-((J681-(J681*L681))*M681))</f>
        <v>0</v>
      </c>
      <c r="S681" s="23">
        <f t="shared" si="159"/>
        <v>0</v>
      </c>
    </row>
    <row r="682" spans="1:19">
      <c r="A682" s="15" t="s">
        <v>614</v>
      </c>
      <c r="S682" s="23"/>
    </row>
    <row r="683" spans="1:19" s="63" customFormat="1">
      <c r="A683" s="95" t="s">
        <v>615</v>
      </c>
      <c r="B683" s="96" t="s">
        <v>19</v>
      </c>
      <c r="C683" s="97">
        <v>6</v>
      </c>
      <c r="D683" s="98" t="s">
        <v>43</v>
      </c>
      <c r="E683" s="105"/>
      <c r="F683" s="100">
        <v>1</v>
      </c>
      <c r="G683" s="101" t="s">
        <v>21</v>
      </c>
      <c r="H683" s="100">
        <v>20</v>
      </c>
      <c r="I683" s="101" t="s">
        <v>43</v>
      </c>
      <c r="J683" s="102">
        <v>82800</v>
      </c>
      <c r="K683" s="98" t="s">
        <v>43</v>
      </c>
      <c r="L683" s="103">
        <v>0.125</v>
      </c>
      <c r="M683" s="103">
        <v>0.05</v>
      </c>
      <c r="N683" s="97">
        <f>20-14</f>
        <v>6</v>
      </c>
      <c r="O683" s="101" t="s">
        <v>43</v>
      </c>
      <c r="P683" s="97">
        <f t="shared" ref="P683:P724" si="167">(C683+(E683*F683*H683))-N683</f>
        <v>0</v>
      </c>
      <c r="Q683" s="101" t="s">
        <v>43</v>
      </c>
      <c r="R683" s="102">
        <f t="shared" ref="R683:R724" si="168">P683*(J683-(J683*L683)-((J683-(J683*L683))*M683))</f>
        <v>0</v>
      </c>
      <c r="S683" s="102">
        <f t="shared" si="159"/>
        <v>0</v>
      </c>
    </row>
    <row r="684" spans="1:19" s="45" customFormat="1">
      <c r="A684" s="35" t="s">
        <v>615</v>
      </c>
      <c r="B684" s="36" t="s">
        <v>19</v>
      </c>
      <c r="C684" s="37"/>
      <c r="D684" s="38" t="s">
        <v>43</v>
      </c>
      <c r="E684" s="39">
        <f>10+5</f>
        <v>15</v>
      </c>
      <c r="F684" s="40">
        <v>1</v>
      </c>
      <c r="G684" s="41" t="s">
        <v>21</v>
      </c>
      <c r="H684" s="40">
        <v>20</v>
      </c>
      <c r="I684" s="41" t="s">
        <v>43</v>
      </c>
      <c r="J684" s="42">
        <v>85200</v>
      </c>
      <c r="K684" s="38" t="s">
        <v>43</v>
      </c>
      <c r="L684" s="43">
        <v>0.125</v>
      </c>
      <c r="M684" s="43">
        <v>0.05</v>
      </c>
      <c r="N684" s="37">
        <f>(20-6)+40+80+2+100+40</f>
        <v>276</v>
      </c>
      <c r="O684" s="41" t="s">
        <v>43</v>
      </c>
      <c r="P684" s="37">
        <f t="shared" ref="P684" si="169">(C684+(E684*F684*H684))-N684</f>
        <v>24</v>
      </c>
      <c r="Q684" s="41" t="s">
        <v>43</v>
      </c>
      <c r="R684" s="42">
        <f t="shared" ref="R684" si="170">P684*(J684-(J684*L684)-((J684-(J684*L684))*M684))</f>
        <v>1699740</v>
      </c>
      <c r="S684" s="42">
        <f t="shared" ref="S684" si="171">R684/1.11</f>
        <v>1531297.2972972973</v>
      </c>
    </row>
    <row r="685" spans="1:19" s="17" customFormat="1">
      <c r="A685" s="16" t="s">
        <v>616</v>
      </c>
      <c r="B685" s="17" t="s">
        <v>19</v>
      </c>
      <c r="C685" s="18"/>
      <c r="D685" s="19" t="s">
        <v>20</v>
      </c>
      <c r="E685" s="20"/>
      <c r="F685" s="21">
        <v>24</v>
      </c>
      <c r="G685" s="22" t="s">
        <v>34</v>
      </c>
      <c r="H685" s="21">
        <v>10</v>
      </c>
      <c r="I685" s="22" t="s">
        <v>20</v>
      </c>
      <c r="J685" s="23">
        <v>9400</v>
      </c>
      <c r="K685" s="19" t="s">
        <v>20</v>
      </c>
      <c r="L685" s="24">
        <v>0.125</v>
      </c>
      <c r="M685" s="24">
        <v>0.05</v>
      </c>
      <c r="N685" s="18"/>
      <c r="O685" s="22" t="s">
        <v>20</v>
      </c>
      <c r="P685" s="18">
        <f t="shared" si="167"/>
        <v>0</v>
      </c>
      <c r="Q685" s="22" t="s">
        <v>20</v>
      </c>
      <c r="R685" s="23">
        <f t="shared" si="168"/>
        <v>0</v>
      </c>
      <c r="S685" s="23">
        <f t="shared" si="159"/>
        <v>0</v>
      </c>
    </row>
    <row r="686" spans="1:19" s="17" customFormat="1">
      <c r="A686" s="16" t="s">
        <v>617</v>
      </c>
      <c r="B686" s="17" t="s">
        <v>19</v>
      </c>
      <c r="C686" s="18"/>
      <c r="D686" s="19" t="s">
        <v>43</v>
      </c>
      <c r="E686" s="20"/>
      <c r="F686" s="21">
        <v>1</v>
      </c>
      <c r="G686" s="22" t="s">
        <v>21</v>
      </c>
      <c r="H686" s="21">
        <v>25</v>
      </c>
      <c r="I686" s="22" t="s">
        <v>43</v>
      </c>
      <c r="J686" s="23">
        <v>70800</v>
      </c>
      <c r="K686" s="19" t="s">
        <v>43</v>
      </c>
      <c r="L686" s="24">
        <v>0.125</v>
      </c>
      <c r="M686" s="24">
        <v>0.05</v>
      </c>
      <c r="N686" s="18"/>
      <c r="O686" s="22" t="s">
        <v>43</v>
      </c>
      <c r="P686" s="18">
        <f t="shared" si="167"/>
        <v>0</v>
      </c>
      <c r="Q686" s="22" t="s">
        <v>43</v>
      </c>
      <c r="R686" s="23">
        <f t="shared" si="168"/>
        <v>0</v>
      </c>
      <c r="S686" s="23">
        <f t="shared" si="159"/>
        <v>0</v>
      </c>
    </row>
    <row r="687" spans="1:19" s="45" customFormat="1">
      <c r="A687" s="44" t="s">
        <v>618</v>
      </c>
      <c r="B687" s="45" t="s">
        <v>19</v>
      </c>
      <c r="C687" s="46">
        <v>260</v>
      </c>
      <c r="D687" s="47" t="s">
        <v>43</v>
      </c>
      <c r="E687" s="48">
        <f>3+2</f>
        <v>5</v>
      </c>
      <c r="F687" s="49">
        <v>20</v>
      </c>
      <c r="G687" s="50" t="s">
        <v>34</v>
      </c>
      <c r="H687" s="49">
        <v>1</v>
      </c>
      <c r="I687" s="50" t="s">
        <v>43</v>
      </c>
      <c r="J687" s="51">
        <f>6600*12</f>
        <v>79200</v>
      </c>
      <c r="K687" s="47" t="s">
        <v>43</v>
      </c>
      <c r="L687" s="52">
        <v>0.125</v>
      </c>
      <c r="M687" s="52">
        <v>0.05</v>
      </c>
      <c r="N687" s="46">
        <f>60+60+20</f>
        <v>140</v>
      </c>
      <c r="O687" s="50" t="s">
        <v>43</v>
      </c>
      <c r="P687" s="46">
        <f t="shared" si="167"/>
        <v>220</v>
      </c>
      <c r="Q687" s="50" t="s">
        <v>43</v>
      </c>
      <c r="R687" s="51">
        <f t="shared" si="168"/>
        <v>14483700</v>
      </c>
      <c r="S687" s="51">
        <f t="shared" si="159"/>
        <v>13048378.378378376</v>
      </c>
    </row>
    <row r="688" spans="1:19" s="17" customFormat="1">
      <c r="A688" s="95" t="s">
        <v>619</v>
      </c>
      <c r="B688" s="96" t="s">
        <v>19</v>
      </c>
      <c r="C688" s="97">
        <v>90</v>
      </c>
      <c r="D688" s="98" t="s">
        <v>20</v>
      </c>
      <c r="E688" s="105"/>
      <c r="F688" s="100">
        <v>20</v>
      </c>
      <c r="G688" s="101" t="s">
        <v>34</v>
      </c>
      <c r="H688" s="100">
        <v>6</v>
      </c>
      <c r="I688" s="101" t="s">
        <v>20</v>
      </c>
      <c r="J688" s="102">
        <v>16700</v>
      </c>
      <c r="K688" s="98" t="s">
        <v>20</v>
      </c>
      <c r="L688" s="103">
        <v>0.125</v>
      </c>
      <c r="M688" s="103">
        <v>0.05</v>
      </c>
      <c r="N688" s="97">
        <f>120-30</f>
        <v>90</v>
      </c>
      <c r="O688" s="101" t="s">
        <v>20</v>
      </c>
      <c r="P688" s="97">
        <f t="shared" si="167"/>
        <v>0</v>
      </c>
      <c r="Q688" s="101" t="s">
        <v>20</v>
      </c>
      <c r="R688" s="102">
        <f t="shared" si="168"/>
        <v>0</v>
      </c>
      <c r="S688" s="102">
        <f t="shared" si="159"/>
        <v>0</v>
      </c>
    </row>
    <row r="689" spans="1:19" s="17" customFormat="1">
      <c r="A689" s="95" t="s">
        <v>619</v>
      </c>
      <c r="B689" s="96" t="s">
        <v>19</v>
      </c>
      <c r="C689" s="97">
        <v>240</v>
      </c>
      <c r="D689" s="98" t="s">
        <v>20</v>
      </c>
      <c r="E689" s="105"/>
      <c r="F689" s="100">
        <v>20</v>
      </c>
      <c r="G689" s="101" t="s">
        <v>34</v>
      </c>
      <c r="H689" s="100">
        <v>6</v>
      </c>
      <c r="I689" s="101" t="s">
        <v>20</v>
      </c>
      <c r="J689" s="102">
        <v>18000</v>
      </c>
      <c r="K689" s="98" t="s">
        <v>20</v>
      </c>
      <c r="L689" s="103">
        <v>0.125</v>
      </c>
      <c r="M689" s="103">
        <v>0.05</v>
      </c>
      <c r="N689" s="97">
        <f>(120-90)+120+120-30</f>
        <v>240</v>
      </c>
      <c r="O689" s="101" t="s">
        <v>20</v>
      </c>
      <c r="P689" s="97">
        <f t="shared" si="167"/>
        <v>0</v>
      </c>
      <c r="Q689" s="101" t="s">
        <v>20</v>
      </c>
      <c r="R689" s="102">
        <f t="shared" si="168"/>
        <v>0</v>
      </c>
      <c r="S689" s="102">
        <f t="shared" si="159"/>
        <v>0</v>
      </c>
    </row>
    <row r="690" spans="1:19">
      <c r="A690" s="159" t="s">
        <v>619</v>
      </c>
      <c r="B690" s="160" t="s">
        <v>19</v>
      </c>
      <c r="C690" s="161"/>
      <c r="D690" s="162" t="s">
        <v>20</v>
      </c>
      <c r="E690" s="163">
        <v>10</v>
      </c>
      <c r="F690" s="164">
        <v>20</v>
      </c>
      <c r="G690" s="165" t="s">
        <v>34</v>
      </c>
      <c r="H690" s="164">
        <v>6</v>
      </c>
      <c r="I690" s="165" t="s">
        <v>20</v>
      </c>
      <c r="J690" s="166">
        <v>18700</v>
      </c>
      <c r="K690" s="162" t="s">
        <v>20</v>
      </c>
      <c r="L690" s="167">
        <v>0.125</v>
      </c>
      <c r="M690" s="167">
        <v>0.05</v>
      </c>
      <c r="N690" s="161">
        <f>(120-90)+(10*12)+240+120+240+(10*12)</f>
        <v>870</v>
      </c>
      <c r="O690" s="165" t="s">
        <v>20</v>
      </c>
      <c r="P690" s="161">
        <f t="shared" ref="P690" si="172">(C690+(E690*F690*H690))-N690</f>
        <v>330</v>
      </c>
      <c r="Q690" s="165" t="s">
        <v>20</v>
      </c>
      <c r="R690" s="166">
        <f t="shared" ref="R690" si="173">P690*(J690-(J690*L690)-((J690-(J690*L690))*M690))</f>
        <v>5129643.75</v>
      </c>
      <c r="S690" s="42">
        <f t="shared" ref="S690" si="174">R690/1.11</f>
        <v>4621300.6756756753</v>
      </c>
    </row>
    <row r="691" spans="1:19" s="17" customFormat="1">
      <c r="A691" s="16" t="s">
        <v>620</v>
      </c>
      <c r="B691" s="17" t="s">
        <v>19</v>
      </c>
      <c r="C691" s="18"/>
      <c r="D691" s="19" t="s">
        <v>20</v>
      </c>
      <c r="E691" s="20"/>
      <c r="F691" s="21">
        <v>20</v>
      </c>
      <c r="G691" s="22" t="s">
        <v>34</v>
      </c>
      <c r="H691" s="21">
        <v>6</v>
      </c>
      <c r="I691" s="22" t="s">
        <v>20</v>
      </c>
      <c r="J691" s="23">
        <v>14800</v>
      </c>
      <c r="K691" s="19" t="s">
        <v>20</v>
      </c>
      <c r="L691" s="24">
        <v>0.125</v>
      </c>
      <c r="M691" s="24">
        <v>0.05</v>
      </c>
      <c r="N691" s="18"/>
      <c r="O691" s="22" t="s">
        <v>20</v>
      </c>
      <c r="P691" s="18">
        <f t="shared" si="167"/>
        <v>0</v>
      </c>
      <c r="Q691" s="22" t="s">
        <v>20</v>
      </c>
      <c r="R691" s="23">
        <f t="shared" si="168"/>
        <v>0</v>
      </c>
      <c r="S691" s="23">
        <f t="shared" si="159"/>
        <v>0</v>
      </c>
    </row>
    <row r="692" spans="1:19" s="17" customFormat="1">
      <c r="A692" s="16" t="s">
        <v>621</v>
      </c>
      <c r="B692" s="17" t="s">
        <v>19</v>
      </c>
      <c r="C692" s="18"/>
      <c r="D692" s="19" t="s">
        <v>20</v>
      </c>
      <c r="E692" s="20"/>
      <c r="F692" s="21">
        <v>1</v>
      </c>
      <c r="G692" s="22" t="s">
        <v>21</v>
      </c>
      <c r="H692" s="21">
        <v>12</v>
      </c>
      <c r="I692" s="22" t="s">
        <v>20</v>
      </c>
      <c r="J692" s="23">
        <v>162000</v>
      </c>
      <c r="K692" s="19" t="s">
        <v>20</v>
      </c>
      <c r="L692" s="24">
        <v>0.125</v>
      </c>
      <c r="M692" s="24">
        <v>0.05</v>
      </c>
      <c r="N692" s="18"/>
      <c r="O692" s="22" t="s">
        <v>20</v>
      </c>
      <c r="P692" s="18">
        <f t="shared" si="167"/>
        <v>0</v>
      </c>
      <c r="Q692" s="22" t="s">
        <v>20</v>
      </c>
      <c r="R692" s="23">
        <f t="shared" si="168"/>
        <v>0</v>
      </c>
      <c r="S692" s="23">
        <f t="shared" si="159"/>
        <v>0</v>
      </c>
    </row>
    <row r="693" spans="1:19" s="17" customFormat="1">
      <c r="A693" s="16" t="s">
        <v>622</v>
      </c>
      <c r="B693" s="17" t="s">
        <v>19</v>
      </c>
      <c r="C693" s="18"/>
      <c r="D693" s="19" t="s">
        <v>20</v>
      </c>
      <c r="E693" s="20"/>
      <c r="F693" s="21">
        <v>1</v>
      </c>
      <c r="G693" s="22" t="s">
        <v>21</v>
      </c>
      <c r="H693" s="21">
        <v>36</v>
      </c>
      <c r="I693" s="22" t="s">
        <v>20</v>
      </c>
      <c r="J693" s="23">
        <v>58000</v>
      </c>
      <c r="K693" s="19" t="s">
        <v>20</v>
      </c>
      <c r="L693" s="24">
        <v>0.125</v>
      </c>
      <c r="M693" s="24">
        <v>0.05</v>
      </c>
      <c r="N693" s="18"/>
      <c r="O693" s="22" t="s">
        <v>20</v>
      </c>
      <c r="P693" s="18">
        <f t="shared" si="167"/>
        <v>0</v>
      </c>
      <c r="Q693" s="22" t="s">
        <v>20</v>
      </c>
      <c r="R693" s="23">
        <f t="shared" si="168"/>
        <v>0</v>
      </c>
      <c r="S693" s="23">
        <f t="shared" si="159"/>
        <v>0</v>
      </c>
    </row>
    <row r="694" spans="1:19" s="26" customFormat="1">
      <c r="A694" s="25" t="s">
        <v>623</v>
      </c>
      <c r="B694" s="26" t="s">
        <v>19</v>
      </c>
      <c r="C694" s="27">
        <v>12</v>
      </c>
      <c r="D694" s="28" t="s">
        <v>20</v>
      </c>
      <c r="E694" s="29"/>
      <c r="F694" s="30">
        <v>1</v>
      </c>
      <c r="G694" s="31" t="s">
        <v>21</v>
      </c>
      <c r="H694" s="30">
        <v>12</v>
      </c>
      <c r="I694" s="31" t="s">
        <v>20</v>
      </c>
      <c r="J694" s="32">
        <v>97000</v>
      </c>
      <c r="K694" s="28" t="s">
        <v>20</v>
      </c>
      <c r="L694" s="33">
        <v>0.125</v>
      </c>
      <c r="M694" s="33">
        <v>0.05</v>
      </c>
      <c r="N694" s="27"/>
      <c r="O694" s="31" t="s">
        <v>20</v>
      </c>
      <c r="P694" s="27">
        <f t="shared" si="167"/>
        <v>12</v>
      </c>
      <c r="Q694" s="31" t="s">
        <v>20</v>
      </c>
      <c r="R694" s="32">
        <f t="shared" si="168"/>
        <v>967575</v>
      </c>
      <c r="S694" s="32">
        <f t="shared" si="159"/>
        <v>871689.18918918911</v>
      </c>
    </row>
    <row r="695" spans="1:19" s="26" customFormat="1">
      <c r="A695" s="25" t="s">
        <v>624</v>
      </c>
      <c r="B695" s="26" t="s">
        <v>19</v>
      </c>
      <c r="C695" s="27">
        <v>6</v>
      </c>
      <c r="D695" s="28" t="s">
        <v>20</v>
      </c>
      <c r="E695" s="29"/>
      <c r="F695" s="30">
        <v>1</v>
      </c>
      <c r="G695" s="31" t="s">
        <v>21</v>
      </c>
      <c r="H695" s="30">
        <v>12</v>
      </c>
      <c r="I695" s="31" t="s">
        <v>20</v>
      </c>
      <c r="J695" s="32">
        <v>95000</v>
      </c>
      <c r="K695" s="28" t="s">
        <v>20</v>
      </c>
      <c r="L695" s="33">
        <v>0.125</v>
      </c>
      <c r="M695" s="33">
        <v>0.05</v>
      </c>
      <c r="N695" s="27"/>
      <c r="O695" s="31" t="s">
        <v>20</v>
      </c>
      <c r="P695" s="27">
        <f t="shared" si="167"/>
        <v>6</v>
      </c>
      <c r="Q695" s="31" t="s">
        <v>20</v>
      </c>
      <c r="R695" s="32">
        <f t="shared" si="168"/>
        <v>473812.5</v>
      </c>
      <c r="S695" s="32">
        <f t="shared" si="159"/>
        <v>426858.10810810805</v>
      </c>
    </row>
    <row r="696" spans="1:19" s="17" customFormat="1">
      <c r="A696" s="16" t="s">
        <v>625</v>
      </c>
      <c r="B696" s="17" t="s">
        <v>19</v>
      </c>
      <c r="C696" s="18"/>
      <c r="D696" s="19" t="s">
        <v>20</v>
      </c>
      <c r="E696" s="20"/>
      <c r="F696" s="21">
        <v>1</v>
      </c>
      <c r="G696" s="22" t="s">
        <v>21</v>
      </c>
      <c r="H696" s="21">
        <v>6</v>
      </c>
      <c r="I696" s="22" t="s">
        <v>20</v>
      </c>
      <c r="J696" s="23">
        <v>187000</v>
      </c>
      <c r="K696" s="19" t="s">
        <v>20</v>
      </c>
      <c r="L696" s="24">
        <v>0.125</v>
      </c>
      <c r="M696" s="24">
        <v>0.05</v>
      </c>
      <c r="N696" s="18"/>
      <c r="O696" s="22" t="s">
        <v>20</v>
      </c>
      <c r="P696" s="18">
        <f t="shared" si="167"/>
        <v>0</v>
      </c>
      <c r="Q696" s="22" t="s">
        <v>20</v>
      </c>
      <c r="R696" s="23">
        <f t="shared" si="168"/>
        <v>0</v>
      </c>
      <c r="S696" s="23">
        <f t="shared" si="159"/>
        <v>0</v>
      </c>
    </row>
    <row r="697" spans="1:19" s="26" customFormat="1">
      <c r="A697" s="25" t="s">
        <v>626</v>
      </c>
      <c r="B697" s="26" t="s">
        <v>19</v>
      </c>
      <c r="C697" s="27">
        <v>6</v>
      </c>
      <c r="D697" s="28" t="s">
        <v>20</v>
      </c>
      <c r="E697" s="29"/>
      <c r="F697" s="30">
        <v>1</v>
      </c>
      <c r="G697" s="31" t="s">
        <v>21</v>
      </c>
      <c r="H697" s="30">
        <v>6</v>
      </c>
      <c r="I697" s="31" t="s">
        <v>20</v>
      </c>
      <c r="J697" s="32">
        <v>420000</v>
      </c>
      <c r="K697" s="28" t="s">
        <v>20</v>
      </c>
      <c r="L697" s="33">
        <v>0.125</v>
      </c>
      <c r="M697" s="33">
        <v>0.05</v>
      </c>
      <c r="N697" s="27"/>
      <c r="O697" s="31" t="s">
        <v>20</v>
      </c>
      <c r="P697" s="27">
        <f t="shared" si="167"/>
        <v>6</v>
      </c>
      <c r="Q697" s="31" t="s">
        <v>20</v>
      </c>
      <c r="R697" s="32">
        <f t="shared" si="168"/>
        <v>2094750</v>
      </c>
      <c r="S697" s="32">
        <f t="shared" si="159"/>
        <v>1887162.1621621619</v>
      </c>
    </row>
    <row r="698" spans="1:19" s="45" customFormat="1">
      <c r="A698" s="44" t="s">
        <v>627</v>
      </c>
      <c r="B698" s="45" t="s">
        <v>26</v>
      </c>
      <c r="C698" s="46"/>
      <c r="D698" s="47" t="s">
        <v>43</v>
      </c>
      <c r="E698" s="48">
        <f>4+6+5+5</f>
        <v>20</v>
      </c>
      <c r="F698" s="49">
        <v>1</v>
      </c>
      <c r="G698" s="50" t="s">
        <v>21</v>
      </c>
      <c r="H698" s="49">
        <v>20</v>
      </c>
      <c r="I698" s="50" t="s">
        <v>43</v>
      </c>
      <c r="J698" s="51">
        <f>1740000/20</f>
        <v>87000</v>
      </c>
      <c r="K698" s="47" t="s">
        <v>43</v>
      </c>
      <c r="L698" s="52"/>
      <c r="M698" s="52">
        <v>0.17</v>
      </c>
      <c r="N698" s="46">
        <f>20+10+20+20+60+60+5+20+5+60+40</f>
        <v>320</v>
      </c>
      <c r="O698" s="50" t="s">
        <v>43</v>
      </c>
      <c r="P698" s="46">
        <f t="shared" si="167"/>
        <v>80</v>
      </c>
      <c r="Q698" s="50" t="s">
        <v>43</v>
      </c>
      <c r="R698" s="51">
        <f t="shared" si="168"/>
        <v>5776800</v>
      </c>
      <c r="S698" s="51">
        <f t="shared" si="159"/>
        <v>5204324.3243243238</v>
      </c>
    </row>
    <row r="699" spans="1:19">
      <c r="A699" s="34" t="s">
        <v>628</v>
      </c>
      <c r="B699" s="2" t="s">
        <v>26</v>
      </c>
      <c r="C699" s="3">
        <v>180</v>
      </c>
      <c r="D699" s="4" t="s">
        <v>43</v>
      </c>
      <c r="F699" s="6">
        <v>1</v>
      </c>
      <c r="G699" s="7" t="s">
        <v>21</v>
      </c>
      <c r="H699" s="6">
        <v>20</v>
      </c>
      <c r="I699" s="7" t="s">
        <v>43</v>
      </c>
      <c r="J699" s="8">
        <f>1680000/20</f>
        <v>84000</v>
      </c>
      <c r="K699" s="4" t="s">
        <v>43</v>
      </c>
      <c r="M699" s="9">
        <v>0.17</v>
      </c>
      <c r="O699" s="7" t="s">
        <v>43</v>
      </c>
      <c r="P699" s="3">
        <f t="shared" si="167"/>
        <v>180</v>
      </c>
      <c r="Q699" s="7" t="s">
        <v>43</v>
      </c>
      <c r="R699" s="8">
        <f t="shared" si="168"/>
        <v>12549600</v>
      </c>
      <c r="S699" s="32">
        <f t="shared" si="159"/>
        <v>11305945.945945945</v>
      </c>
    </row>
    <row r="700" spans="1:19">
      <c r="A700" s="159" t="s">
        <v>629</v>
      </c>
      <c r="B700" s="160" t="s">
        <v>26</v>
      </c>
      <c r="C700" s="161">
        <v>58</v>
      </c>
      <c r="D700" s="162" t="s">
        <v>43</v>
      </c>
      <c r="E700" s="163"/>
      <c r="F700" s="164">
        <v>1</v>
      </c>
      <c r="G700" s="165" t="s">
        <v>21</v>
      </c>
      <c r="H700" s="164">
        <v>20</v>
      </c>
      <c r="I700" s="165" t="s">
        <v>43</v>
      </c>
      <c r="J700" s="166">
        <f>1680000/20</f>
        <v>84000</v>
      </c>
      <c r="K700" s="162" t="s">
        <v>43</v>
      </c>
      <c r="L700" s="167"/>
      <c r="M700" s="167">
        <v>0.17</v>
      </c>
      <c r="N700" s="161">
        <f>2+6+40</f>
        <v>48</v>
      </c>
      <c r="O700" s="165" t="s">
        <v>43</v>
      </c>
      <c r="P700" s="161">
        <f t="shared" si="167"/>
        <v>10</v>
      </c>
      <c r="Q700" s="165" t="s">
        <v>43</v>
      </c>
      <c r="R700" s="166">
        <f t="shared" si="168"/>
        <v>697200</v>
      </c>
      <c r="S700" s="42">
        <f t="shared" si="159"/>
        <v>628108.10810810805</v>
      </c>
    </row>
    <row r="701" spans="1:19">
      <c r="A701" s="159" t="s">
        <v>629</v>
      </c>
      <c r="B701" s="160" t="s">
        <v>26</v>
      </c>
      <c r="C701" s="161">
        <v>100</v>
      </c>
      <c r="D701" s="162" t="s">
        <v>43</v>
      </c>
      <c r="E701" s="163"/>
      <c r="F701" s="164">
        <v>1</v>
      </c>
      <c r="G701" s="165" t="s">
        <v>21</v>
      </c>
      <c r="H701" s="164">
        <v>20</v>
      </c>
      <c r="I701" s="165" t="s">
        <v>43</v>
      </c>
      <c r="J701" s="166">
        <f>1740000/20</f>
        <v>87000</v>
      </c>
      <c r="K701" s="162" t="s">
        <v>43</v>
      </c>
      <c r="L701" s="167"/>
      <c r="M701" s="167">
        <v>0.17</v>
      </c>
      <c r="N701" s="161"/>
      <c r="O701" s="165" t="s">
        <v>43</v>
      </c>
      <c r="P701" s="161">
        <f t="shared" si="167"/>
        <v>100</v>
      </c>
      <c r="Q701" s="165" t="s">
        <v>43</v>
      </c>
      <c r="R701" s="166">
        <f t="shared" si="168"/>
        <v>7221000</v>
      </c>
      <c r="S701" s="42">
        <f t="shared" si="159"/>
        <v>6505405.405405405</v>
      </c>
    </row>
    <row r="702" spans="1:19" s="63" customFormat="1">
      <c r="A702" s="72" t="s">
        <v>630</v>
      </c>
      <c r="B702" s="63" t="s">
        <v>26</v>
      </c>
      <c r="C702" s="64"/>
      <c r="D702" s="65" t="s">
        <v>43</v>
      </c>
      <c r="E702" s="66"/>
      <c r="F702" s="67">
        <v>1</v>
      </c>
      <c r="G702" s="68" t="s">
        <v>21</v>
      </c>
      <c r="H702" s="67">
        <v>20</v>
      </c>
      <c r="I702" s="68" t="s">
        <v>43</v>
      </c>
      <c r="J702" s="69">
        <f>2352000/20</f>
        <v>117600</v>
      </c>
      <c r="K702" s="65" t="s">
        <v>43</v>
      </c>
      <c r="L702" s="70"/>
      <c r="M702" s="70">
        <v>0.17</v>
      </c>
      <c r="N702" s="64"/>
      <c r="O702" s="232" t="s">
        <v>43</v>
      </c>
      <c r="P702" s="64">
        <f t="shared" si="167"/>
        <v>0</v>
      </c>
      <c r="Q702" s="68" t="s">
        <v>43</v>
      </c>
      <c r="R702" s="69">
        <f t="shared" si="168"/>
        <v>0</v>
      </c>
      <c r="S702" s="69">
        <f t="shared" si="159"/>
        <v>0</v>
      </c>
    </row>
    <row r="703" spans="1:19" s="63" customFormat="1">
      <c r="A703" s="72" t="s">
        <v>724</v>
      </c>
      <c r="B703" s="63" t="s">
        <v>26</v>
      </c>
      <c r="C703" s="64">
        <v>40</v>
      </c>
      <c r="D703" s="65" t="s">
        <v>43</v>
      </c>
      <c r="E703" s="66"/>
      <c r="F703" s="67">
        <v>1</v>
      </c>
      <c r="G703" s="68" t="s">
        <v>21</v>
      </c>
      <c r="H703" s="67">
        <v>20</v>
      </c>
      <c r="I703" s="68" t="s">
        <v>43</v>
      </c>
      <c r="J703" s="69">
        <f>2352000/20</f>
        <v>117600</v>
      </c>
      <c r="K703" s="65" t="s">
        <v>43</v>
      </c>
      <c r="L703" s="70"/>
      <c r="M703" s="70">
        <v>0.17</v>
      </c>
      <c r="N703" s="64">
        <f>20+20</f>
        <v>40</v>
      </c>
      <c r="O703" s="200" t="s">
        <v>43</v>
      </c>
      <c r="P703" s="64">
        <f t="shared" si="167"/>
        <v>0</v>
      </c>
      <c r="Q703" s="68" t="s">
        <v>43</v>
      </c>
      <c r="R703" s="69">
        <f t="shared" si="168"/>
        <v>0</v>
      </c>
      <c r="S703" s="69">
        <f t="shared" si="159"/>
        <v>0</v>
      </c>
    </row>
    <row r="704" spans="1:19" s="17" customFormat="1">
      <c r="A704" s="95" t="s">
        <v>631</v>
      </c>
      <c r="B704" s="96" t="s">
        <v>26</v>
      </c>
      <c r="C704" s="97">
        <v>4</v>
      </c>
      <c r="D704" s="98" t="s">
        <v>43</v>
      </c>
      <c r="E704" s="105"/>
      <c r="F704" s="100">
        <v>1</v>
      </c>
      <c r="G704" s="101" t="s">
        <v>21</v>
      </c>
      <c r="H704" s="100">
        <v>20</v>
      </c>
      <c r="I704" s="101" t="s">
        <v>43</v>
      </c>
      <c r="J704" s="102">
        <f>2280000/20</f>
        <v>114000</v>
      </c>
      <c r="K704" s="98" t="s">
        <v>43</v>
      </c>
      <c r="L704" s="103"/>
      <c r="M704" s="103">
        <v>0.17</v>
      </c>
      <c r="N704" s="97">
        <f>3+5-4</f>
        <v>4</v>
      </c>
      <c r="O704" s="101" t="s">
        <v>43</v>
      </c>
      <c r="P704" s="97">
        <f t="shared" si="167"/>
        <v>0</v>
      </c>
      <c r="Q704" s="101" t="s">
        <v>43</v>
      </c>
      <c r="R704" s="102">
        <f t="shared" si="168"/>
        <v>0</v>
      </c>
      <c r="S704" s="102">
        <f t="shared" si="159"/>
        <v>0</v>
      </c>
    </row>
    <row r="705" spans="1:19">
      <c r="A705" s="159" t="s">
        <v>631</v>
      </c>
      <c r="B705" s="160" t="s">
        <v>26</v>
      </c>
      <c r="C705" s="161">
        <v>80</v>
      </c>
      <c r="D705" s="162" t="s">
        <v>43</v>
      </c>
      <c r="E705" s="163">
        <v>5</v>
      </c>
      <c r="F705" s="164">
        <v>1</v>
      </c>
      <c r="G705" s="165" t="s">
        <v>21</v>
      </c>
      <c r="H705" s="164">
        <v>20</v>
      </c>
      <c r="I705" s="165" t="s">
        <v>43</v>
      </c>
      <c r="J705" s="166">
        <f>2352000/20</f>
        <v>117600</v>
      </c>
      <c r="K705" s="162" t="s">
        <v>43</v>
      </c>
      <c r="L705" s="167"/>
      <c r="M705" s="167">
        <v>0.17</v>
      </c>
      <c r="N705" s="161">
        <f>(5-1)+2+4+5</f>
        <v>15</v>
      </c>
      <c r="O705" s="165" t="s">
        <v>43</v>
      </c>
      <c r="P705" s="161">
        <f t="shared" si="167"/>
        <v>165</v>
      </c>
      <c r="Q705" s="165" t="s">
        <v>43</v>
      </c>
      <c r="R705" s="166">
        <f t="shared" si="168"/>
        <v>16105320</v>
      </c>
      <c r="S705" s="42">
        <f t="shared" si="159"/>
        <v>14509297.297297295</v>
      </c>
    </row>
    <row r="706" spans="1:19">
      <c r="A706" s="34" t="s">
        <v>632</v>
      </c>
      <c r="B706" s="2" t="s">
        <v>26</v>
      </c>
      <c r="C706" s="3">
        <v>26</v>
      </c>
      <c r="D706" s="4" t="s">
        <v>43</v>
      </c>
      <c r="F706" s="6">
        <v>1</v>
      </c>
      <c r="G706" s="7" t="s">
        <v>21</v>
      </c>
      <c r="H706" s="6">
        <v>40</v>
      </c>
      <c r="I706" s="7" t="s">
        <v>43</v>
      </c>
      <c r="J706" s="8">
        <f>2688000/40</f>
        <v>67200</v>
      </c>
      <c r="K706" s="4" t="s">
        <v>43</v>
      </c>
      <c r="M706" s="9">
        <v>0.17</v>
      </c>
      <c r="O706" s="7" t="s">
        <v>43</v>
      </c>
      <c r="P706" s="3">
        <f t="shared" si="167"/>
        <v>26</v>
      </c>
      <c r="Q706" s="7" t="s">
        <v>43</v>
      </c>
      <c r="R706" s="8">
        <f t="shared" si="168"/>
        <v>1450176</v>
      </c>
      <c r="S706" s="32">
        <f t="shared" si="159"/>
        <v>1306464.8648648649</v>
      </c>
    </row>
    <row r="707" spans="1:19" s="17" customFormat="1">
      <c r="A707" s="16" t="s">
        <v>633</v>
      </c>
      <c r="B707" s="17" t="s">
        <v>26</v>
      </c>
      <c r="C707" s="18"/>
      <c r="D707" s="19" t="s">
        <v>43</v>
      </c>
      <c r="E707" s="20"/>
      <c r="F707" s="21">
        <v>1</v>
      </c>
      <c r="G707" s="22" t="s">
        <v>21</v>
      </c>
      <c r="H707" s="21">
        <v>20</v>
      </c>
      <c r="I707" s="22" t="s">
        <v>43</v>
      </c>
      <c r="J707" s="23">
        <v>120000</v>
      </c>
      <c r="K707" s="19" t="s">
        <v>43</v>
      </c>
      <c r="L707" s="24"/>
      <c r="M707" s="24">
        <v>0.17</v>
      </c>
      <c r="N707" s="18"/>
      <c r="O707" s="22" t="s">
        <v>43</v>
      </c>
      <c r="P707" s="18">
        <f t="shared" si="167"/>
        <v>0</v>
      </c>
      <c r="Q707" s="22" t="s">
        <v>43</v>
      </c>
      <c r="R707" s="23">
        <f t="shared" si="168"/>
        <v>0</v>
      </c>
      <c r="S707" s="23">
        <f t="shared" si="159"/>
        <v>0</v>
      </c>
    </row>
    <row r="708" spans="1:19" s="17" customFormat="1">
      <c r="A708" s="95" t="s">
        <v>634</v>
      </c>
      <c r="B708" s="96" t="s">
        <v>26</v>
      </c>
      <c r="C708" s="97">
        <v>11</v>
      </c>
      <c r="D708" s="98" t="s">
        <v>43</v>
      </c>
      <c r="E708" s="105"/>
      <c r="F708" s="100">
        <v>1</v>
      </c>
      <c r="G708" s="101" t="s">
        <v>21</v>
      </c>
      <c r="H708" s="100">
        <v>25</v>
      </c>
      <c r="I708" s="101" t="s">
        <v>43</v>
      </c>
      <c r="J708" s="102">
        <f>1560000/25</f>
        <v>62400</v>
      </c>
      <c r="K708" s="98" t="s">
        <v>43</v>
      </c>
      <c r="L708" s="103"/>
      <c r="M708" s="103">
        <v>0.17</v>
      </c>
      <c r="N708" s="97">
        <f>25-14</f>
        <v>11</v>
      </c>
      <c r="O708" s="101" t="s">
        <v>43</v>
      </c>
      <c r="P708" s="97">
        <f t="shared" si="167"/>
        <v>0</v>
      </c>
      <c r="Q708" s="101" t="s">
        <v>43</v>
      </c>
      <c r="R708" s="102">
        <f t="shared" si="168"/>
        <v>0</v>
      </c>
      <c r="S708" s="102">
        <f t="shared" si="159"/>
        <v>0</v>
      </c>
    </row>
    <row r="709" spans="1:19" s="26" customFormat="1">
      <c r="A709" s="35" t="s">
        <v>634</v>
      </c>
      <c r="B709" s="36" t="s">
        <v>26</v>
      </c>
      <c r="C709" s="37"/>
      <c r="D709" s="38" t="s">
        <v>43</v>
      </c>
      <c r="E709" s="39">
        <f>1+2</f>
        <v>3</v>
      </c>
      <c r="F709" s="40">
        <v>1</v>
      </c>
      <c r="G709" s="41" t="s">
        <v>21</v>
      </c>
      <c r="H709" s="40">
        <v>25</v>
      </c>
      <c r="I709" s="41" t="s">
        <v>43</v>
      </c>
      <c r="J709" s="42">
        <f>1740000/25</f>
        <v>69600</v>
      </c>
      <c r="K709" s="38" t="s">
        <v>43</v>
      </c>
      <c r="L709" s="43"/>
      <c r="M709" s="43">
        <v>0.17</v>
      </c>
      <c r="N709" s="37">
        <f>(25-11)+5+25</f>
        <v>44</v>
      </c>
      <c r="O709" s="41" t="s">
        <v>43</v>
      </c>
      <c r="P709" s="37">
        <f t="shared" ref="P709" si="175">(C709+(E709*F709*H709))-N709</f>
        <v>31</v>
      </c>
      <c r="Q709" s="41" t="s">
        <v>43</v>
      </c>
      <c r="R709" s="42">
        <f t="shared" ref="R709" si="176">P709*(J709-(J709*L709)-((J709-(J709*L709))*M709))</f>
        <v>1790808</v>
      </c>
      <c r="S709" s="42">
        <f t="shared" ref="S709" si="177">R709/1.11</f>
        <v>1613340.5405405404</v>
      </c>
    </row>
    <row r="710" spans="1:19" s="45" customFormat="1">
      <c r="A710" s="44" t="s">
        <v>635</v>
      </c>
      <c r="B710" s="45" t="s">
        <v>26</v>
      </c>
      <c r="C710" s="46">
        <v>5</v>
      </c>
      <c r="D710" s="47" t="s">
        <v>43</v>
      </c>
      <c r="E710" s="48"/>
      <c r="F710" s="49">
        <v>1</v>
      </c>
      <c r="G710" s="50" t="s">
        <v>21</v>
      </c>
      <c r="H710" s="49">
        <v>10</v>
      </c>
      <c r="I710" s="50" t="s">
        <v>43</v>
      </c>
      <c r="J710" s="51">
        <f>2280000/10</f>
        <v>228000</v>
      </c>
      <c r="K710" s="47" t="s">
        <v>43</v>
      </c>
      <c r="L710" s="52"/>
      <c r="M710" s="52">
        <v>0.17</v>
      </c>
      <c r="N710" s="46"/>
      <c r="O710" s="50" t="s">
        <v>43</v>
      </c>
      <c r="P710" s="46">
        <f t="shared" si="167"/>
        <v>5</v>
      </c>
      <c r="Q710" s="50" t="s">
        <v>43</v>
      </c>
      <c r="R710" s="51">
        <f t="shared" si="168"/>
        <v>946200</v>
      </c>
      <c r="S710" s="32">
        <f t="shared" si="159"/>
        <v>852432.43243243231</v>
      </c>
    </row>
    <row r="711" spans="1:19" s="45" customFormat="1">
      <c r="A711" s="44" t="s">
        <v>636</v>
      </c>
      <c r="B711" s="45" t="s">
        <v>26</v>
      </c>
      <c r="C711" s="46">
        <v>10.5</v>
      </c>
      <c r="D711" s="47" t="s">
        <v>43</v>
      </c>
      <c r="E711" s="48">
        <v>5</v>
      </c>
      <c r="F711" s="49">
        <v>1</v>
      </c>
      <c r="G711" s="50" t="s">
        <v>21</v>
      </c>
      <c r="H711" s="49">
        <v>10</v>
      </c>
      <c r="I711" s="50" t="s">
        <v>43</v>
      </c>
      <c r="J711" s="51">
        <f>2280000/10</f>
        <v>228000</v>
      </c>
      <c r="K711" s="47" t="s">
        <v>43</v>
      </c>
      <c r="L711" s="52"/>
      <c r="M711" s="52">
        <v>0.17</v>
      </c>
      <c r="N711" s="46">
        <f>1+3+5+2+1+2+(120/12)+10+3+1+(120/12)+(120/12)</f>
        <v>58</v>
      </c>
      <c r="O711" s="142" t="s">
        <v>43</v>
      </c>
      <c r="P711" s="46">
        <f t="shared" si="167"/>
        <v>2.5</v>
      </c>
      <c r="Q711" s="50" t="s">
        <v>43</v>
      </c>
      <c r="R711" s="51">
        <f t="shared" si="168"/>
        <v>473100</v>
      </c>
      <c r="S711" s="32">
        <f t="shared" si="159"/>
        <v>426216.21621621615</v>
      </c>
    </row>
    <row r="712" spans="1:19" s="45" customFormat="1">
      <c r="A712" s="44" t="s">
        <v>637</v>
      </c>
      <c r="B712" s="45" t="s">
        <v>26</v>
      </c>
      <c r="C712" s="46">
        <v>80</v>
      </c>
      <c r="D712" s="47" t="s">
        <v>43</v>
      </c>
      <c r="E712" s="48"/>
      <c r="F712" s="49">
        <v>1</v>
      </c>
      <c r="G712" s="50" t="s">
        <v>21</v>
      </c>
      <c r="H712" s="49">
        <v>10</v>
      </c>
      <c r="I712" s="50" t="s">
        <v>43</v>
      </c>
      <c r="J712" s="51">
        <f>2040000/10</f>
        <v>204000</v>
      </c>
      <c r="K712" s="47" t="s">
        <v>43</v>
      </c>
      <c r="L712" s="52"/>
      <c r="M712" s="52">
        <v>0.17</v>
      </c>
      <c r="N712" s="46"/>
      <c r="O712" s="50" t="s">
        <v>43</v>
      </c>
      <c r="P712" s="46">
        <f t="shared" si="167"/>
        <v>80</v>
      </c>
      <c r="Q712" s="50" t="s">
        <v>43</v>
      </c>
      <c r="R712" s="51">
        <f t="shared" si="168"/>
        <v>13545600</v>
      </c>
      <c r="S712" s="32">
        <f t="shared" si="159"/>
        <v>12203243.243243242</v>
      </c>
    </row>
    <row r="713" spans="1:19" s="85" customFormat="1">
      <c r="A713" s="84" t="s">
        <v>638</v>
      </c>
      <c r="B713" s="85" t="s">
        <v>26</v>
      </c>
      <c r="C713" s="86">
        <v>45</v>
      </c>
      <c r="D713" s="87" t="s">
        <v>43</v>
      </c>
      <c r="E713" s="92"/>
      <c r="F713" s="88">
        <v>1</v>
      </c>
      <c r="G713" s="89" t="s">
        <v>21</v>
      </c>
      <c r="H713" s="88">
        <v>10</v>
      </c>
      <c r="I713" s="89" t="s">
        <v>43</v>
      </c>
      <c r="J713" s="90">
        <f>2040000/10</f>
        <v>204000</v>
      </c>
      <c r="K713" s="87" t="s">
        <v>43</v>
      </c>
      <c r="L713" s="91"/>
      <c r="M713" s="91">
        <v>0.17</v>
      </c>
      <c r="N713" s="86"/>
      <c r="O713" s="89" t="s">
        <v>43</v>
      </c>
      <c r="P713" s="86">
        <f t="shared" si="167"/>
        <v>45</v>
      </c>
      <c r="Q713" s="89" t="s">
        <v>43</v>
      </c>
      <c r="R713" s="90">
        <f t="shared" si="168"/>
        <v>7619400</v>
      </c>
      <c r="S713" s="32">
        <f t="shared" si="159"/>
        <v>6864324.3243243238</v>
      </c>
    </row>
    <row r="714" spans="1:19" s="17" customFormat="1">
      <c r="A714" s="16" t="s">
        <v>639</v>
      </c>
      <c r="B714" s="17" t="s">
        <v>26</v>
      </c>
      <c r="C714" s="18"/>
      <c r="D714" s="19" t="s">
        <v>20</v>
      </c>
      <c r="E714" s="20"/>
      <c r="F714" s="21">
        <v>20</v>
      </c>
      <c r="G714" s="22" t="s">
        <v>34</v>
      </c>
      <c r="H714" s="21">
        <v>6</v>
      </c>
      <c r="I714" s="22" t="s">
        <v>20</v>
      </c>
      <c r="J714" s="23">
        <v>14500</v>
      </c>
      <c r="K714" s="19" t="s">
        <v>20</v>
      </c>
      <c r="L714" s="24"/>
      <c r="M714" s="24">
        <v>0.17</v>
      </c>
      <c r="N714" s="18"/>
      <c r="O714" s="22" t="s">
        <v>20</v>
      </c>
      <c r="P714" s="18">
        <f t="shared" si="167"/>
        <v>0</v>
      </c>
      <c r="Q714" s="22" t="s">
        <v>20</v>
      </c>
      <c r="R714" s="23">
        <f t="shared" si="168"/>
        <v>0</v>
      </c>
      <c r="S714" s="23">
        <f t="shared" si="159"/>
        <v>0</v>
      </c>
    </row>
    <row r="715" spans="1:19" s="45" customFormat="1">
      <c r="A715" s="44" t="s">
        <v>640</v>
      </c>
      <c r="B715" s="45" t="s">
        <v>26</v>
      </c>
      <c r="C715" s="46">
        <v>27</v>
      </c>
      <c r="D715" s="47" t="s">
        <v>20</v>
      </c>
      <c r="E715" s="48"/>
      <c r="F715" s="49">
        <v>1</v>
      </c>
      <c r="G715" s="50" t="s">
        <v>21</v>
      </c>
      <c r="H715" s="49">
        <v>6</v>
      </c>
      <c r="I715" s="50" t="s">
        <v>20</v>
      </c>
      <c r="J715" s="51">
        <f>2130000/6</f>
        <v>355000</v>
      </c>
      <c r="K715" s="47" t="s">
        <v>20</v>
      </c>
      <c r="L715" s="52"/>
      <c r="M715" s="52">
        <v>0.17</v>
      </c>
      <c r="N715" s="46"/>
      <c r="O715" s="50" t="s">
        <v>20</v>
      </c>
      <c r="P715" s="46">
        <f t="shared" si="167"/>
        <v>27</v>
      </c>
      <c r="Q715" s="50" t="s">
        <v>20</v>
      </c>
      <c r="R715" s="51">
        <f t="shared" si="168"/>
        <v>7955550</v>
      </c>
      <c r="S715" s="51">
        <f t="shared" si="159"/>
        <v>7167162.1621621614</v>
      </c>
    </row>
    <row r="716" spans="1:19" s="63" customFormat="1">
      <c r="A716" s="72" t="s">
        <v>641</v>
      </c>
      <c r="B716" s="63" t="s">
        <v>26</v>
      </c>
      <c r="C716" s="64"/>
      <c r="D716" s="65" t="s">
        <v>20</v>
      </c>
      <c r="E716" s="66"/>
      <c r="F716" s="67">
        <v>1</v>
      </c>
      <c r="G716" s="68" t="s">
        <v>21</v>
      </c>
      <c r="H716" s="67">
        <v>6</v>
      </c>
      <c r="I716" s="68" t="s">
        <v>20</v>
      </c>
      <c r="J716" s="69">
        <f>930000/6</f>
        <v>155000</v>
      </c>
      <c r="K716" s="65" t="s">
        <v>20</v>
      </c>
      <c r="L716" s="70"/>
      <c r="M716" s="70">
        <v>0.17</v>
      </c>
      <c r="N716" s="64"/>
      <c r="O716" s="68" t="s">
        <v>20</v>
      </c>
      <c r="P716" s="64">
        <f t="shared" si="167"/>
        <v>0</v>
      </c>
      <c r="Q716" s="68" t="s">
        <v>20</v>
      </c>
      <c r="R716" s="69">
        <f t="shared" si="168"/>
        <v>0</v>
      </c>
      <c r="S716" s="69">
        <f t="shared" si="159"/>
        <v>0</v>
      </c>
    </row>
    <row r="717" spans="1:19" s="45" customFormat="1">
      <c r="A717" s="44" t="s">
        <v>642</v>
      </c>
      <c r="B717" s="45" t="s">
        <v>26</v>
      </c>
      <c r="C717" s="46">
        <v>35</v>
      </c>
      <c r="D717" s="47" t="s">
        <v>20</v>
      </c>
      <c r="E717" s="48"/>
      <c r="F717" s="49">
        <v>1</v>
      </c>
      <c r="G717" s="50" t="s">
        <v>21</v>
      </c>
      <c r="H717" s="49">
        <v>6</v>
      </c>
      <c r="I717" s="50" t="s">
        <v>20</v>
      </c>
      <c r="J717" s="51">
        <f>480000/6</f>
        <v>80000</v>
      </c>
      <c r="K717" s="47" t="s">
        <v>20</v>
      </c>
      <c r="L717" s="52"/>
      <c r="M717" s="52">
        <v>0.17</v>
      </c>
      <c r="N717" s="46">
        <v>6</v>
      </c>
      <c r="O717" s="50" t="s">
        <v>20</v>
      </c>
      <c r="P717" s="46">
        <f t="shared" si="167"/>
        <v>29</v>
      </c>
      <c r="Q717" s="50" t="s">
        <v>20</v>
      </c>
      <c r="R717" s="51">
        <f t="shared" si="168"/>
        <v>1925600</v>
      </c>
      <c r="S717" s="51">
        <f t="shared" si="159"/>
        <v>1734774.7747747747</v>
      </c>
    </row>
    <row r="718" spans="1:19" s="17" customFormat="1">
      <c r="A718" s="16" t="s">
        <v>643</v>
      </c>
      <c r="B718" s="17" t="s">
        <v>26</v>
      </c>
      <c r="C718" s="18"/>
      <c r="D718" s="19" t="s">
        <v>20</v>
      </c>
      <c r="E718" s="20"/>
      <c r="F718" s="21">
        <v>1</v>
      </c>
      <c r="G718" s="22" t="s">
        <v>21</v>
      </c>
      <c r="H718" s="21">
        <v>6</v>
      </c>
      <c r="I718" s="22" t="s">
        <v>20</v>
      </c>
      <c r="J718" s="23">
        <f>990000/6</f>
        <v>165000</v>
      </c>
      <c r="K718" s="19" t="s">
        <v>20</v>
      </c>
      <c r="L718" s="24"/>
      <c r="M718" s="24">
        <v>0.17</v>
      </c>
      <c r="N718" s="18"/>
      <c r="O718" s="22" t="s">
        <v>20</v>
      </c>
      <c r="P718" s="18">
        <f t="shared" si="167"/>
        <v>0</v>
      </c>
      <c r="Q718" s="22" t="s">
        <v>20</v>
      </c>
      <c r="R718" s="23">
        <f t="shared" si="168"/>
        <v>0</v>
      </c>
      <c r="S718" s="23">
        <f t="shared" si="159"/>
        <v>0</v>
      </c>
    </row>
    <row r="719" spans="1:19" s="26" customFormat="1">
      <c r="A719" s="138" t="s">
        <v>644</v>
      </c>
      <c r="B719" s="26" t="s">
        <v>645</v>
      </c>
      <c r="C719" s="27">
        <v>72</v>
      </c>
      <c r="D719" s="28" t="s">
        <v>43</v>
      </c>
      <c r="E719" s="29"/>
      <c r="F719" s="30">
        <v>1</v>
      </c>
      <c r="G719" s="31" t="s">
        <v>21</v>
      </c>
      <c r="H719" s="30">
        <v>30</v>
      </c>
      <c r="I719" s="31" t="s">
        <v>43</v>
      </c>
      <c r="J719" s="32">
        <v>130000</v>
      </c>
      <c r="K719" s="28" t="s">
        <v>43</v>
      </c>
      <c r="L719" s="33">
        <v>0.17499999999999999</v>
      </c>
      <c r="M719" s="33">
        <v>0.03</v>
      </c>
      <c r="N719" s="27">
        <f>1+5+1+1+30</f>
        <v>38</v>
      </c>
      <c r="O719" s="31" t="s">
        <v>43</v>
      </c>
      <c r="P719" s="27">
        <f t="shared" si="167"/>
        <v>34</v>
      </c>
      <c r="Q719" s="31" t="s">
        <v>43</v>
      </c>
      <c r="R719" s="32">
        <f t="shared" si="168"/>
        <v>3537105</v>
      </c>
      <c r="S719" s="32">
        <f t="shared" si="159"/>
        <v>3186581.0810810807</v>
      </c>
    </row>
    <row r="720" spans="1:19" s="17" customFormat="1">
      <c r="A720" s="137" t="s">
        <v>646</v>
      </c>
      <c r="B720" s="17" t="s">
        <v>645</v>
      </c>
      <c r="C720" s="18">
        <v>3</v>
      </c>
      <c r="D720" s="19" t="s">
        <v>43</v>
      </c>
      <c r="E720" s="20"/>
      <c r="F720" s="21">
        <v>1</v>
      </c>
      <c r="G720" s="22" t="s">
        <v>21</v>
      </c>
      <c r="H720" s="21">
        <v>30</v>
      </c>
      <c r="I720" s="22" t="s">
        <v>43</v>
      </c>
      <c r="J720" s="23">
        <v>216000</v>
      </c>
      <c r="K720" s="19" t="s">
        <v>43</v>
      </c>
      <c r="L720" s="24"/>
      <c r="M720" s="24">
        <v>0.15</v>
      </c>
      <c r="N720" s="18">
        <f>1+1+1</f>
        <v>3</v>
      </c>
      <c r="O720" s="22" t="s">
        <v>43</v>
      </c>
      <c r="P720" s="18">
        <f t="shared" si="167"/>
        <v>0</v>
      </c>
      <c r="Q720" s="22" t="s">
        <v>43</v>
      </c>
      <c r="R720" s="23">
        <f t="shared" si="168"/>
        <v>0</v>
      </c>
      <c r="S720" s="23">
        <f t="shared" si="159"/>
        <v>0</v>
      </c>
    </row>
    <row r="721" spans="1:19" s="17" customFormat="1">
      <c r="A721" s="137" t="s">
        <v>647</v>
      </c>
      <c r="B721" s="17" t="s">
        <v>645</v>
      </c>
      <c r="C721" s="18"/>
      <c r="D721" s="19" t="s">
        <v>43</v>
      </c>
      <c r="E721" s="20"/>
      <c r="F721" s="21">
        <v>1</v>
      </c>
      <c r="G721" s="22" t="s">
        <v>21</v>
      </c>
      <c r="H721" s="21">
        <v>30</v>
      </c>
      <c r="I721" s="22" t="s">
        <v>43</v>
      </c>
      <c r="J721" s="23">
        <v>216000</v>
      </c>
      <c r="K721" s="19" t="s">
        <v>43</v>
      </c>
      <c r="L721" s="24"/>
      <c r="M721" s="24">
        <v>0.15</v>
      </c>
      <c r="N721" s="18"/>
      <c r="O721" s="22" t="s">
        <v>43</v>
      </c>
      <c r="P721" s="18">
        <f t="shared" si="167"/>
        <v>0</v>
      </c>
      <c r="Q721" s="22" t="s">
        <v>43</v>
      </c>
      <c r="R721" s="23">
        <f t="shared" si="168"/>
        <v>0</v>
      </c>
      <c r="S721" s="23">
        <f t="shared" si="159"/>
        <v>0</v>
      </c>
    </row>
    <row r="722" spans="1:19" s="17" customFormat="1">
      <c r="A722" s="137" t="s">
        <v>648</v>
      </c>
      <c r="B722" s="17" t="s">
        <v>645</v>
      </c>
      <c r="C722" s="18">
        <v>1</v>
      </c>
      <c r="D722" s="19" t="s">
        <v>43</v>
      </c>
      <c r="E722" s="20"/>
      <c r="F722" s="21">
        <v>1</v>
      </c>
      <c r="G722" s="22" t="s">
        <v>21</v>
      </c>
      <c r="H722" s="21">
        <v>30</v>
      </c>
      <c r="I722" s="22" t="s">
        <v>43</v>
      </c>
      <c r="J722" s="23">
        <v>220000</v>
      </c>
      <c r="K722" s="19" t="s">
        <v>43</v>
      </c>
      <c r="L722" s="24"/>
      <c r="M722" s="24">
        <v>0.15</v>
      </c>
      <c r="N722" s="18">
        <v>1</v>
      </c>
      <c r="O722" s="22" t="s">
        <v>43</v>
      </c>
      <c r="P722" s="18">
        <f t="shared" si="167"/>
        <v>0</v>
      </c>
      <c r="Q722" s="22" t="s">
        <v>43</v>
      </c>
      <c r="R722" s="23">
        <f t="shared" si="168"/>
        <v>0</v>
      </c>
      <c r="S722" s="23">
        <f t="shared" si="159"/>
        <v>0</v>
      </c>
    </row>
    <row r="723" spans="1:19" s="26" customFormat="1">
      <c r="A723" s="138" t="s">
        <v>649</v>
      </c>
      <c r="B723" s="26" t="s">
        <v>645</v>
      </c>
      <c r="C723" s="27">
        <v>3</v>
      </c>
      <c r="D723" s="28" t="s">
        <v>43</v>
      </c>
      <c r="E723" s="29"/>
      <c r="F723" s="30">
        <v>1</v>
      </c>
      <c r="G723" s="31" t="s">
        <v>21</v>
      </c>
      <c r="H723" s="30">
        <v>20</v>
      </c>
      <c r="I723" s="31" t="s">
        <v>43</v>
      </c>
      <c r="J723" s="32">
        <v>285600</v>
      </c>
      <c r="K723" s="28" t="s">
        <v>43</v>
      </c>
      <c r="L723" s="33">
        <v>0.17499999999999999</v>
      </c>
      <c r="M723" s="33">
        <v>0.03</v>
      </c>
      <c r="N723" s="27"/>
      <c r="O723" s="31" t="s">
        <v>43</v>
      </c>
      <c r="P723" s="27">
        <f t="shared" si="167"/>
        <v>3</v>
      </c>
      <c r="Q723" s="31" t="s">
        <v>43</v>
      </c>
      <c r="R723" s="32">
        <f t="shared" si="168"/>
        <v>685654.2</v>
      </c>
      <c r="S723" s="32">
        <f t="shared" si="159"/>
        <v>617706.48648648639</v>
      </c>
    </row>
    <row r="724" spans="1:19" s="26" customFormat="1">
      <c r="A724" s="138" t="s">
        <v>650</v>
      </c>
      <c r="B724" s="45" t="s">
        <v>192</v>
      </c>
      <c r="C724" s="27">
        <v>99</v>
      </c>
      <c r="D724" s="28" t="s">
        <v>43</v>
      </c>
      <c r="E724" s="29"/>
      <c r="F724" s="30">
        <v>1</v>
      </c>
      <c r="G724" s="31" t="s">
        <v>21</v>
      </c>
      <c r="H724" s="30">
        <v>5</v>
      </c>
      <c r="I724" s="31" t="s">
        <v>43</v>
      </c>
      <c r="J724" s="32">
        <v>250000</v>
      </c>
      <c r="K724" s="28" t="s">
        <v>43</v>
      </c>
      <c r="L724" s="33"/>
      <c r="M724" s="33"/>
      <c r="N724" s="27">
        <v>1</v>
      </c>
      <c r="O724" s="228" t="s">
        <v>43</v>
      </c>
      <c r="P724" s="27">
        <f t="shared" si="167"/>
        <v>98</v>
      </c>
      <c r="Q724" s="31" t="s">
        <v>43</v>
      </c>
      <c r="R724" s="32">
        <f t="shared" si="168"/>
        <v>24500000</v>
      </c>
      <c r="S724" s="32">
        <f t="shared" si="159"/>
        <v>22072072.07207207</v>
      </c>
    </row>
    <row r="725" spans="1:19">
      <c r="A725" s="15" t="s">
        <v>651</v>
      </c>
      <c r="S725" s="23"/>
    </row>
    <row r="726" spans="1:19" s="45" customFormat="1">
      <c r="A726" s="44" t="s">
        <v>653</v>
      </c>
      <c r="B726" s="45" t="s">
        <v>645</v>
      </c>
      <c r="C726" s="46">
        <v>4444</v>
      </c>
      <c r="D726" s="47" t="s">
        <v>104</v>
      </c>
      <c r="E726" s="48"/>
      <c r="F726" s="49">
        <v>1</v>
      </c>
      <c r="G726" s="50" t="s">
        <v>21</v>
      </c>
      <c r="H726" s="49">
        <v>100</v>
      </c>
      <c r="I726" s="50" t="s">
        <v>104</v>
      </c>
      <c r="J726" s="51">
        <v>14000</v>
      </c>
      <c r="K726" s="47" t="s">
        <v>104</v>
      </c>
      <c r="L726" s="52">
        <v>0.1</v>
      </c>
      <c r="M726" s="52"/>
      <c r="N726" s="46">
        <f>500+200+400+200+500+200</f>
        <v>2000</v>
      </c>
      <c r="O726" s="50" t="s">
        <v>104</v>
      </c>
      <c r="P726" s="46">
        <f t="shared" ref="P726:P733" si="178">(C726+(E726*F726*H726))-N726</f>
        <v>2444</v>
      </c>
      <c r="Q726" s="50" t="s">
        <v>104</v>
      </c>
      <c r="R726" s="51">
        <f t="shared" ref="R726:R733" si="179">P726*(J726-(J726*L726)-((J726-(J726*L726))*M726))</f>
        <v>30794400</v>
      </c>
      <c r="S726" s="51">
        <f t="shared" ref="S726:S799" si="180">R726/1.11</f>
        <v>27742702.702702701</v>
      </c>
    </row>
    <row r="727" spans="1:19" s="45" customFormat="1">
      <c r="A727" s="44" t="s">
        <v>654</v>
      </c>
      <c r="B727" s="45" t="s">
        <v>645</v>
      </c>
      <c r="C727" s="46">
        <v>575</v>
      </c>
      <c r="D727" s="47" t="s">
        <v>104</v>
      </c>
      <c r="E727" s="48">
        <v>5</v>
      </c>
      <c r="F727" s="49">
        <v>1</v>
      </c>
      <c r="G727" s="50" t="s">
        <v>21</v>
      </c>
      <c r="H727" s="49">
        <v>50</v>
      </c>
      <c r="I727" s="50" t="s">
        <v>104</v>
      </c>
      <c r="J727" s="51">
        <v>24000</v>
      </c>
      <c r="K727" s="47" t="s">
        <v>104</v>
      </c>
      <c r="L727" s="52"/>
      <c r="M727" s="52"/>
      <c r="N727" s="46">
        <f>50+20+50</f>
        <v>120</v>
      </c>
      <c r="O727" s="50" t="s">
        <v>104</v>
      </c>
      <c r="P727" s="46">
        <f t="shared" si="178"/>
        <v>705</v>
      </c>
      <c r="Q727" s="50" t="s">
        <v>104</v>
      </c>
      <c r="R727" s="51">
        <f t="shared" si="179"/>
        <v>16920000</v>
      </c>
      <c r="S727" s="51">
        <f t="shared" si="180"/>
        <v>15243243.243243242</v>
      </c>
    </row>
    <row r="728" spans="1:19" s="26" customFormat="1">
      <c r="A728" s="25" t="s">
        <v>652</v>
      </c>
      <c r="B728" s="26" t="s">
        <v>19</v>
      </c>
      <c r="C728" s="27">
        <v>44</v>
      </c>
      <c r="D728" s="28" t="s">
        <v>34</v>
      </c>
      <c r="E728" s="29"/>
      <c r="F728" s="30">
        <v>1</v>
      </c>
      <c r="G728" s="31" t="s">
        <v>21</v>
      </c>
      <c r="H728" s="30">
        <v>50</v>
      </c>
      <c r="I728" s="31" t="s">
        <v>34</v>
      </c>
      <c r="J728" s="32">
        <v>28000</v>
      </c>
      <c r="K728" s="28" t="s">
        <v>34</v>
      </c>
      <c r="L728" s="33">
        <v>0.125</v>
      </c>
      <c r="M728" s="33">
        <v>0.05</v>
      </c>
      <c r="N728" s="27">
        <v>12</v>
      </c>
      <c r="O728" s="31" t="s">
        <v>34</v>
      </c>
      <c r="P728" s="27">
        <f>(C728+(E728*F728*H728))-N728</f>
        <v>32</v>
      </c>
      <c r="Q728" s="31" t="s">
        <v>34</v>
      </c>
      <c r="R728" s="32">
        <f>P728*(J728-(J728*L728)-((J728-(J728*L728))*M728))</f>
        <v>744800</v>
      </c>
      <c r="S728" s="32">
        <f>R728/1.11</f>
        <v>670990.99099099089</v>
      </c>
    </row>
    <row r="729" spans="1:19" s="17" customFormat="1">
      <c r="A729" s="109" t="s">
        <v>655</v>
      </c>
      <c r="B729" s="17" t="s">
        <v>26</v>
      </c>
      <c r="C729" s="18"/>
      <c r="D729" s="19" t="s">
        <v>34</v>
      </c>
      <c r="E729" s="20"/>
      <c r="F729" s="21">
        <v>40</v>
      </c>
      <c r="G729" s="22" t="s">
        <v>104</v>
      </c>
      <c r="H729" s="21">
        <v>20</v>
      </c>
      <c r="I729" s="22" t="s">
        <v>34</v>
      </c>
      <c r="J729" s="23">
        <f>20000/20</f>
        <v>1000</v>
      </c>
      <c r="K729" s="19" t="s">
        <v>34</v>
      </c>
      <c r="L729" s="24"/>
      <c r="M729" s="24">
        <v>0.17</v>
      </c>
      <c r="N729" s="18"/>
      <c r="O729" s="22" t="s">
        <v>34</v>
      </c>
      <c r="P729" s="18">
        <f>(C729+(E729*F729*H729))-N729</f>
        <v>0</v>
      </c>
      <c r="Q729" s="22" t="s">
        <v>34</v>
      </c>
      <c r="R729" s="23">
        <f>P729*(J729-(J729*L729)-((J729-(J729*L729))*M729))</f>
        <v>0</v>
      </c>
      <c r="S729" s="23">
        <f t="shared" si="180"/>
        <v>0</v>
      </c>
    </row>
    <row r="730" spans="1:19" s="45" customFormat="1">
      <c r="A730" s="108" t="s">
        <v>656</v>
      </c>
      <c r="B730" s="45" t="s">
        <v>26</v>
      </c>
      <c r="C730" s="46">
        <v>40</v>
      </c>
      <c r="D730" s="47" t="s">
        <v>104</v>
      </c>
      <c r="E730" s="48"/>
      <c r="F730" s="49">
        <v>1</v>
      </c>
      <c r="G730" s="50" t="s">
        <v>21</v>
      </c>
      <c r="H730" s="49">
        <v>20</v>
      </c>
      <c r="I730" s="50" t="s">
        <v>104</v>
      </c>
      <c r="J730" s="51">
        <f>840000/20</f>
        <v>42000</v>
      </c>
      <c r="K730" s="47" t="s">
        <v>104</v>
      </c>
      <c r="L730" s="52"/>
      <c r="M730" s="52">
        <v>0.17</v>
      </c>
      <c r="N730" s="46"/>
      <c r="O730" s="50" t="s">
        <v>104</v>
      </c>
      <c r="P730" s="46">
        <f>(C730+(E730*F730*H730))-N730</f>
        <v>40</v>
      </c>
      <c r="Q730" s="50" t="s">
        <v>104</v>
      </c>
      <c r="R730" s="51">
        <f>P730*(J730-(J730*L730)-((J730-(J730*L730))*M730))</f>
        <v>1394400</v>
      </c>
      <c r="S730" s="51">
        <f t="shared" si="180"/>
        <v>1256216.2162162161</v>
      </c>
    </row>
    <row r="731" spans="1:19" s="16" customFormat="1">
      <c r="A731" s="72" t="s">
        <v>657</v>
      </c>
      <c r="B731" s="16" t="s">
        <v>26</v>
      </c>
      <c r="C731" s="129"/>
      <c r="D731" s="130" t="s">
        <v>104</v>
      </c>
      <c r="E731" s="131"/>
      <c r="F731" s="132">
        <v>1</v>
      </c>
      <c r="G731" s="133" t="s">
        <v>21</v>
      </c>
      <c r="H731" s="132">
        <v>15</v>
      </c>
      <c r="I731" s="133" t="s">
        <v>104</v>
      </c>
      <c r="J731" s="134">
        <f>525000/15</f>
        <v>35000</v>
      </c>
      <c r="K731" s="130" t="s">
        <v>104</v>
      </c>
      <c r="L731" s="135"/>
      <c r="M731" s="135">
        <v>0.17</v>
      </c>
      <c r="N731" s="129"/>
      <c r="O731" s="133" t="s">
        <v>104</v>
      </c>
      <c r="P731" s="129">
        <f>(C731+(E731*F731*H731))-N731</f>
        <v>0</v>
      </c>
      <c r="Q731" s="133" t="s">
        <v>104</v>
      </c>
      <c r="R731" s="134">
        <f>P731*(J731-(J731*L731)-((J731-(J731*L731))*M731))</f>
        <v>0</v>
      </c>
      <c r="S731" s="134">
        <f t="shared" si="180"/>
        <v>0</v>
      </c>
    </row>
    <row r="732" spans="1:19" s="63" customFormat="1">
      <c r="A732" s="109" t="s">
        <v>658</v>
      </c>
      <c r="B732" s="63" t="s">
        <v>659</v>
      </c>
      <c r="C732" s="64">
        <f>440+60</f>
        <v>500</v>
      </c>
      <c r="D732" s="65" t="s">
        <v>34</v>
      </c>
      <c r="E732" s="66"/>
      <c r="F732" s="67">
        <v>1</v>
      </c>
      <c r="G732" s="68" t="s">
        <v>21</v>
      </c>
      <c r="H732" s="67">
        <v>200</v>
      </c>
      <c r="I732" s="68" t="s">
        <v>34</v>
      </c>
      <c r="J732" s="69">
        <v>11500</v>
      </c>
      <c r="K732" s="65" t="s">
        <v>104</v>
      </c>
      <c r="L732" s="70">
        <v>0.17499999999999999</v>
      </c>
      <c r="M732" s="70">
        <v>0.03</v>
      </c>
      <c r="N732" s="64">
        <f>(50*10)</f>
        <v>500</v>
      </c>
      <c r="O732" s="68" t="s">
        <v>34</v>
      </c>
      <c r="P732" s="64">
        <f t="shared" si="178"/>
        <v>0</v>
      </c>
      <c r="Q732" s="68" t="s">
        <v>34</v>
      </c>
      <c r="R732" s="69">
        <f t="shared" si="179"/>
        <v>0</v>
      </c>
      <c r="S732" s="23">
        <f t="shared" si="180"/>
        <v>0</v>
      </c>
    </row>
    <row r="733" spans="1:19" s="45" customFormat="1">
      <c r="A733" s="108" t="s">
        <v>736</v>
      </c>
      <c r="B733" s="45" t="s">
        <v>659</v>
      </c>
      <c r="C733" s="46">
        <v>400</v>
      </c>
      <c r="D733" s="47" t="s">
        <v>34</v>
      </c>
      <c r="E733" s="48"/>
      <c r="F733" s="49">
        <v>1</v>
      </c>
      <c r="G733" s="50" t="s">
        <v>21</v>
      </c>
      <c r="H733" s="49">
        <v>200</v>
      </c>
      <c r="I733" s="50" t="s">
        <v>34</v>
      </c>
      <c r="J733" s="51">
        <v>13800</v>
      </c>
      <c r="K733" s="47" t="s">
        <v>104</v>
      </c>
      <c r="L733" s="52">
        <v>0.17499999999999999</v>
      </c>
      <c r="M733" s="52">
        <v>0.03</v>
      </c>
      <c r="N733" s="46"/>
      <c r="O733" s="50" t="s">
        <v>34</v>
      </c>
      <c r="P733" s="46">
        <f t="shared" si="178"/>
        <v>400</v>
      </c>
      <c r="Q733" s="50" t="s">
        <v>34</v>
      </c>
      <c r="R733" s="51">
        <f t="shared" si="179"/>
        <v>4417380</v>
      </c>
      <c r="S733" s="32">
        <f t="shared" si="180"/>
        <v>3979621.6216216213</v>
      </c>
    </row>
    <row r="734" spans="1:19">
      <c r="S734" s="23"/>
    </row>
    <row r="735" spans="1:19" ht="15.75">
      <c r="A735" s="14" t="s">
        <v>660</v>
      </c>
      <c r="S735" s="23"/>
    </row>
    <row r="736" spans="1:19" s="26" customFormat="1">
      <c r="A736" s="94" t="s">
        <v>661</v>
      </c>
      <c r="B736" s="26" t="s">
        <v>182</v>
      </c>
      <c r="C736" s="27">
        <v>383</v>
      </c>
      <c r="D736" s="28" t="s">
        <v>104</v>
      </c>
      <c r="E736" s="29"/>
      <c r="F736" s="30">
        <v>1</v>
      </c>
      <c r="G736" s="31" t="s">
        <v>21</v>
      </c>
      <c r="H736" s="30">
        <v>60</v>
      </c>
      <c r="I736" s="31" t="s">
        <v>104</v>
      </c>
      <c r="J736" s="32">
        <v>8600</v>
      </c>
      <c r="K736" s="28" t="s">
        <v>104</v>
      </c>
      <c r="L736" s="33">
        <v>0.05</v>
      </c>
      <c r="M736" s="33"/>
      <c r="N736" s="27"/>
      <c r="O736" s="31" t="s">
        <v>104</v>
      </c>
      <c r="P736" s="27">
        <f t="shared" ref="P736:P754" si="181">(C736+(E736*F736*H736))-N736</f>
        <v>383</v>
      </c>
      <c r="Q736" s="31" t="s">
        <v>104</v>
      </c>
      <c r="R736" s="32">
        <f t="shared" ref="R736:R754" si="182">P736*(J736-(J736*L736)-((J736-(J736*L736))*M736))</f>
        <v>3129110</v>
      </c>
      <c r="S736" s="32">
        <f t="shared" si="180"/>
        <v>2819018.018018018</v>
      </c>
    </row>
    <row r="737" spans="1:19" s="17" customFormat="1">
      <c r="A737" s="93" t="s">
        <v>666</v>
      </c>
      <c r="B737" s="17" t="s">
        <v>19</v>
      </c>
      <c r="C737" s="18"/>
      <c r="D737" s="19" t="s">
        <v>34</v>
      </c>
      <c r="E737" s="20"/>
      <c r="F737" s="21">
        <v>1</v>
      </c>
      <c r="G737" s="22" t="s">
        <v>21</v>
      </c>
      <c r="H737" s="21">
        <v>50</v>
      </c>
      <c r="I737" s="22" t="s">
        <v>34</v>
      </c>
      <c r="J737" s="23">
        <v>31200</v>
      </c>
      <c r="K737" s="19" t="s">
        <v>34</v>
      </c>
      <c r="L737" s="24">
        <v>0.125</v>
      </c>
      <c r="M737" s="24">
        <v>0.05</v>
      </c>
      <c r="N737" s="18"/>
      <c r="O737" s="22" t="s">
        <v>34</v>
      </c>
      <c r="P737" s="18">
        <f>(C737+(E737*F737*H737))-N737</f>
        <v>0</v>
      </c>
      <c r="Q737" s="22" t="s">
        <v>34</v>
      </c>
      <c r="R737" s="23">
        <f>P737*(J737-(J737*L737)-((J737-(J737*L737))*M737))</f>
        <v>0</v>
      </c>
      <c r="S737" s="23">
        <f>R737/1.11</f>
        <v>0</v>
      </c>
    </row>
    <row r="738" spans="1:19" s="17" customFormat="1">
      <c r="A738" s="93" t="s">
        <v>667</v>
      </c>
      <c r="B738" s="17" t="s">
        <v>19</v>
      </c>
      <c r="C738" s="18"/>
      <c r="D738" s="19" t="s">
        <v>34</v>
      </c>
      <c r="E738" s="20"/>
      <c r="F738" s="21">
        <v>1</v>
      </c>
      <c r="G738" s="22" t="s">
        <v>21</v>
      </c>
      <c r="H738" s="21">
        <v>50</v>
      </c>
      <c r="I738" s="22" t="s">
        <v>34</v>
      </c>
      <c r="J738" s="23">
        <v>12000</v>
      </c>
      <c r="K738" s="19" t="s">
        <v>34</v>
      </c>
      <c r="L738" s="24">
        <v>0.125</v>
      </c>
      <c r="M738" s="24">
        <v>0.05</v>
      </c>
      <c r="N738" s="18"/>
      <c r="O738" s="22" t="s">
        <v>34</v>
      </c>
      <c r="P738" s="18">
        <f>(C738+(E738*F738*H738))-N738</f>
        <v>0</v>
      </c>
      <c r="Q738" s="22" t="s">
        <v>34</v>
      </c>
      <c r="R738" s="23">
        <f>P738*(J738-(J738*L738)-((J738-(J738*L738))*M738))</f>
        <v>0</v>
      </c>
      <c r="S738" s="23">
        <f>R738/1.11</f>
        <v>0</v>
      </c>
    </row>
    <row r="739" spans="1:19" s="26" customFormat="1">
      <c r="A739" s="94" t="s">
        <v>829</v>
      </c>
      <c r="B739" s="26" t="s">
        <v>19</v>
      </c>
      <c r="C739" s="27"/>
      <c r="D739" s="28" t="s">
        <v>34</v>
      </c>
      <c r="E739" s="29">
        <v>2</v>
      </c>
      <c r="F739" s="30">
        <v>1</v>
      </c>
      <c r="G739" s="31" t="s">
        <v>21</v>
      </c>
      <c r="H739" s="30">
        <v>50</v>
      </c>
      <c r="I739" s="31" t="s">
        <v>34</v>
      </c>
      <c r="J739" s="32">
        <v>29100</v>
      </c>
      <c r="K739" s="28" t="s">
        <v>34</v>
      </c>
      <c r="L739" s="33">
        <v>0.125</v>
      </c>
      <c r="M739" s="33">
        <v>0.05</v>
      </c>
      <c r="N739" s="27"/>
      <c r="O739" s="31" t="s">
        <v>34</v>
      </c>
      <c r="P739" s="27">
        <f>(C739+(E739*F739*H739))-N739</f>
        <v>100</v>
      </c>
      <c r="Q739" s="31" t="s">
        <v>34</v>
      </c>
      <c r="R739" s="32">
        <f>P739*(J739-(J739*L739)-((J739-(J739*L739))*M739))</f>
        <v>2418937.5</v>
      </c>
      <c r="S739" s="32">
        <f>R739/1.11</f>
        <v>2179222.9729729728</v>
      </c>
    </row>
    <row r="740" spans="1:19" s="17" customFormat="1">
      <c r="A740" s="93" t="s">
        <v>668</v>
      </c>
      <c r="B740" s="17" t="s">
        <v>19</v>
      </c>
      <c r="C740" s="18"/>
      <c r="D740" s="19" t="s">
        <v>34</v>
      </c>
      <c r="E740" s="20"/>
      <c r="F740" s="21">
        <v>1</v>
      </c>
      <c r="G740" s="22" t="s">
        <v>21</v>
      </c>
      <c r="H740" s="21">
        <v>50</v>
      </c>
      <c r="I740" s="22" t="s">
        <v>34</v>
      </c>
      <c r="J740" s="23">
        <v>36200</v>
      </c>
      <c r="K740" s="19" t="s">
        <v>34</v>
      </c>
      <c r="L740" s="24">
        <v>0.125</v>
      </c>
      <c r="M740" s="24">
        <v>0.05</v>
      </c>
      <c r="N740" s="18"/>
      <c r="O740" s="22" t="s">
        <v>34</v>
      </c>
      <c r="P740" s="18">
        <f>(C740+(E740*F740*H740))-N740</f>
        <v>0</v>
      </c>
      <c r="Q740" s="22" t="s">
        <v>34</v>
      </c>
      <c r="R740" s="23">
        <f>P740*(J740-(J740*L740)-((J740-(J740*L740))*M740))</f>
        <v>0</v>
      </c>
      <c r="S740" s="23">
        <f>R740/1.11</f>
        <v>0</v>
      </c>
    </row>
    <row r="741" spans="1:19" s="45" customFormat="1">
      <c r="A741" s="94" t="s">
        <v>662</v>
      </c>
      <c r="B741" s="45" t="s">
        <v>19</v>
      </c>
      <c r="C741" s="46"/>
      <c r="D741" s="47" t="s">
        <v>34</v>
      </c>
      <c r="E741" s="48">
        <f>2+10+1+3</f>
        <v>16</v>
      </c>
      <c r="F741" s="49">
        <v>1</v>
      </c>
      <c r="G741" s="50" t="s">
        <v>21</v>
      </c>
      <c r="H741" s="49">
        <v>50</v>
      </c>
      <c r="I741" s="50" t="s">
        <v>34</v>
      </c>
      <c r="J741" s="51">
        <v>34100</v>
      </c>
      <c r="K741" s="47" t="s">
        <v>34</v>
      </c>
      <c r="L741" s="52">
        <v>0.125</v>
      </c>
      <c r="M741" s="52">
        <v>0.05</v>
      </c>
      <c r="N741" s="46">
        <f>5+1+1+100+250+50+100+150</f>
        <v>657</v>
      </c>
      <c r="O741" s="50" t="s">
        <v>34</v>
      </c>
      <c r="P741" s="46">
        <f t="shared" si="181"/>
        <v>143</v>
      </c>
      <c r="Q741" s="50" t="s">
        <v>34</v>
      </c>
      <c r="R741" s="51">
        <f t="shared" si="182"/>
        <v>4053424.375</v>
      </c>
      <c r="S741" s="32">
        <f t="shared" si="180"/>
        <v>3651733.6711711707</v>
      </c>
    </row>
    <row r="742" spans="1:19" s="45" customFormat="1">
      <c r="A742" s="44" t="s">
        <v>663</v>
      </c>
      <c r="B742" s="45" t="s">
        <v>19</v>
      </c>
      <c r="C742" s="46"/>
      <c r="D742" s="47" t="s">
        <v>34</v>
      </c>
      <c r="E742" s="48">
        <f>1+2</f>
        <v>3</v>
      </c>
      <c r="F742" s="49">
        <v>1</v>
      </c>
      <c r="G742" s="50" t="s">
        <v>21</v>
      </c>
      <c r="H742" s="49">
        <v>50</v>
      </c>
      <c r="I742" s="50" t="s">
        <v>34</v>
      </c>
      <c r="J742" s="51">
        <v>34100</v>
      </c>
      <c r="K742" s="47" t="s">
        <v>34</v>
      </c>
      <c r="L742" s="52">
        <v>0.125</v>
      </c>
      <c r="M742" s="52">
        <v>0.05</v>
      </c>
      <c r="N742" s="46">
        <v>50</v>
      </c>
      <c r="O742" s="50" t="s">
        <v>34</v>
      </c>
      <c r="P742" s="46">
        <f t="shared" si="181"/>
        <v>100</v>
      </c>
      <c r="Q742" s="50" t="s">
        <v>34</v>
      </c>
      <c r="R742" s="51">
        <f t="shared" si="182"/>
        <v>2834562.5</v>
      </c>
      <c r="S742" s="51">
        <f t="shared" si="180"/>
        <v>2553659.9099099096</v>
      </c>
    </row>
    <row r="743" spans="1:19" s="45" customFormat="1">
      <c r="A743" s="44" t="s">
        <v>664</v>
      </c>
      <c r="B743" s="45" t="s">
        <v>19</v>
      </c>
      <c r="C743" s="46">
        <v>52</v>
      </c>
      <c r="D743" s="47" t="s">
        <v>34</v>
      </c>
      <c r="E743" s="48">
        <v>2</v>
      </c>
      <c r="F743" s="49">
        <v>1</v>
      </c>
      <c r="G743" s="50" t="s">
        <v>21</v>
      </c>
      <c r="H743" s="49">
        <v>50</v>
      </c>
      <c r="I743" s="50" t="s">
        <v>34</v>
      </c>
      <c r="J743" s="51">
        <v>32000</v>
      </c>
      <c r="K743" s="47" t="s">
        <v>34</v>
      </c>
      <c r="L743" s="52">
        <v>0.125</v>
      </c>
      <c r="M743" s="52">
        <v>0.05</v>
      </c>
      <c r="N743" s="46">
        <v>1</v>
      </c>
      <c r="O743" s="50" t="s">
        <v>34</v>
      </c>
      <c r="P743" s="46">
        <f t="shared" si="181"/>
        <v>151</v>
      </c>
      <c r="Q743" s="50" t="s">
        <v>34</v>
      </c>
      <c r="R743" s="51">
        <f t="shared" si="182"/>
        <v>4016600</v>
      </c>
      <c r="S743" s="51">
        <f t="shared" si="180"/>
        <v>3618558.5585585581</v>
      </c>
    </row>
    <row r="744" spans="1:19" s="85" customFormat="1">
      <c r="A744" s="94" t="s">
        <v>665</v>
      </c>
      <c r="B744" s="85" t="s">
        <v>19</v>
      </c>
      <c r="C744" s="86">
        <v>62</v>
      </c>
      <c r="D744" s="87" t="s">
        <v>34</v>
      </c>
      <c r="E744" s="92">
        <f>1+2</f>
        <v>3</v>
      </c>
      <c r="F744" s="88">
        <v>1</v>
      </c>
      <c r="G744" s="89" t="s">
        <v>21</v>
      </c>
      <c r="H744" s="88">
        <v>50</v>
      </c>
      <c r="I744" s="89" t="s">
        <v>34</v>
      </c>
      <c r="J744" s="90">
        <v>32000</v>
      </c>
      <c r="K744" s="87" t="s">
        <v>34</v>
      </c>
      <c r="L744" s="91">
        <v>0.125</v>
      </c>
      <c r="M744" s="91">
        <v>0.05</v>
      </c>
      <c r="N744" s="86">
        <f>2+50+2+50</f>
        <v>104</v>
      </c>
      <c r="O744" s="89" t="s">
        <v>34</v>
      </c>
      <c r="P744" s="86">
        <f t="shared" si="181"/>
        <v>108</v>
      </c>
      <c r="Q744" s="89" t="s">
        <v>34</v>
      </c>
      <c r="R744" s="90">
        <f t="shared" si="182"/>
        <v>2872800</v>
      </c>
      <c r="S744" s="32">
        <f t="shared" si="180"/>
        <v>2588108.1081081079</v>
      </c>
    </row>
    <row r="745" spans="1:19" s="45" customFormat="1">
      <c r="A745" s="94" t="s">
        <v>669</v>
      </c>
      <c r="B745" s="45" t="s">
        <v>19</v>
      </c>
      <c r="C745" s="46">
        <v>184</v>
      </c>
      <c r="D745" s="47" t="s">
        <v>34</v>
      </c>
      <c r="E745" s="48">
        <f>2+10+1+10+5</f>
        <v>28</v>
      </c>
      <c r="F745" s="49">
        <v>1</v>
      </c>
      <c r="G745" s="50" t="s">
        <v>21</v>
      </c>
      <c r="H745" s="49">
        <v>50</v>
      </c>
      <c r="I745" s="50" t="s">
        <v>34</v>
      </c>
      <c r="J745" s="51">
        <v>28300</v>
      </c>
      <c r="K745" s="47" t="s">
        <v>34</v>
      </c>
      <c r="L745" s="52">
        <v>0.125</v>
      </c>
      <c r="M745" s="52">
        <v>0.05</v>
      </c>
      <c r="N745" s="46">
        <f>5+100+250+50+50+150+50</f>
        <v>655</v>
      </c>
      <c r="O745" s="50" t="s">
        <v>34</v>
      </c>
      <c r="P745" s="46">
        <f t="shared" si="181"/>
        <v>929</v>
      </c>
      <c r="Q745" s="50" t="s">
        <v>34</v>
      </c>
      <c r="R745" s="51">
        <f t="shared" si="182"/>
        <v>21854144.375</v>
      </c>
      <c r="S745" s="51">
        <f t="shared" si="180"/>
        <v>19688418.355855852</v>
      </c>
    </row>
    <row r="746" spans="1:19" s="45" customFormat="1">
      <c r="A746" s="94" t="s">
        <v>670</v>
      </c>
      <c r="B746" s="45" t="s">
        <v>19</v>
      </c>
      <c r="C746" s="46"/>
      <c r="D746" s="47" t="s">
        <v>34</v>
      </c>
      <c r="E746" s="48">
        <f>2+5</f>
        <v>7</v>
      </c>
      <c r="F746" s="49">
        <v>1</v>
      </c>
      <c r="G746" s="50" t="s">
        <v>21</v>
      </c>
      <c r="H746" s="49">
        <v>50</v>
      </c>
      <c r="I746" s="50" t="s">
        <v>34</v>
      </c>
      <c r="J746" s="51">
        <v>28300</v>
      </c>
      <c r="K746" s="47" t="s">
        <v>34</v>
      </c>
      <c r="L746" s="52">
        <v>0.125</v>
      </c>
      <c r="M746" s="52">
        <v>0.05</v>
      </c>
      <c r="N746" s="46">
        <v>100</v>
      </c>
      <c r="O746" s="50" t="s">
        <v>34</v>
      </c>
      <c r="P746" s="46">
        <f t="shared" si="181"/>
        <v>250</v>
      </c>
      <c r="Q746" s="50" t="s">
        <v>34</v>
      </c>
      <c r="R746" s="51">
        <f t="shared" si="182"/>
        <v>5881093.75</v>
      </c>
      <c r="S746" s="51">
        <f t="shared" si="180"/>
        <v>5298282.6576576568</v>
      </c>
    </row>
    <row r="747" spans="1:19" s="17" customFormat="1">
      <c r="A747" s="93" t="s">
        <v>671</v>
      </c>
      <c r="B747" s="17" t="s">
        <v>19</v>
      </c>
      <c r="C747" s="18"/>
      <c r="D747" s="19" t="s">
        <v>34</v>
      </c>
      <c r="E747" s="20"/>
      <c r="F747" s="21">
        <v>1</v>
      </c>
      <c r="G747" s="22" t="s">
        <v>21</v>
      </c>
      <c r="H747" s="21">
        <v>50</v>
      </c>
      <c r="I747" s="22" t="s">
        <v>34</v>
      </c>
      <c r="J747" s="23">
        <v>26500</v>
      </c>
      <c r="K747" s="19" t="s">
        <v>34</v>
      </c>
      <c r="L747" s="24">
        <v>0.125</v>
      </c>
      <c r="M747" s="24">
        <v>0.05</v>
      </c>
      <c r="N747" s="18"/>
      <c r="O747" s="22" t="s">
        <v>34</v>
      </c>
      <c r="P747" s="18">
        <f t="shared" si="181"/>
        <v>0</v>
      </c>
      <c r="Q747" s="22" t="s">
        <v>34</v>
      </c>
      <c r="R747" s="23">
        <f t="shared" si="182"/>
        <v>0</v>
      </c>
      <c r="S747" s="23">
        <f t="shared" si="180"/>
        <v>0</v>
      </c>
    </row>
    <row r="748" spans="1:19" s="45" customFormat="1">
      <c r="A748" s="107" t="s">
        <v>672</v>
      </c>
      <c r="B748" s="45" t="s">
        <v>26</v>
      </c>
      <c r="C748" s="46">
        <v>103</v>
      </c>
      <c r="D748" s="47" t="s">
        <v>34</v>
      </c>
      <c r="E748" s="48">
        <v>2</v>
      </c>
      <c r="F748" s="49">
        <v>1</v>
      </c>
      <c r="G748" s="50" t="s">
        <v>21</v>
      </c>
      <c r="H748" s="49">
        <v>50</v>
      </c>
      <c r="I748" s="50" t="s">
        <v>34</v>
      </c>
      <c r="J748" s="51">
        <f>1500000/50</f>
        <v>30000</v>
      </c>
      <c r="K748" s="47" t="s">
        <v>34</v>
      </c>
      <c r="L748" s="52"/>
      <c r="M748" s="52">
        <v>0.17</v>
      </c>
      <c r="N748" s="46">
        <v>100</v>
      </c>
      <c r="O748" s="50" t="s">
        <v>34</v>
      </c>
      <c r="P748" s="46">
        <f t="shared" si="181"/>
        <v>103</v>
      </c>
      <c r="Q748" s="50" t="s">
        <v>34</v>
      </c>
      <c r="R748" s="51">
        <f t="shared" si="182"/>
        <v>2564700</v>
      </c>
      <c r="S748" s="51">
        <f t="shared" si="180"/>
        <v>2310540.5405405401</v>
      </c>
    </row>
    <row r="749" spans="1:19" s="17" customFormat="1">
      <c r="A749" s="242" t="s">
        <v>673</v>
      </c>
      <c r="B749" s="96" t="s">
        <v>26</v>
      </c>
      <c r="C749" s="97">
        <v>143</v>
      </c>
      <c r="D749" s="98" t="s">
        <v>34</v>
      </c>
      <c r="E749" s="105"/>
      <c r="F749" s="100">
        <v>1</v>
      </c>
      <c r="G749" s="101" t="s">
        <v>21</v>
      </c>
      <c r="H749" s="100">
        <v>50</v>
      </c>
      <c r="I749" s="101" t="s">
        <v>34</v>
      </c>
      <c r="J749" s="102">
        <f>1375000/50</f>
        <v>27500</v>
      </c>
      <c r="K749" s="98" t="s">
        <v>34</v>
      </c>
      <c r="L749" s="103"/>
      <c r="M749" s="103">
        <v>0.17</v>
      </c>
      <c r="N749" s="97">
        <f>10+200-67</f>
        <v>143</v>
      </c>
      <c r="O749" s="101" t="s">
        <v>34</v>
      </c>
      <c r="P749" s="97">
        <f t="shared" si="181"/>
        <v>0</v>
      </c>
      <c r="Q749" s="101" t="s">
        <v>34</v>
      </c>
      <c r="R749" s="102">
        <f t="shared" si="182"/>
        <v>0</v>
      </c>
      <c r="S749" s="102">
        <f t="shared" si="180"/>
        <v>0</v>
      </c>
    </row>
    <row r="750" spans="1:19" s="26" customFormat="1">
      <c r="A750" s="209" t="s">
        <v>673</v>
      </c>
      <c r="B750" s="36" t="s">
        <v>26</v>
      </c>
      <c r="C750" s="37"/>
      <c r="D750" s="38" t="s">
        <v>34</v>
      </c>
      <c r="E750" s="39">
        <f>1+4+1</f>
        <v>6</v>
      </c>
      <c r="F750" s="40">
        <v>1</v>
      </c>
      <c r="G750" s="41" t="s">
        <v>21</v>
      </c>
      <c r="H750" s="40">
        <v>50</v>
      </c>
      <c r="I750" s="41" t="s">
        <v>34</v>
      </c>
      <c r="J750" s="42">
        <f>1500000/50</f>
        <v>30000</v>
      </c>
      <c r="K750" s="38" t="s">
        <v>34</v>
      </c>
      <c r="L750" s="43"/>
      <c r="M750" s="43">
        <v>0.17</v>
      </c>
      <c r="N750" s="37">
        <f>(200-133)+50+50+50</f>
        <v>217</v>
      </c>
      <c r="O750" s="41" t="s">
        <v>34</v>
      </c>
      <c r="P750" s="37">
        <f t="shared" ref="P750" si="183">(C750+(E750*F750*H750))-N750</f>
        <v>83</v>
      </c>
      <c r="Q750" s="41" t="s">
        <v>34</v>
      </c>
      <c r="R750" s="42">
        <f t="shared" ref="R750" si="184">P750*(J750-(J750*L750)-((J750-(J750*L750))*M750))</f>
        <v>2066700</v>
      </c>
      <c r="S750" s="42">
        <f t="shared" ref="S750" si="185">R750/1.11</f>
        <v>1861891.8918918918</v>
      </c>
    </row>
    <row r="751" spans="1:19" s="17" customFormat="1">
      <c r="A751" s="93" t="s">
        <v>674</v>
      </c>
      <c r="B751" s="17" t="s">
        <v>26</v>
      </c>
      <c r="C751" s="18"/>
      <c r="D751" s="19" t="s">
        <v>34</v>
      </c>
      <c r="E751" s="20"/>
      <c r="F751" s="21">
        <v>1</v>
      </c>
      <c r="G751" s="22" t="s">
        <v>21</v>
      </c>
      <c r="H751" s="21">
        <v>50</v>
      </c>
      <c r="I751" s="22" t="s">
        <v>34</v>
      </c>
      <c r="J751" s="23">
        <v>28500</v>
      </c>
      <c r="K751" s="19" t="s">
        <v>34</v>
      </c>
      <c r="L751" s="24"/>
      <c r="M751" s="24">
        <v>0.17</v>
      </c>
      <c r="N751" s="18"/>
      <c r="O751" s="22" t="s">
        <v>34</v>
      </c>
      <c r="P751" s="18">
        <f t="shared" si="181"/>
        <v>0</v>
      </c>
      <c r="Q751" s="22" t="s">
        <v>34</v>
      </c>
      <c r="R751" s="23">
        <f t="shared" si="182"/>
        <v>0</v>
      </c>
      <c r="S751" s="23">
        <f t="shared" si="180"/>
        <v>0</v>
      </c>
    </row>
    <row r="752" spans="1:19" s="17" customFormat="1">
      <c r="A752" s="93" t="s">
        <v>675</v>
      </c>
      <c r="B752" s="17" t="s">
        <v>26</v>
      </c>
      <c r="C752" s="18"/>
      <c r="D752" s="19" t="s">
        <v>34</v>
      </c>
      <c r="E752" s="20"/>
      <c r="F752" s="21">
        <v>1</v>
      </c>
      <c r="G752" s="22" t="s">
        <v>21</v>
      </c>
      <c r="H752" s="21">
        <v>50</v>
      </c>
      <c r="I752" s="22" t="s">
        <v>34</v>
      </c>
      <c r="J752" s="23">
        <v>28500</v>
      </c>
      <c r="K752" s="19" t="s">
        <v>34</v>
      </c>
      <c r="L752" s="24"/>
      <c r="M752" s="24">
        <v>0.17</v>
      </c>
      <c r="N752" s="18"/>
      <c r="O752" s="22" t="s">
        <v>34</v>
      </c>
      <c r="P752" s="18">
        <f t="shared" si="181"/>
        <v>0</v>
      </c>
      <c r="Q752" s="22" t="s">
        <v>34</v>
      </c>
      <c r="R752" s="23">
        <f t="shared" si="182"/>
        <v>0</v>
      </c>
      <c r="S752" s="23">
        <f t="shared" si="180"/>
        <v>0</v>
      </c>
    </row>
    <row r="753" spans="1:19" s="45" customFormat="1">
      <c r="A753" s="107" t="s">
        <v>676</v>
      </c>
      <c r="B753" s="45" t="s">
        <v>26</v>
      </c>
      <c r="C753" s="46">
        <v>230</v>
      </c>
      <c r="D753" s="47" t="s">
        <v>34</v>
      </c>
      <c r="E753" s="48"/>
      <c r="F753" s="49">
        <v>1</v>
      </c>
      <c r="G753" s="50" t="s">
        <v>21</v>
      </c>
      <c r="H753" s="49">
        <v>50</v>
      </c>
      <c r="I753" s="50" t="s">
        <v>34</v>
      </c>
      <c r="J753" s="51">
        <f>1375000/50</f>
        <v>27500</v>
      </c>
      <c r="K753" s="47" t="s">
        <v>34</v>
      </c>
      <c r="L753" s="52"/>
      <c r="M753" s="52">
        <v>0.17</v>
      </c>
      <c r="N753" s="46">
        <f>5+10+10</f>
        <v>25</v>
      </c>
      <c r="O753" s="50" t="s">
        <v>34</v>
      </c>
      <c r="P753" s="46">
        <f t="shared" si="181"/>
        <v>205</v>
      </c>
      <c r="Q753" s="50" t="s">
        <v>34</v>
      </c>
      <c r="R753" s="51">
        <f t="shared" si="182"/>
        <v>4679125</v>
      </c>
      <c r="S753" s="51">
        <f t="shared" si="180"/>
        <v>4215427.9279279271</v>
      </c>
    </row>
    <row r="754" spans="1:19" s="45" customFormat="1">
      <c r="A754" s="107" t="s">
        <v>677</v>
      </c>
      <c r="B754" s="45" t="s">
        <v>26</v>
      </c>
      <c r="C754" s="46">
        <v>20</v>
      </c>
      <c r="D754" s="47" t="s">
        <v>34</v>
      </c>
      <c r="E754" s="48"/>
      <c r="F754" s="49">
        <v>1</v>
      </c>
      <c r="G754" s="50" t="s">
        <v>21</v>
      </c>
      <c r="H754" s="49">
        <v>50</v>
      </c>
      <c r="I754" s="50" t="s">
        <v>34</v>
      </c>
      <c r="J754" s="51">
        <f>1375000/50</f>
        <v>27500</v>
      </c>
      <c r="K754" s="47" t="s">
        <v>34</v>
      </c>
      <c r="L754" s="52"/>
      <c r="M754" s="52">
        <v>0.17</v>
      </c>
      <c r="N754" s="46"/>
      <c r="O754" s="50" t="s">
        <v>34</v>
      </c>
      <c r="P754" s="46">
        <f t="shared" si="181"/>
        <v>20</v>
      </c>
      <c r="Q754" s="50" t="s">
        <v>34</v>
      </c>
      <c r="R754" s="51">
        <f t="shared" si="182"/>
        <v>456500</v>
      </c>
      <c r="S754" s="51">
        <f t="shared" si="180"/>
        <v>411261.26126126124</v>
      </c>
    </row>
    <row r="755" spans="1:19">
      <c r="S755" s="23"/>
    </row>
    <row r="756" spans="1:19" ht="15.75">
      <c r="A756" s="14" t="s">
        <v>678</v>
      </c>
      <c r="S756" s="23"/>
    </row>
    <row r="757" spans="1:19">
      <c r="A757" s="15" t="s">
        <v>679</v>
      </c>
      <c r="S757" s="23"/>
    </row>
    <row r="758" spans="1:19" s="63" customFormat="1">
      <c r="A758" s="111" t="s">
        <v>680</v>
      </c>
      <c r="B758" s="63" t="s">
        <v>192</v>
      </c>
      <c r="C758" s="64">
        <v>36</v>
      </c>
      <c r="D758" s="65" t="s">
        <v>292</v>
      </c>
      <c r="E758" s="66"/>
      <c r="F758" s="67">
        <v>1</v>
      </c>
      <c r="G758" s="68" t="s">
        <v>21</v>
      </c>
      <c r="H758" s="67">
        <v>720</v>
      </c>
      <c r="I758" s="68" t="s">
        <v>292</v>
      </c>
      <c r="J758" s="69">
        <v>3100</v>
      </c>
      <c r="K758" s="65" t="s">
        <v>292</v>
      </c>
      <c r="L758" s="70"/>
      <c r="M758" s="70">
        <v>0.15</v>
      </c>
      <c r="N758" s="64">
        <v>36</v>
      </c>
      <c r="O758" s="68" t="s">
        <v>292</v>
      </c>
      <c r="P758" s="64">
        <f t="shared" ref="P758:P766" si="186">(C758+(E758*F758*H758))-N758</f>
        <v>0</v>
      </c>
      <c r="Q758" s="68" t="s">
        <v>292</v>
      </c>
      <c r="R758" s="69">
        <f t="shared" ref="R758:R766" si="187">P758*(J758-(J758*L758)-((J758-(J758*L758))*M758))</f>
        <v>0</v>
      </c>
      <c r="S758" s="23">
        <f t="shared" si="180"/>
        <v>0</v>
      </c>
    </row>
    <row r="759" spans="1:19" s="63" customFormat="1">
      <c r="A759" s="111" t="s">
        <v>681</v>
      </c>
      <c r="B759" s="63" t="s">
        <v>192</v>
      </c>
      <c r="C759" s="64"/>
      <c r="D759" s="65" t="s">
        <v>292</v>
      </c>
      <c r="E759" s="66"/>
      <c r="F759" s="67">
        <v>1</v>
      </c>
      <c r="G759" s="68" t="s">
        <v>21</v>
      </c>
      <c r="H759" s="67">
        <v>480</v>
      </c>
      <c r="I759" s="68" t="s">
        <v>292</v>
      </c>
      <c r="J759" s="69">
        <v>4750</v>
      </c>
      <c r="K759" s="65" t="s">
        <v>292</v>
      </c>
      <c r="L759" s="70"/>
      <c r="M759" s="70">
        <v>0.15</v>
      </c>
      <c r="N759" s="64"/>
      <c r="O759" s="68" t="s">
        <v>292</v>
      </c>
      <c r="P759" s="64">
        <f t="shared" si="186"/>
        <v>0</v>
      </c>
      <c r="Q759" s="68" t="s">
        <v>292</v>
      </c>
      <c r="R759" s="69">
        <f t="shared" si="187"/>
        <v>0</v>
      </c>
      <c r="S759" s="23">
        <f t="shared" si="180"/>
        <v>0</v>
      </c>
    </row>
    <row r="760" spans="1:19" s="17" customFormat="1">
      <c r="A760" s="111" t="s">
        <v>682</v>
      </c>
      <c r="B760" s="63" t="s">
        <v>192</v>
      </c>
      <c r="C760" s="18">
        <v>36</v>
      </c>
      <c r="D760" s="19" t="s">
        <v>292</v>
      </c>
      <c r="E760" s="20"/>
      <c r="F760" s="21">
        <v>1</v>
      </c>
      <c r="G760" s="22" t="s">
        <v>21</v>
      </c>
      <c r="H760" s="21">
        <v>360</v>
      </c>
      <c r="I760" s="22" t="s">
        <v>292</v>
      </c>
      <c r="J760" s="23">
        <v>6000</v>
      </c>
      <c r="K760" s="19" t="s">
        <v>292</v>
      </c>
      <c r="L760" s="24"/>
      <c r="M760" s="24">
        <v>0.15</v>
      </c>
      <c r="N760" s="64">
        <v>36</v>
      </c>
      <c r="O760" s="22" t="s">
        <v>292</v>
      </c>
      <c r="P760" s="18">
        <f t="shared" si="186"/>
        <v>0</v>
      </c>
      <c r="Q760" s="22" t="s">
        <v>292</v>
      </c>
      <c r="R760" s="23">
        <f t="shared" si="187"/>
        <v>0</v>
      </c>
      <c r="S760" s="23">
        <f t="shared" si="180"/>
        <v>0</v>
      </c>
    </row>
    <row r="761" spans="1:19" s="17" customFormat="1">
      <c r="A761" s="93" t="s">
        <v>683</v>
      </c>
      <c r="B761" s="17" t="s">
        <v>19</v>
      </c>
      <c r="C761" s="18"/>
      <c r="D761" s="19" t="s">
        <v>292</v>
      </c>
      <c r="E761" s="20"/>
      <c r="F761" s="21">
        <v>10</v>
      </c>
      <c r="G761" s="22" t="s">
        <v>104</v>
      </c>
      <c r="H761" s="21">
        <v>24</v>
      </c>
      <c r="I761" s="22" t="s">
        <v>292</v>
      </c>
      <c r="J761" s="23">
        <v>2300</v>
      </c>
      <c r="K761" s="19" t="s">
        <v>292</v>
      </c>
      <c r="L761" s="24">
        <v>0.125</v>
      </c>
      <c r="M761" s="24">
        <v>0.05</v>
      </c>
      <c r="N761" s="18"/>
      <c r="O761" s="22" t="s">
        <v>292</v>
      </c>
      <c r="P761" s="18">
        <f t="shared" si="186"/>
        <v>0</v>
      </c>
      <c r="Q761" s="22" t="s">
        <v>292</v>
      </c>
      <c r="R761" s="23">
        <f t="shared" si="187"/>
        <v>0</v>
      </c>
      <c r="S761" s="23">
        <f t="shared" si="180"/>
        <v>0</v>
      </c>
    </row>
    <row r="762" spans="1:19" s="17" customFormat="1">
      <c r="A762" s="93" t="s">
        <v>684</v>
      </c>
      <c r="B762" s="17" t="s">
        <v>19</v>
      </c>
      <c r="C762" s="18"/>
      <c r="D762" s="19" t="s">
        <v>292</v>
      </c>
      <c r="E762" s="20"/>
      <c r="F762" s="21">
        <v>10</v>
      </c>
      <c r="G762" s="22" t="s">
        <v>104</v>
      </c>
      <c r="H762" s="21">
        <v>12</v>
      </c>
      <c r="I762" s="22" t="s">
        <v>292</v>
      </c>
      <c r="J762" s="23">
        <v>4600</v>
      </c>
      <c r="K762" s="19" t="s">
        <v>292</v>
      </c>
      <c r="L762" s="24">
        <v>0.125</v>
      </c>
      <c r="M762" s="24">
        <v>0.05</v>
      </c>
      <c r="N762" s="18"/>
      <c r="O762" s="22" t="s">
        <v>292</v>
      </c>
      <c r="P762" s="18">
        <f t="shared" si="186"/>
        <v>0</v>
      </c>
      <c r="Q762" s="22" t="s">
        <v>292</v>
      </c>
      <c r="R762" s="23">
        <f t="shared" si="187"/>
        <v>0</v>
      </c>
      <c r="S762" s="23">
        <f t="shared" si="180"/>
        <v>0</v>
      </c>
    </row>
    <row r="763" spans="1:19" s="17" customFormat="1">
      <c r="A763" s="109" t="s">
        <v>685</v>
      </c>
      <c r="B763" s="17" t="s">
        <v>26</v>
      </c>
      <c r="C763" s="18"/>
      <c r="D763" s="19" t="s">
        <v>292</v>
      </c>
      <c r="E763" s="20">
        <v>2</v>
      </c>
      <c r="F763" s="21">
        <v>1</v>
      </c>
      <c r="G763" s="22" t="s">
        <v>21</v>
      </c>
      <c r="H763" s="21">
        <v>480</v>
      </c>
      <c r="I763" s="22" t="s">
        <v>292</v>
      </c>
      <c r="J763" s="23">
        <f>588000/480</f>
        <v>1225</v>
      </c>
      <c r="K763" s="19" t="s">
        <v>292</v>
      </c>
      <c r="L763" s="24"/>
      <c r="M763" s="24">
        <v>0.17</v>
      </c>
      <c r="N763" s="18">
        <v>960</v>
      </c>
      <c r="O763" s="22" t="s">
        <v>292</v>
      </c>
      <c r="P763" s="18">
        <f t="shared" si="186"/>
        <v>0</v>
      </c>
      <c r="Q763" s="22" t="s">
        <v>292</v>
      </c>
      <c r="R763" s="23">
        <f t="shared" si="187"/>
        <v>0</v>
      </c>
      <c r="S763" s="23">
        <f t="shared" si="180"/>
        <v>0</v>
      </c>
    </row>
    <row r="764" spans="1:19" s="17" customFormat="1">
      <c r="A764" s="109" t="s">
        <v>686</v>
      </c>
      <c r="B764" s="17" t="s">
        <v>26</v>
      </c>
      <c r="C764" s="18"/>
      <c r="D764" s="19" t="s">
        <v>292</v>
      </c>
      <c r="E764" s="20">
        <v>1</v>
      </c>
      <c r="F764" s="21">
        <v>1</v>
      </c>
      <c r="G764" s="22" t="s">
        <v>21</v>
      </c>
      <c r="H764" s="21">
        <v>240</v>
      </c>
      <c r="I764" s="22" t="s">
        <v>292</v>
      </c>
      <c r="J764" s="23">
        <f>588000/240</f>
        <v>2450</v>
      </c>
      <c r="K764" s="19" t="s">
        <v>292</v>
      </c>
      <c r="L764" s="24"/>
      <c r="M764" s="24">
        <v>0.17</v>
      </c>
      <c r="N764" s="18">
        <v>240</v>
      </c>
      <c r="O764" s="22" t="s">
        <v>292</v>
      </c>
      <c r="P764" s="18">
        <f t="shared" si="186"/>
        <v>0</v>
      </c>
      <c r="Q764" s="22" t="s">
        <v>292</v>
      </c>
      <c r="R764" s="23">
        <f t="shared" si="187"/>
        <v>0</v>
      </c>
      <c r="S764" s="23">
        <f t="shared" si="180"/>
        <v>0</v>
      </c>
    </row>
    <row r="765" spans="1:19" s="17" customFormat="1">
      <c r="A765" s="109" t="s">
        <v>687</v>
      </c>
      <c r="B765" s="17" t="s">
        <v>26</v>
      </c>
      <c r="C765" s="18"/>
      <c r="D765" s="19" t="s">
        <v>292</v>
      </c>
      <c r="E765" s="20"/>
      <c r="F765" s="21">
        <v>1</v>
      </c>
      <c r="G765" s="22" t="s">
        <v>21</v>
      </c>
      <c r="H765" s="21">
        <v>120</v>
      </c>
      <c r="I765" s="22" t="s">
        <v>292</v>
      </c>
      <c r="J765" s="23">
        <v>4800</v>
      </c>
      <c r="K765" s="19" t="s">
        <v>292</v>
      </c>
      <c r="L765" s="24"/>
      <c r="M765" s="24">
        <v>0.17</v>
      </c>
      <c r="N765" s="18"/>
      <c r="O765" s="22" t="s">
        <v>292</v>
      </c>
      <c r="P765" s="18">
        <f t="shared" si="186"/>
        <v>0</v>
      </c>
      <c r="Q765" s="22" t="s">
        <v>292</v>
      </c>
      <c r="R765" s="23">
        <f t="shared" si="187"/>
        <v>0</v>
      </c>
      <c r="S765" s="23">
        <f t="shared" si="180"/>
        <v>0</v>
      </c>
    </row>
    <row r="766" spans="1:19" s="17" customFormat="1">
      <c r="A766" s="109" t="s">
        <v>688</v>
      </c>
      <c r="B766" s="17" t="s">
        <v>26</v>
      </c>
      <c r="C766" s="18"/>
      <c r="D766" s="19" t="s">
        <v>292</v>
      </c>
      <c r="E766" s="20"/>
      <c r="F766" s="21">
        <v>1</v>
      </c>
      <c r="G766" s="22" t="s">
        <v>21</v>
      </c>
      <c r="H766" s="21">
        <v>120</v>
      </c>
      <c r="I766" s="22" t="s">
        <v>292</v>
      </c>
      <c r="J766" s="23">
        <v>9500</v>
      </c>
      <c r="K766" s="19" t="s">
        <v>292</v>
      </c>
      <c r="L766" s="24"/>
      <c r="M766" s="24">
        <v>0.17</v>
      </c>
      <c r="N766" s="18"/>
      <c r="O766" s="22" t="s">
        <v>292</v>
      </c>
      <c r="P766" s="18">
        <f t="shared" si="186"/>
        <v>0</v>
      </c>
      <c r="Q766" s="22" t="s">
        <v>292</v>
      </c>
      <c r="R766" s="23">
        <f t="shared" si="187"/>
        <v>0</v>
      </c>
      <c r="S766" s="23">
        <f t="shared" si="180"/>
        <v>0</v>
      </c>
    </row>
    <row r="767" spans="1:19">
      <c r="A767" s="15" t="s">
        <v>689</v>
      </c>
      <c r="S767" s="23"/>
    </row>
    <row r="768" spans="1:19" s="85" customFormat="1">
      <c r="A768" s="159" t="s">
        <v>690</v>
      </c>
      <c r="B768" s="160" t="s">
        <v>26</v>
      </c>
      <c r="C768" s="161">
        <v>144</v>
      </c>
      <c r="D768" s="162" t="s">
        <v>292</v>
      </c>
      <c r="E768" s="163"/>
      <c r="F768" s="164">
        <v>1</v>
      </c>
      <c r="G768" s="165" t="s">
        <v>21</v>
      </c>
      <c r="H768" s="164">
        <v>72</v>
      </c>
      <c r="I768" s="165" t="s">
        <v>292</v>
      </c>
      <c r="J768" s="166">
        <f>900000/72</f>
        <v>12500</v>
      </c>
      <c r="K768" s="162" t="s">
        <v>292</v>
      </c>
      <c r="L768" s="167"/>
      <c r="M768" s="167">
        <v>0.17</v>
      </c>
      <c r="N768" s="161"/>
      <c r="O768" s="165" t="s">
        <v>292</v>
      </c>
      <c r="P768" s="161">
        <f>(C768+(E768*F768*H768))-N768</f>
        <v>144</v>
      </c>
      <c r="Q768" s="165" t="s">
        <v>292</v>
      </c>
      <c r="R768" s="166">
        <f>P768*(J768-(J768*L768)-((J768-(J768*L768))*M768))</f>
        <v>1494000</v>
      </c>
      <c r="S768" s="42">
        <f t="shared" si="180"/>
        <v>1345945.9459459458</v>
      </c>
    </row>
    <row r="769" spans="1:19" s="63" customFormat="1">
      <c r="A769" s="95" t="s">
        <v>784</v>
      </c>
      <c r="B769" s="96" t="s">
        <v>26</v>
      </c>
      <c r="C769" s="97"/>
      <c r="D769" s="98" t="s">
        <v>292</v>
      </c>
      <c r="E769" s="105"/>
      <c r="F769" s="100">
        <v>1</v>
      </c>
      <c r="G769" s="101" t="s">
        <v>21</v>
      </c>
      <c r="H769" s="100">
        <v>72</v>
      </c>
      <c r="I769" s="101" t="s">
        <v>292</v>
      </c>
      <c r="J769" s="102">
        <f>900000/72</f>
        <v>12500</v>
      </c>
      <c r="K769" s="98" t="s">
        <v>292</v>
      </c>
      <c r="L769" s="103">
        <v>0.05</v>
      </c>
      <c r="M769" s="103">
        <v>0.17</v>
      </c>
      <c r="N769" s="97"/>
      <c r="O769" s="101" t="s">
        <v>292</v>
      </c>
      <c r="P769" s="97">
        <f>(C769+(E769*F769*H769))-N769</f>
        <v>0</v>
      </c>
      <c r="Q769" s="101" t="s">
        <v>292</v>
      </c>
      <c r="R769" s="102">
        <f>P769*(J769-(J769*L769)-((J769-(J769*L769))*M769))</f>
        <v>0</v>
      </c>
      <c r="S769" s="102">
        <f t="shared" si="180"/>
        <v>0</v>
      </c>
    </row>
    <row r="770" spans="1:19" s="17" customFormat="1">
      <c r="A770" s="16" t="s">
        <v>691</v>
      </c>
      <c r="B770" s="17" t="s">
        <v>26</v>
      </c>
      <c r="C770" s="18"/>
      <c r="D770" s="19" t="s">
        <v>292</v>
      </c>
      <c r="E770" s="20"/>
      <c r="F770" s="21">
        <v>1</v>
      </c>
      <c r="G770" s="22" t="s">
        <v>21</v>
      </c>
      <c r="H770" s="21">
        <v>72</v>
      </c>
      <c r="I770" s="22" t="s">
        <v>292</v>
      </c>
      <c r="J770" s="23">
        <f>900000/72</f>
        <v>12500</v>
      </c>
      <c r="K770" s="19" t="s">
        <v>292</v>
      </c>
      <c r="L770" s="24">
        <v>0.05</v>
      </c>
      <c r="M770" s="24">
        <v>0.17</v>
      </c>
      <c r="N770" s="18"/>
      <c r="O770" s="22" t="s">
        <v>292</v>
      </c>
      <c r="P770" s="18">
        <f>(C770+(E770*F770*H770))-N770</f>
        <v>0</v>
      </c>
      <c r="Q770" s="22" t="s">
        <v>292</v>
      </c>
      <c r="R770" s="23">
        <f>P770*(J770-(J770*L770)-((J770-(J770*L770))*M770))</f>
        <v>0</v>
      </c>
      <c r="S770" s="23">
        <f t="shared" si="180"/>
        <v>0</v>
      </c>
    </row>
    <row r="771" spans="1:19" s="26" customFormat="1">
      <c r="A771" s="25" t="s">
        <v>692</v>
      </c>
      <c r="B771" s="26" t="s">
        <v>26</v>
      </c>
      <c r="C771" s="27">
        <v>210</v>
      </c>
      <c r="D771" s="28" t="s">
        <v>292</v>
      </c>
      <c r="E771" s="29"/>
      <c r="F771" s="30">
        <v>1</v>
      </c>
      <c r="G771" s="31" t="s">
        <v>21</v>
      </c>
      <c r="H771" s="30">
        <v>72</v>
      </c>
      <c r="I771" s="31" t="s">
        <v>292</v>
      </c>
      <c r="J771" s="32">
        <f>705600/72</f>
        <v>9800</v>
      </c>
      <c r="K771" s="28" t="s">
        <v>292</v>
      </c>
      <c r="L771" s="33"/>
      <c r="M771" s="33">
        <v>0.17</v>
      </c>
      <c r="N771" s="27"/>
      <c r="O771" s="31" t="s">
        <v>292</v>
      </c>
      <c r="P771" s="27">
        <f>(C771+(E771*F771*H771))-N771</f>
        <v>210</v>
      </c>
      <c r="Q771" s="31" t="s">
        <v>292</v>
      </c>
      <c r="R771" s="32">
        <f>P771*(J771-(J771*L771)-((J771-(J771*L771))*M771))</f>
        <v>1708140</v>
      </c>
      <c r="S771" s="32">
        <f t="shared" si="180"/>
        <v>1538864.8648648646</v>
      </c>
    </row>
    <row r="772" spans="1:19" s="26" customFormat="1">
      <c r="A772" s="25" t="s">
        <v>693</v>
      </c>
      <c r="B772" s="26" t="s">
        <v>26</v>
      </c>
      <c r="C772" s="27">
        <v>36</v>
      </c>
      <c r="D772" s="28" t="s">
        <v>292</v>
      </c>
      <c r="E772" s="29"/>
      <c r="F772" s="30">
        <v>1</v>
      </c>
      <c r="G772" s="31" t="s">
        <v>21</v>
      </c>
      <c r="H772" s="30">
        <v>72</v>
      </c>
      <c r="I772" s="31" t="s">
        <v>292</v>
      </c>
      <c r="J772" s="32">
        <f>705600/72</f>
        <v>9800</v>
      </c>
      <c r="K772" s="28" t="s">
        <v>292</v>
      </c>
      <c r="L772" s="33"/>
      <c r="M772" s="33">
        <v>0.17</v>
      </c>
      <c r="N772" s="27"/>
      <c r="O772" s="31" t="s">
        <v>292</v>
      </c>
      <c r="P772" s="27">
        <f>(C772+(E772*F772*H772))-N772</f>
        <v>36</v>
      </c>
      <c r="Q772" s="31" t="s">
        <v>292</v>
      </c>
      <c r="R772" s="32">
        <f>P772*(J772-(J772*L772)-((J772-(J772*L772))*M772))</f>
        <v>292824</v>
      </c>
      <c r="S772" s="32">
        <f t="shared" si="180"/>
        <v>263805.40540540538</v>
      </c>
    </row>
    <row r="773" spans="1:19">
      <c r="A773" s="15" t="s">
        <v>694</v>
      </c>
      <c r="S773" s="23">
        <f t="shared" si="180"/>
        <v>0</v>
      </c>
    </row>
    <row r="774" spans="1:19">
      <c r="A774" s="34" t="s">
        <v>695</v>
      </c>
      <c r="B774" s="2" t="s">
        <v>26</v>
      </c>
      <c r="C774" s="3">
        <v>108</v>
      </c>
      <c r="D774" s="4" t="s">
        <v>292</v>
      </c>
      <c r="F774" s="6">
        <v>1</v>
      </c>
      <c r="G774" s="7" t="s">
        <v>21</v>
      </c>
      <c r="H774" s="6">
        <v>120</v>
      </c>
      <c r="I774" s="7" t="s">
        <v>292</v>
      </c>
      <c r="J774" s="8">
        <f>762000/120</f>
        <v>6350</v>
      </c>
      <c r="K774" s="4" t="s">
        <v>292</v>
      </c>
      <c r="M774" s="9">
        <v>0.17</v>
      </c>
      <c r="O774" s="7" t="s">
        <v>292</v>
      </c>
      <c r="P774" s="3">
        <f>(C774+(E774*F774*H774))-N774</f>
        <v>108</v>
      </c>
      <c r="Q774" s="7" t="s">
        <v>292</v>
      </c>
      <c r="R774" s="8">
        <f>P774*(J774-(J774*L774)-((J774-(J774*L774))*M774))</f>
        <v>569214</v>
      </c>
      <c r="S774" s="32">
        <f t="shared" si="180"/>
        <v>512805.40540540538</v>
      </c>
    </row>
    <row r="775" spans="1:19" s="26" customFormat="1">
      <c r="A775" s="25" t="s">
        <v>790</v>
      </c>
      <c r="B775" s="26" t="s">
        <v>26</v>
      </c>
      <c r="C775" s="27"/>
      <c r="D775" s="28" t="s">
        <v>292</v>
      </c>
      <c r="E775" s="29">
        <f>2+2</f>
        <v>4</v>
      </c>
      <c r="F775" s="30">
        <v>1</v>
      </c>
      <c r="G775" s="31" t="s">
        <v>21</v>
      </c>
      <c r="H775" s="30">
        <v>80</v>
      </c>
      <c r="I775" s="31" t="s">
        <v>292</v>
      </c>
      <c r="J775" s="32">
        <f>732000/80</f>
        <v>9150</v>
      </c>
      <c r="K775" s="28" t="s">
        <v>292</v>
      </c>
      <c r="L775" s="33"/>
      <c r="M775" s="33">
        <v>0.17</v>
      </c>
      <c r="N775" s="27">
        <v>160</v>
      </c>
      <c r="O775" s="31" t="s">
        <v>292</v>
      </c>
      <c r="P775" s="27">
        <f>(C775+(E775*F775*H775))-N775</f>
        <v>160</v>
      </c>
      <c r="Q775" s="31" t="s">
        <v>292</v>
      </c>
      <c r="R775" s="32">
        <f>P775*(J775-(J775*L775)-((J775-(J775*L775))*M775))</f>
        <v>1215120</v>
      </c>
      <c r="S775" s="32">
        <f t="shared" si="180"/>
        <v>1094702.7027027027</v>
      </c>
    </row>
    <row r="776" spans="1:19" s="26" customFormat="1">
      <c r="A776" s="25" t="s">
        <v>697</v>
      </c>
      <c r="B776" s="26" t="s">
        <v>26</v>
      </c>
      <c r="C776" s="27">
        <v>234</v>
      </c>
      <c r="D776" s="28" t="s">
        <v>292</v>
      </c>
      <c r="E776" s="29"/>
      <c r="F776" s="30">
        <v>1</v>
      </c>
      <c r="G776" s="31" t="s">
        <v>21</v>
      </c>
      <c r="H776" s="30">
        <v>60</v>
      </c>
      <c r="I776" s="31" t="s">
        <v>292</v>
      </c>
      <c r="J776" s="32">
        <f>732000/60</f>
        <v>12200</v>
      </c>
      <c r="K776" s="28" t="s">
        <v>292</v>
      </c>
      <c r="L776" s="33"/>
      <c r="M776" s="33">
        <v>0.17</v>
      </c>
      <c r="N776" s="27"/>
      <c r="O776" s="31" t="s">
        <v>292</v>
      </c>
      <c r="P776" s="27">
        <f>(C776+(E776*F776*H776))-N776</f>
        <v>234</v>
      </c>
      <c r="Q776" s="31" t="s">
        <v>292</v>
      </c>
      <c r="R776" s="32">
        <f>P776*(J776-(J776*L776)-((J776-(J776*L776))*M776))</f>
        <v>2369484</v>
      </c>
      <c r="S776" s="32">
        <f t="shared" si="180"/>
        <v>2134670.2702702703</v>
      </c>
    </row>
    <row r="777" spans="1:19" s="17" customFormat="1">
      <c r="A777" s="16" t="s">
        <v>725</v>
      </c>
      <c r="B777" s="17" t="s">
        <v>26</v>
      </c>
      <c r="C777" s="18"/>
      <c r="D777" s="19" t="s">
        <v>292</v>
      </c>
      <c r="E777" s="20"/>
      <c r="F777" s="21">
        <v>1</v>
      </c>
      <c r="G777" s="22" t="s">
        <v>21</v>
      </c>
      <c r="H777" s="21">
        <v>80</v>
      </c>
      <c r="I777" s="22" t="s">
        <v>292</v>
      </c>
      <c r="J777" s="23">
        <f>848000/80</f>
        <v>10600</v>
      </c>
      <c r="K777" s="19" t="s">
        <v>292</v>
      </c>
      <c r="L777" s="24"/>
      <c r="M777" s="24">
        <v>0.17</v>
      </c>
      <c r="N777" s="18"/>
      <c r="O777" s="22" t="s">
        <v>292</v>
      </c>
      <c r="P777" s="18">
        <f>(C777+(E777*F777*H777))-N777</f>
        <v>0</v>
      </c>
      <c r="Q777" s="22" t="s">
        <v>292</v>
      </c>
      <c r="R777" s="23">
        <f>P777*(J777-(J777*L777)-((J777-(J777*L777))*M777))</f>
        <v>0</v>
      </c>
      <c r="S777" s="23">
        <f t="shared" si="180"/>
        <v>0</v>
      </c>
    </row>
    <row r="778" spans="1:19" s="17" customFormat="1">
      <c r="A778" s="16" t="s">
        <v>698</v>
      </c>
      <c r="B778" s="17" t="s">
        <v>26</v>
      </c>
      <c r="C778" s="18"/>
      <c r="D778" s="19" t="s">
        <v>292</v>
      </c>
      <c r="E778" s="20"/>
      <c r="F778" s="21">
        <v>1</v>
      </c>
      <c r="G778" s="22" t="s">
        <v>21</v>
      </c>
      <c r="H778" s="21">
        <v>60</v>
      </c>
      <c r="I778" s="22" t="s">
        <v>292</v>
      </c>
      <c r="J778" s="23">
        <f>852000/60</f>
        <v>14200</v>
      </c>
      <c r="K778" s="19" t="s">
        <v>292</v>
      </c>
      <c r="L778" s="24"/>
      <c r="M778" s="24">
        <v>0.17</v>
      </c>
      <c r="N778" s="18"/>
      <c r="O778" s="22" t="s">
        <v>292</v>
      </c>
      <c r="P778" s="18">
        <f>(C778+(E778*F778*H778))-N778</f>
        <v>0</v>
      </c>
      <c r="Q778" s="22" t="s">
        <v>292</v>
      </c>
      <c r="R778" s="23">
        <f>P778*(J778-(J778*L778)-((J778-(J778*L778))*M778))</f>
        <v>0</v>
      </c>
      <c r="S778" s="23">
        <f t="shared" si="180"/>
        <v>0</v>
      </c>
    </row>
    <row r="779" spans="1:19">
      <c r="S779" s="23"/>
    </row>
    <row r="780" spans="1:19" ht="15.75">
      <c r="A780" s="14" t="s">
        <v>699</v>
      </c>
      <c r="S780" s="23"/>
    </row>
    <row r="781" spans="1:19" s="63" customFormat="1">
      <c r="A781" s="72" t="s">
        <v>719</v>
      </c>
      <c r="B781" s="63" t="s">
        <v>19</v>
      </c>
      <c r="C781" s="64"/>
      <c r="D781" s="65" t="s">
        <v>20</v>
      </c>
      <c r="E781" s="66"/>
      <c r="F781" s="67">
        <v>12</v>
      </c>
      <c r="G781" s="68" t="s">
        <v>34</v>
      </c>
      <c r="H781" s="67">
        <v>20</v>
      </c>
      <c r="I781" s="68" t="s">
        <v>20</v>
      </c>
      <c r="J781" s="69">
        <v>5050</v>
      </c>
      <c r="K781" s="65" t="s">
        <v>20</v>
      </c>
      <c r="L781" s="70">
        <v>0.125</v>
      </c>
      <c r="M781" s="70">
        <v>0.05</v>
      </c>
      <c r="N781" s="64"/>
      <c r="O781" s="68" t="s">
        <v>20</v>
      </c>
      <c r="P781" s="64">
        <f t="shared" ref="P781:P799" si="188">(C781+(E781*F781*H781))-N781</f>
        <v>0</v>
      </c>
      <c r="Q781" s="68" t="s">
        <v>20</v>
      </c>
      <c r="R781" s="69">
        <f t="shared" ref="R781:R801" si="189">P781*(J781-(J781*L781)-((J781-(J781*L781))*M781))</f>
        <v>0</v>
      </c>
      <c r="S781" s="69">
        <f t="shared" ref="S781" si="190">R781/1.11</f>
        <v>0</v>
      </c>
    </row>
    <row r="782" spans="1:19" s="17" customFormat="1">
      <c r="A782" s="16" t="s">
        <v>700</v>
      </c>
      <c r="B782" s="17" t="s">
        <v>19</v>
      </c>
      <c r="C782" s="18"/>
      <c r="D782" s="19" t="s">
        <v>20</v>
      </c>
      <c r="E782" s="20"/>
      <c r="F782" s="21">
        <v>1</v>
      </c>
      <c r="G782" s="22" t="s">
        <v>21</v>
      </c>
      <c r="H782" s="21">
        <v>24</v>
      </c>
      <c r="I782" s="22" t="s">
        <v>20</v>
      </c>
      <c r="J782" s="23">
        <v>17200</v>
      </c>
      <c r="K782" s="19" t="s">
        <v>20</v>
      </c>
      <c r="L782" s="24">
        <v>0.125</v>
      </c>
      <c r="M782" s="24">
        <v>0.05</v>
      </c>
      <c r="N782" s="18"/>
      <c r="O782" s="22" t="s">
        <v>20</v>
      </c>
      <c r="P782" s="18">
        <f t="shared" si="188"/>
        <v>0</v>
      </c>
      <c r="Q782" s="22" t="s">
        <v>20</v>
      </c>
      <c r="R782" s="23">
        <f t="shared" si="189"/>
        <v>0</v>
      </c>
      <c r="S782" s="23">
        <f t="shared" si="180"/>
        <v>0</v>
      </c>
    </row>
    <row r="783" spans="1:19" s="17" customFormat="1">
      <c r="A783" s="16" t="s">
        <v>701</v>
      </c>
      <c r="B783" s="17" t="s">
        <v>19</v>
      </c>
      <c r="C783" s="18"/>
      <c r="D783" s="19" t="s">
        <v>20</v>
      </c>
      <c r="E783" s="20">
        <v>6</v>
      </c>
      <c r="F783" s="21">
        <v>1</v>
      </c>
      <c r="G783" s="22" t="s">
        <v>21</v>
      </c>
      <c r="H783" s="21">
        <v>24</v>
      </c>
      <c r="I783" s="22" t="s">
        <v>20</v>
      </c>
      <c r="J783" s="23">
        <v>21500</v>
      </c>
      <c r="K783" s="19" t="s">
        <v>20</v>
      </c>
      <c r="L783" s="24">
        <v>0.125</v>
      </c>
      <c r="M783" s="24">
        <v>0.05</v>
      </c>
      <c r="N783" s="18">
        <v>144</v>
      </c>
      <c r="O783" s="22" t="s">
        <v>20</v>
      </c>
      <c r="P783" s="18">
        <f t="shared" si="188"/>
        <v>0</v>
      </c>
      <c r="Q783" s="22" t="s">
        <v>20</v>
      </c>
      <c r="R783" s="23">
        <f t="shared" si="189"/>
        <v>0</v>
      </c>
      <c r="S783" s="23">
        <f t="shared" si="180"/>
        <v>0</v>
      </c>
    </row>
    <row r="784" spans="1:19" s="17" customFormat="1">
      <c r="A784" s="16" t="s">
        <v>702</v>
      </c>
      <c r="B784" s="17" t="s">
        <v>19</v>
      </c>
      <c r="C784" s="18"/>
      <c r="D784" s="19" t="s">
        <v>20</v>
      </c>
      <c r="E784" s="20"/>
      <c r="F784" s="21">
        <v>1</v>
      </c>
      <c r="G784" s="22" t="s">
        <v>21</v>
      </c>
      <c r="H784" s="21">
        <v>24</v>
      </c>
      <c r="I784" s="22" t="s">
        <v>20</v>
      </c>
      <c r="J784" s="23">
        <v>23100</v>
      </c>
      <c r="K784" s="19" t="s">
        <v>20</v>
      </c>
      <c r="L784" s="24">
        <v>0.125</v>
      </c>
      <c r="M784" s="24">
        <v>0.05</v>
      </c>
      <c r="N784" s="18"/>
      <c r="O784" s="22" t="s">
        <v>20</v>
      </c>
      <c r="P784" s="18">
        <f t="shared" si="188"/>
        <v>0</v>
      </c>
      <c r="Q784" s="22" t="s">
        <v>20</v>
      </c>
      <c r="R784" s="23">
        <f t="shared" si="189"/>
        <v>0</v>
      </c>
      <c r="S784" s="23">
        <f t="shared" si="180"/>
        <v>0</v>
      </c>
    </row>
    <row r="785" spans="1:19" s="63" customFormat="1">
      <c r="A785" s="72" t="s">
        <v>703</v>
      </c>
      <c r="B785" s="63" t="s">
        <v>19</v>
      </c>
      <c r="C785" s="64"/>
      <c r="D785" s="65" t="s">
        <v>20</v>
      </c>
      <c r="E785" s="66">
        <f>5+4</f>
        <v>9</v>
      </c>
      <c r="F785" s="67">
        <v>1</v>
      </c>
      <c r="G785" s="68" t="s">
        <v>21</v>
      </c>
      <c r="H785" s="67">
        <v>24</v>
      </c>
      <c r="I785" s="68" t="s">
        <v>20</v>
      </c>
      <c r="J785" s="69">
        <v>10600</v>
      </c>
      <c r="K785" s="65" t="s">
        <v>20</v>
      </c>
      <c r="L785" s="70">
        <v>0.125</v>
      </c>
      <c r="M785" s="70">
        <v>0.05</v>
      </c>
      <c r="N785" s="64">
        <f>120+96</f>
        <v>216</v>
      </c>
      <c r="O785" s="68" t="s">
        <v>20</v>
      </c>
      <c r="P785" s="64">
        <f t="shared" si="188"/>
        <v>0</v>
      </c>
      <c r="Q785" s="68" t="s">
        <v>20</v>
      </c>
      <c r="R785" s="69">
        <f t="shared" si="189"/>
        <v>0</v>
      </c>
      <c r="S785" s="69">
        <f t="shared" si="180"/>
        <v>0</v>
      </c>
    </row>
    <row r="786" spans="1:19" s="63" customFormat="1">
      <c r="A786" s="72" t="s">
        <v>704</v>
      </c>
      <c r="B786" s="63" t="s">
        <v>19</v>
      </c>
      <c r="C786" s="64"/>
      <c r="D786" s="65" t="s">
        <v>20</v>
      </c>
      <c r="E786" s="66">
        <f>4+2+10+6+6</f>
        <v>28</v>
      </c>
      <c r="F786" s="67">
        <v>1</v>
      </c>
      <c r="G786" s="68" t="s">
        <v>21</v>
      </c>
      <c r="H786" s="67">
        <v>24</v>
      </c>
      <c r="I786" s="68" t="s">
        <v>20</v>
      </c>
      <c r="J786" s="69">
        <v>18800</v>
      </c>
      <c r="K786" s="65" t="s">
        <v>20</v>
      </c>
      <c r="L786" s="70">
        <v>0.125</v>
      </c>
      <c r="M786" s="70">
        <v>0.05</v>
      </c>
      <c r="N786" s="64">
        <f>96+48+240+144+144</f>
        <v>672</v>
      </c>
      <c r="O786" s="68" t="s">
        <v>20</v>
      </c>
      <c r="P786" s="64">
        <f t="shared" si="188"/>
        <v>0</v>
      </c>
      <c r="Q786" s="68" t="s">
        <v>20</v>
      </c>
      <c r="R786" s="69">
        <f t="shared" si="189"/>
        <v>0</v>
      </c>
      <c r="S786" s="69">
        <f t="shared" si="180"/>
        <v>0</v>
      </c>
    </row>
    <row r="787" spans="1:19" s="63" customFormat="1">
      <c r="A787" s="72" t="s">
        <v>705</v>
      </c>
      <c r="B787" s="63" t="s">
        <v>19</v>
      </c>
      <c r="C787" s="64"/>
      <c r="D787" s="65" t="s">
        <v>20</v>
      </c>
      <c r="E787" s="66"/>
      <c r="F787" s="67">
        <v>1</v>
      </c>
      <c r="G787" s="68" t="s">
        <v>21</v>
      </c>
      <c r="H787" s="67">
        <v>24</v>
      </c>
      <c r="I787" s="68" t="s">
        <v>20</v>
      </c>
      <c r="J787" s="69">
        <v>15000</v>
      </c>
      <c r="K787" s="65" t="s">
        <v>20</v>
      </c>
      <c r="L787" s="70">
        <v>0.125</v>
      </c>
      <c r="M787" s="70">
        <v>0.05</v>
      </c>
      <c r="N787" s="64"/>
      <c r="O787" s="68" t="s">
        <v>20</v>
      </c>
      <c r="P787" s="64">
        <f t="shared" si="188"/>
        <v>0</v>
      </c>
      <c r="Q787" s="68" t="s">
        <v>20</v>
      </c>
      <c r="R787" s="69">
        <f t="shared" si="189"/>
        <v>0</v>
      </c>
      <c r="S787" s="23">
        <f t="shared" si="180"/>
        <v>0</v>
      </c>
    </row>
    <row r="788" spans="1:19" s="45" customFormat="1">
      <c r="A788" s="44" t="s">
        <v>706</v>
      </c>
      <c r="B788" s="45" t="s">
        <v>19</v>
      </c>
      <c r="C788" s="46">
        <v>73</v>
      </c>
      <c r="D788" s="47" t="s">
        <v>20</v>
      </c>
      <c r="E788" s="48"/>
      <c r="F788" s="49">
        <v>1</v>
      </c>
      <c r="G788" s="50" t="s">
        <v>21</v>
      </c>
      <c r="H788" s="49">
        <v>96</v>
      </c>
      <c r="I788" s="50" t="s">
        <v>20</v>
      </c>
      <c r="J788" s="51">
        <v>14000</v>
      </c>
      <c r="K788" s="47" t="s">
        <v>20</v>
      </c>
      <c r="L788" s="52">
        <v>0.125</v>
      </c>
      <c r="M788" s="52">
        <v>0.05</v>
      </c>
      <c r="N788" s="46"/>
      <c r="O788" s="50" t="s">
        <v>20</v>
      </c>
      <c r="P788" s="46">
        <f t="shared" si="188"/>
        <v>73</v>
      </c>
      <c r="Q788" s="50" t="s">
        <v>20</v>
      </c>
      <c r="R788" s="51">
        <f t="shared" si="189"/>
        <v>849537.5</v>
      </c>
      <c r="S788" s="32">
        <f t="shared" si="180"/>
        <v>765349.09909909905</v>
      </c>
    </row>
    <row r="789" spans="1:19" s="17" customFormat="1">
      <c r="A789" s="16" t="s">
        <v>707</v>
      </c>
      <c r="B789" s="17" t="s">
        <v>19</v>
      </c>
      <c r="C789" s="18"/>
      <c r="D789" s="19" t="s">
        <v>20</v>
      </c>
      <c r="E789" s="20"/>
      <c r="F789" s="21">
        <v>1</v>
      </c>
      <c r="G789" s="22" t="s">
        <v>21</v>
      </c>
      <c r="H789" s="21">
        <v>24</v>
      </c>
      <c r="I789" s="22" t="s">
        <v>20</v>
      </c>
      <c r="J789" s="23">
        <v>41000</v>
      </c>
      <c r="K789" s="19" t="s">
        <v>20</v>
      </c>
      <c r="L789" s="24">
        <v>0.125</v>
      </c>
      <c r="M789" s="24">
        <v>0.05</v>
      </c>
      <c r="N789" s="18"/>
      <c r="O789" s="22" t="s">
        <v>20</v>
      </c>
      <c r="P789" s="18">
        <f t="shared" si="188"/>
        <v>0</v>
      </c>
      <c r="Q789" s="22" t="s">
        <v>20</v>
      </c>
      <c r="R789" s="23">
        <f t="shared" si="189"/>
        <v>0</v>
      </c>
      <c r="S789" s="23">
        <f t="shared" si="180"/>
        <v>0</v>
      </c>
    </row>
    <row r="790" spans="1:19" s="26" customFormat="1">
      <c r="A790" s="25" t="s">
        <v>708</v>
      </c>
      <c r="B790" s="26" t="s">
        <v>19</v>
      </c>
      <c r="C790" s="27">
        <v>346</v>
      </c>
      <c r="D790" s="28" t="s">
        <v>20</v>
      </c>
      <c r="E790" s="29"/>
      <c r="F790" s="30">
        <v>1</v>
      </c>
      <c r="G790" s="31" t="s">
        <v>21</v>
      </c>
      <c r="H790" s="30">
        <v>100</v>
      </c>
      <c r="I790" s="31" t="s">
        <v>20</v>
      </c>
      <c r="J790" s="32">
        <v>15500</v>
      </c>
      <c r="K790" s="28" t="s">
        <v>20</v>
      </c>
      <c r="L790" s="33">
        <v>0.125</v>
      </c>
      <c r="M790" s="33">
        <v>0.05</v>
      </c>
      <c r="N790" s="27"/>
      <c r="O790" s="31" t="s">
        <v>20</v>
      </c>
      <c r="P790" s="27">
        <f t="shared" si="188"/>
        <v>346</v>
      </c>
      <c r="Q790" s="31" t="s">
        <v>20</v>
      </c>
      <c r="R790" s="32">
        <f t="shared" si="189"/>
        <v>4457993.75</v>
      </c>
      <c r="S790" s="32">
        <f t="shared" si="180"/>
        <v>4016210.5855855853</v>
      </c>
    </row>
    <row r="791" spans="1:19" s="63" customFormat="1">
      <c r="A791" s="111" t="s">
        <v>753</v>
      </c>
      <c r="B791" s="63" t="s">
        <v>26</v>
      </c>
      <c r="C791" s="64"/>
      <c r="D791" s="65" t="s">
        <v>20</v>
      </c>
      <c r="E791" s="66"/>
      <c r="F791" s="67">
        <v>1</v>
      </c>
      <c r="G791" s="68" t="s">
        <v>21</v>
      </c>
      <c r="H791" s="67">
        <v>24</v>
      </c>
      <c r="I791" s="68" t="s">
        <v>20</v>
      </c>
      <c r="J791" s="69">
        <f>372000/24</f>
        <v>15500</v>
      </c>
      <c r="K791" s="65" t="s">
        <v>20</v>
      </c>
      <c r="L791" s="70"/>
      <c r="M791" s="70">
        <v>0.17</v>
      </c>
      <c r="N791" s="64"/>
      <c r="O791" s="68" t="s">
        <v>20</v>
      </c>
      <c r="P791" s="64">
        <f t="shared" si="188"/>
        <v>0</v>
      </c>
      <c r="Q791" s="68" t="s">
        <v>20</v>
      </c>
      <c r="R791" s="69">
        <f t="shared" si="189"/>
        <v>0</v>
      </c>
      <c r="S791" s="69">
        <f t="shared" si="180"/>
        <v>0</v>
      </c>
    </row>
    <row r="792" spans="1:19" s="17" customFormat="1">
      <c r="A792" s="111" t="s">
        <v>710</v>
      </c>
      <c r="B792" s="17" t="s">
        <v>26</v>
      </c>
      <c r="C792" s="18"/>
      <c r="D792" s="19" t="s">
        <v>20</v>
      </c>
      <c r="E792" s="20"/>
      <c r="F792" s="21">
        <v>1</v>
      </c>
      <c r="G792" s="22" t="s">
        <v>21</v>
      </c>
      <c r="H792" s="21">
        <v>24</v>
      </c>
      <c r="I792" s="22" t="s">
        <v>20</v>
      </c>
      <c r="J792" s="23">
        <f>444000/24</f>
        <v>18500</v>
      </c>
      <c r="K792" s="19" t="s">
        <v>20</v>
      </c>
      <c r="L792" s="24"/>
      <c r="M792" s="24">
        <v>0.17</v>
      </c>
      <c r="N792" s="18"/>
      <c r="O792" s="22" t="s">
        <v>20</v>
      </c>
      <c r="P792" s="18">
        <f t="shared" si="188"/>
        <v>0</v>
      </c>
      <c r="Q792" s="22" t="s">
        <v>20</v>
      </c>
      <c r="R792" s="23">
        <f t="shared" si="189"/>
        <v>0</v>
      </c>
      <c r="S792" s="23">
        <f t="shared" si="180"/>
        <v>0</v>
      </c>
    </row>
    <row r="793" spans="1:19" s="45" customFormat="1">
      <c r="A793" s="107" t="s">
        <v>711</v>
      </c>
      <c r="B793" s="45" t="s">
        <v>26</v>
      </c>
      <c r="C793" s="46">
        <v>24</v>
      </c>
      <c r="D793" s="47" t="s">
        <v>20</v>
      </c>
      <c r="E793" s="48">
        <f>6+25+10</f>
        <v>41</v>
      </c>
      <c r="F793" s="49">
        <v>1</v>
      </c>
      <c r="G793" s="50" t="s">
        <v>21</v>
      </c>
      <c r="H793" s="49">
        <v>24</v>
      </c>
      <c r="I793" s="50" t="s">
        <v>20</v>
      </c>
      <c r="J793" s="51">
        <f>462000/24</f>
        <v>19250</v>
      </c>
      <c r="K793" s="47" t="s">
        <v>20</v>
      </c>
      <c r="L793" s="52"/>
      <c r="M793" s="52">
        <v>0.17</v>
      </c>
      <c r="N793" s="46">
        <f>240+24+96+24+96+24+24+96+96+240+24</f>
        <v>984</v>
      </c>
      <c r="O793" s="50" t="s">
        <v>20</v>
      </c>
      <c r="P793" s="46">
        <f t="shared" si="188"/>
        <v>24</v>
      </c>
      <c r="Q793" s="50" t="s">
        <v>20</v>
      </c>
      <c r="R793" s="51">
        <f t="shared" si="189"/>
        <v>383460</v>
      </c>
      <c r="S793" s="32">
        <f t="shared" si="180"/>
        <v>345459.45945945941</v>
      </c>
    </row>
    <row r="794" spans="1:19" s="63" customFormat="1">
      <c r="A794" s="111" t="s">
        <v>788</v>
      </c>
      <c r="B794" s="63" t="s">
        <v>26</v>
      </c>
      <c r="C794" s="64"/>
      <c r="D794" s="65" t="s">
        <v>20</v>
      </c>
      <c r="E794" s="66">
        <v>4</v>
      </c>
      <c r="F794" s="67">
        <v>1</v>
      </c>
      <c r="G794" s="68" t="s">
        <v>21</v>
      </c>
      <c r="H794" s="67">
        <v>24</v>
      </c>
      <c r="I794" s="68" t="s">
        <v>20</v>
      </c>
      <c r="J794" s="69">
        <f>462000/24</f>
        <v>19250</v>
      </c>
      <c r="K794" s="65" t="s">
        <v>20</v>
      </c>
      <c r="L794" s="70"/>
      <c r="M794" s="70">
        <v>0.17</v>
      </c>
      <c r="N794" s="64">
        <v>96</v>
      </c>
      <c r="O794" s="68" t="s">
        <v>20</v>
      </c>
      <c r="P794" s="64">
        <f t="shared" ref="P794" si="191">(C794+(E794*F794*H794))-N794</f>
        <v>0</v>
      </c>
      <c r="Q794" s="68" t="s">
        <v>20</v>
      </c>
      <c r="R794" s="69">
        <f t="shared" ref="R794" si="192">P794*(J794-(J794*L794)-((J794-(J794*L794))*M794))</f>
        <v>0</v>
      </c>
      <c r="S794" s="23">
        <f t="shared" ref="S794" si="193">R794/1.11</f>
        <v>0</v>
      </c>
    </row>
    <row r="795" spans="1:19" s="17" customFormat="1">
      <c r="A795" s="111" t="s">
        <v>712</v>
      </c>
      <c r="B795" s="17" t="s">
        <v>26</v>
      </c>
      <c r="C795" s="18"/>
      <c r="D795" s="19" t="s">
        <v>20</v>
      </c>
      <c r="E795" s="20"/>
      <c r="F795" s="21">
        <v>1</v>
      </c>
      <c r="G795" s="22" t="s">
        <v>21</v>
      </c>
      <c r="H795" s="21">
        <v>24</v>
      </c>
      <c r="I795" s="22" t="s">
        <v>20</v>
      </c>
      <c r="J795" s="23">
        <v>17250</v>
      </c>
      <c r="K795" s="19" t="s">
        <v>20</v>
      </c>
      <c r="L795" s="24"/>
      <c r="M795" s="24">
        <v>0.17</v>
      </c>
      <c r="N795" s="18"/>
      <c r="O795" s="22" t="s">
        <v>20</v>
      </c>
      <c r="P795" s="18">
        <f t="shared" si="188"/>
        <v>0</v>
      </c>
      <c r="Q795" s="22" t="s">
        <v>20</v>
      </c>
      <c r="R795" s="23">
        <f t="shared" si="189"/>
        <v>0</v>
      </c>
      <c r="S795" s="23">
        <f t="shared" si="180"/>
        <v>0</v>
      </c>
    </row>
    <row r="796" spans="1:19" s="17" customFormat="1">
      <c r="A796" s="111" t="s">
        <v>794</v>
      </c>
      <c r="B796" s="17" t="s">
        <v>26</v>
      </c>
      <c r="C796" s="18"/>
      <c r="D796" s="19" t="s">
        <v>20</v>
      </c>
      <c r="E796" s="20">
        <v>1</v>
      </c>
      <c r="F796" s="21">
        <v>1</v>
      </c>
      <c r="G796" s="22" t="s">
        <v>21</v>
      </c>
      <c r="H796" s="21">
        <v>24</v>
      </c>
      <c r="I796" s="22" t="s">
        <v>20</v>
      </c>
      <c r="J796" s="23">
        <f>420000/24</f>
        <v>17500</v>
      </c>
      <c r="K796" s="19" t="s">
        <v>20</v>
      </c>
      <c r="L796" s="24"/>
      <c r="M796" s="24">
        <v>0.17</v>
      </c>
      <c r="N796" s="18">
        <v>24</v>
      </c>
      <c r="O796" s="22" t="s">
        <v>20</v>
      </c>
      <c r="P796" s="18">
        <f t="shared" ref="P796" si="194">(C796+(E796*F796*H796))-N796</f>
        <v>0</v>
      </c>
      <c r="Q796" s="22" t="s">
        <v>20</v>
      </c>
      <c r="R796" s="23">
        <f t="shared" ref="R796" si="195">P796*(J796-(J796*L796)-((J796-(J796*L796))*M796))</f>
        <v>0</v>
      </c>
      <c r="S796" s="23">
        <f t="shared" ref="S796" si="196">R796/1.11</f>
        <v>0</v>
      </c>
    </row>
    <row r="797" spans="1:19" s="17" customFormat="1">
      <c r="A797" s="111" t="s">
        <v>713</v>
      </c>
      <c r="B797" s="17" t="s">
        <v>26</v>
      </c>
      <c r="C797" s="18"/>
      <c r="D797" s="19" t="s">
        <v>20</v>
      </c>
      <c r="E797" s="20">
        <v>1</v>
      </c>
      <c r="F797" s="21">
        <v>1</v>
      </c>
      <c r="G797" s="22" t="s">
        <v>21</v>
      </c>
      <c r="H797" s="21">
        <v>12</v>
      </c>
      <c r="I797" s="22" t="s">
        <v>20</v>
      </c>
      <c r="J797" s="23">
        <f>342000/12</f>
        <v>28500</v>
      </c>
      <c r="K797" s="19" t="s">
        <v>20</v>
      </c>
      <c r="L797" s="24"/>
      <c r="M797" s="24">
        <v>0.17</v>
      </c>
      <c r="N797" s="18">
        <v>12</v>
      </c>
      <c r="O797" s="22" t="s">
        <v>20</v>
      </c>
      <c r="P797" s="18">
        <f t="shared" si="188"/>
        <v>0</v>
      </c>
      <c r="Q797" s="22" t="s">
        <v>20</v>
      </c>
      <c r="R797" s="23">
        <f t="shared" si="189"/>
        <v>0</v>
      </c>
      <c r="S797" s="23">
        <f t="shared" si="180"/>
        <v>0</v>
      </c>
    </row>
    <row r="798" spans="1:19" s="17" customFormat="1">
      <c r="A798" s="111" t="s">
        <v>714</v>
      </c>
      <c r="B798" s="17" t="s">
        <v>26</v>
      </c>
      <c r="C798" s="18"/>
      <c r="D798" s="19" t="s">
        <v>20</v>
      </c>
      <c r="E798" s="20"/>
      <c r="F798" s="21">
        <v>1</v>
      </c>
      <c r="G798" s="22" t="s">
        <v>21</v>
      </c>
      <c r="H798" s="21">
        <v>12</v>
      </c>
      <c r="I798" s="22" t="s">
        <v>20</v>
      </c>
      <c r="J798" s="23">
        <f>294000/12</f>
        <v>24500</v>
      </c>
      <c r="K798" s="19" t="s">
        <v>20</v>
      </c>
      <c r="L798" s="24"/>
      <c r="M798" s="24">
        <v>0.17</v>
      </c>
      <c r="N798" s="18"/>
      <c r="O798" s="22" t="s">
        <v>20</v>
      </c>
      <c r="P798" s="18">
        <f t="shared" si="188"/>
        <v>0</v>
      </c>
      <c r="Q798" s="22" t="s">
        <v>20</v>
      </c>
      <c r="R798" s="23">
        <f t="shared" si="189"/>
        <v>0</v>
      </c>
      <c r="S798" s="23">
        <f t="shared" si="180"/>
        <v>0</v>
      </c>
    </row>
    <row r="799" spans="1:19" s="17" customFormat="1">
      <c r="A799" s="111" t="s">
        <v>730</v>
      </c>
      <c r="B799" s="17" t="s">
        <v>26</v>
      </c>
      <c r="C799" s="18"/>
      <c r="D799" s="19" t="s">
        <v>20</v>
      </c>
      <c r="E799" s="20"/>
      <c r="F799" s="21">
        <v>8</v>
      </c>
      <c r="G799" s="22" t="s">
        <v>43</v>
      </c>
      <c r="H799" s="21">
        <v>12</v>
      </c>
      <c r="I799" s="22" t="s">
        <v>20</v>
      </c>
      <c r="J799" s="23">
        <f>2112000/8/12</f>
        <v>22000</v>
      </c>
      <c r="K799" s="19" t="s">
        <v>20</v>
      </c>
      <c r="L799" s="24"/>
      <c r="M799" s="24">
        <v>0.17</v>
      </c>
      <c r="N799" s="18"/>
      <c r="O799" s="22" t="s">
        <v>20</v>
      </c>
      <c r="P799" s="18">
        <f t="shared" si="188"/>
        <v>0</v>
      </c>
      <c r="Q799" s="22" t="s">
        <v>20</v>
      </c>
      <c r="R799" s="23">
        <f t="shared" si="189"/>
        <v>0</v>
      </c>
      <c r="S799" s="23">
        <f t="shared" si="180"/>
        <v>0</v>
      </c>
    </row>
    <row r="800" spans="1:19" s="63" customFormat="1">
      <c r="A800" s="111" t="s">
        <v>715</v>
      </c>
      <c r="B800" s="63" t="s">
        <v>192</v>
      </c>
      <c r="C800" s="64">
        <v>8</v>
      </c>
      <c r="D800" s="65" t="s">
        <v>43</v>
      </c>
      <c r="E800" s="66"/>
      <c r="F800" s="67">
        <v>48</v>
      </c>
      <c r="G800" s="68" t="s">
        <v>34</v>
      </c>
      <c r="H800" s="67">
        <v>1</v>
      </c>
      <c r="I800" s="68" t="s">
        <v>43</v>
      </c>
      <c r="J800" s="69">
        <v>91000</v>
      </c>
      <c r="K800" s="65" t="s">
        <v>43</v>
      </c>
      <c r="L800" s="70"/>
      <c r="M800" s="70"/>
      <c r="N800" s="64">
        <f>5+1+2</f>
        <v>8</v>
      </c>
      <c r="O800" s="68" t="s">
        <v>43</v>
      </c>
      <c r="P800" s="64">
        <f>(C800+(E800*F800*H800))-N800</f>
        <v>0</v>
      </c>
      <c r="Q800" s="68" t="s">
        <v>43</v>
      </c>
      <c r="R800" s="69">
        <f t="shared" si="189"/>
        <v>0</v>
      </c>
      <c r="S800" s="23">
        <f t="shared" ref="S800:S801" si="197">R800/1.11</f>
        <v>0</v>
      </c>
    </row>
    <row r="801" spans="1:21" s="26" customFormat="1">
      <c r="A801" s="107" t="s">
        <v>716</v>
      </c>
      <c r="B801" s="26" t="s">
        <v>659</v>
      </c>
      <c r="C801" s="27">
        <v>60</v>
      </c>
      <c r="D801" s="28" t="s">
        <v>20</v>
      </c>
      <c r="E801" s="29"/>
      <c r="F801" s="30">
        <v>1</v>
      </c>
      <c r="G801" s="31" t="s">
        <v>21</v>
      </c>
      <c r="H801" s="30">
        <v>24</v>
      </c>
      <c r="I801" s="31" t="s">
        <v>20</v>
      </c>
      <c r="J801" s="32">
        <v>18200</v>
      </c>
      <c r="K801" s="28" t="s">
        <v>20</v>
      </c>
      <c r="L801" s="33">
        <v>0.15</v>
      </c>
      <c r="M801" s="33">
        <v>0.03</v>
      </c>
      <c r="N801" s="27">
        <f>12+24</f>
        <v>36</v>
      </c>
      <c r="O801" s="31" t="s">
        <v>20</v>
      </c>
      <c r="P801" s="27">
        <f>(C801+(E801*F801*H801))-N801</f>
        <v>24</v>
      </c>
      <c r="Q801" s="31" t="s">
        <v>20</v>
      </c>
      <c r="R801" s="32">
        <f t="shared" si="189"/>
        <v>360141.6</v>
      </c>
      <c r="S801" s="32">
        <f t="shared" si="197"/>
        <v>324451.89189189184</v>
      </c>
    </row>
    <row r="802" spans="1:21">
      <c r="S802" s="23"/>
    </row>
    <row r="803" spans="1:21" ht="15.75">
      <c r="A803" s="14" t="s">
        <v>722</v>
      </c>
      <c r="S803" s="23"/>
    </row>
    <row r="804" spans="1:21" s="63" customFormat="1">
      <c r="A804" s="72" t="s">
        <v>723</v>
      </c>
      <c r="B804" s="63" t="s">
        <v>19</v>
      </c>
      <c r="C804" s="64"/>
      <c r="D804" s="65" t="s">
        <v>20</v>
      </c>
      <c r="E804" s="66"/>
      <c r="F804" s="67">
        <v>1</v>
      </c>
      <c r="G804" s="68" t="s">
        <v>21</v>
      </c>
      <c r="H804" s="67">
        <v>100</v>
      </c>
      <c r="I804" s="68" t="s">
        <v>20</v>
      </c>
      <c r="J804" s="69">
        <v>8400</v>
      </c>
      <c r="K804" s="65" t="s">
        <v>20</v>
      </c>
      <c r="L804" s="70">
        <v>0.125</v>
      </c>
      <c r="M804" s="70">
        <v>0.05</v>
      </c>
      <c r="N804" s="64"/>
      <c r="O804" s="68" t="s">
        <v>20</v>
      </c>
      <c r="P804" s="64">
        <f t="shared" ref="P804" si="198">(C804+(E804*F804*H804))-N804</f>
        <v>0</v>
      </c>
      <c r="Q804" s="68" t="s">
        <v>20</v>
      </c>
      <c r="R804" s="69">
        <f t="shared" ref="R804" si="199">P804*(J804-(J804*L804)-((J804-(J804*L804))*M804))</f>
        <v>0</v>
      </c>
      <c r="S804" s="69">
        <f t="shared" ref="S804" si="200">R804/1.11</f>
        <v>0</v>
      </c>
    </row>
    <row r="805" spans="1:21">
      <c r="A805" s="2"/>
      <c r="R805" s="23"/>
      <c r="S805" s="23"/>
    </row>
    <row r="807" spans="1:21" ht="16.5">
      <c r="R807" s="146">
        <f>SUM(R6:R805)</f>
        <v>1516631306.075</v>
      </c>
      <c r="S807" s="146">
        <f>SUM(S6:S805)</f>
        <v>1366334509.9774773</v>
      </c>
    </row>
    <row r="808" spans="1:21">
      <c r="R808" s="156"/>
      <c r="S808" s="147"/>
      <c r="U808" s="8"/>
    </row>
    <row r="809" spans="1:21">
      <c r="R809" s="155">
        <f>S809+(S809*11%)</f>
        <v>4401692372.4588995</v>
      </c>
      <c r="S809" s="247">
        <v>3965488623.8368464</v>
      </c>
      <c r="U809" s="246"/>
    </row>
    <row r="810" spans="1:21" ht="15.75">
      <c r="R810" s="208">
        <f>SUM(R807:R809)</f>
        <v>5918323678.5338993</v>
      </c>
      <c r="S810" s="208">
        <f>S807+S808+S809</f>
        <v>5331823133.8143234</v>
      </c>
      <c r="U810" s="246"/>
    </row>
    <row r="811" spans="1:21">
      <c r="R811" s="150"/>
      <c r="S811" s="150"/>
    </row>
    <row r="812" spans="1:21" ht="15.75">
      <c r="S812" s="294"/>
    </row>
    <row r="813" spans="1:21" ht="15.75">
      <c r="R813" s="153"/>
      <c r="S813" s="154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4"/>
  <sheetViews>
    <sheetView zoomScale="90" zoomScaleNormal="90" workbookViewId="0">
      <pane xSplit="1" ySplit="3" topLeftCell="B495" activePane="bottomRight" state="frozen"/>
      <selection pane="topRight" activeCell="B1" sqref="B1"/>
      <selection pane="bottomLeft" activeCell="A4" sqref="A4"/>
      <selection pane="bottomRight" activeCell="A512" sqref="A512:XFD512"/>
    </sheetView>
  </sheetViews>
  <sheetFormatPr defaultRowHeight="12.75"/>
  <cols>
    <col min="1" max="1" width="53.42578125" style="34" bestFit="1" customWidth="1"/>
    <col min="2" max="2" width="31.7109375" style="2" customWidth="1"/>
    <col min="3" max="3" width="4.85546875" style="3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831</v>
      </c>
    </row>
    <row r="2" spans="1:19" s="10" customFormat="1">
      <c r="A2" s="328" t="s">
        <v>0</v>
      </c>
      <c r="B2" s="327" t="s">
        <v>1</v>
      </c>
      <c r="C2" s="322" t="s">
        <v>2</v>
      </c>
      <c r="D2" s="322"/>
      <c r="E2" s="329" t="s">
        <v>720</v>
      </c>
      <c r="F2" s="324" t="s">
        <v>4</v>
      </c>
      <c r="G2" s="324"/>
      <c r="H2" s="324"/>
      <c r="I2" s="324"/>
      <c r="J2" s="325" t="s">
        <v>5</v>
      </c>
      <c r="K2" s="326"/>
      <c r="L2" s="326"/>
      <c r="M2" s="327"/>
      <c r="N2" s="318" t="s">
        <v>6</v>
      </c>
      <c r="O2" s="319"/>
      <c r="P2" s="322" t="s">
        <v>7</v>
      </c>
      <c r="Q2" s="322"/>
      <c r="R2" s="323" t="s">
        <v>8</v>
      </c>
      <c r="S2" s="323" t="s">
        <v>9</v>
      </c>
    </row>
    <row r="3" spans="1:19" s="10" customFormat="1">
      <c r="A3" s="328"/>
      <c r="B3" s="327"/>
      <c r="C3" s="322"/>
      <c r="D3" s="322"/>
      <c r="E3" s="329"/>
      <c r="F3" s="324" t="s">
        <v>10</v>
      </c>
      <c r="G3" s="324"/>
      <c r="H3" s="324" t="s">
        <v>11</v>
      </c>
      <c r="I3" s="324"/>
      <c r="J3" s="11" t="s">
        <v>12</v>
      </c>
      <c r="K3" s="12" t="s">
        <v>13</v>
      </c>
      <c r="L3" s="13" t="s">
        <v>14</v>
      </c>
      <c r="M3" s="13" t="s">
        <v>15</v>
      </c>
      <c r="N3" s="320"/>
      <c r="O3" s="321"/>
      <c r="P3" s="322"/>
      <c r="Q3" s="322"/>
      <c r="R3" s="323"/>
      <c r="S3" s="323"/>
    </row>
    <row r="4" spans="1:19" ht="15.75">
      <c r="A4" s="14" t="s">
        <v>16</v>
      </c>
    </row>
    <row r="5" spans="1:19">
      <c r="A5" s="15" t="s">
        <v>17</v>
      </c>
    </row>
    <row r="6" spans="1:19" s="17" customFormat="1">
      <c r="A6" s="16" t="s">
        <v>18</v>
      </c>
      <c r="B6" s="17" t="s">
        <v>19</v>
      </c>
      <c r="C6" s="18"/>
      <c r="D6" s="19" t="s">
        <v>20</v>
      </c>
      <c r="E6" s="20"/>
      <c r="F6" s="21">
        <v>1</v>
      </c>
      <c r="G6" s="22" t="s">
        <v>21</v>
      </c>
      <c r="H6" s="21">
        <v>60</v>
      </c>
      <c r="I6" s="22" t="s">
        <v>20</v>
      </c>
      <c r="J6" s="23">
        <v>45500</v>
      </c>
      <c r="K6" s="19" t="s">
        <v>20</v>
      </c>
      <c r="L6" s="24">
        <v>0.125</v>
      </c>
      <c r="M6" s="24">
        <v>0.05</v>
      </c>
      <c r="N6" s="21"/>
      <c r="O6" s="22" t="s">
        <v>20</v>
      </c>
      <c r="P6" s="18">
        <f t="shared" ref="P6:P18" si="0">(C6+(E6*F6*H6))-N6</f>
        <v>0</v>
      </c>
      <c r="Q6" s="22" t="s">
        <v>20</v>
      </c>
      <c r="R6" s="23">
        <f t="shared" ref="R6:R18" si="1">P6*(J6-(J6*L6)-((J6-(J6*L6))*M6))</f>
        <v>0</v>
      </c>
      <c r="S6" s="23">
        <f>R6/1.11</f>
        <v>0</v>
      </c>
    </row>
    <row r="7" spans="1:19" s="17" customFormat="1">
      <c r="A7" s="16" t="s">
        <v>839</v>
      </c>
      <c r="B7" s="17" t="s">
        <v>19</v>
      </c>
      <c r="C7" s="18"/>
      <c r="D7" s="19" t="s">
        <v>20</v>
      </c>
      <c r="E7" s="20">
        <v>1</v>
      </c>
      <c r="F7" s="21">
        <v>1</v>
      </c>
      <c r="G7" s="22" t="s">
        <v>21</v>
      </c>
      <c r="H7" s="21">
        <v>48</v>
      </c>
      <c r="I7" s="22" t="s">
        <v>20</v>
      </c>
      <c r="J7" s="23">
        <v>26000</v>
      </c>
      <c r="K7" s="19" t="s">
        <v>20</v>
      </c>
      <c r="L7" s="24">
        <v>0.125</v>
      </c>
      <c r="M7" s="24">
        <v>0.05</v>
      </c>
      <c r="N7" s="21">
        <v>48</v>
      </c>
      <c r="O7" s="22" t="s">
        <v>20</v>
      </c>
      <c r="P7" s="18">
        <f t="shared" si="0"/>
        <v>0</v>
      </c>
      <c r="Q7" s="22" t="s">
        <v>20</v>
      </c>
      <c r="R7" s="23">
        <f t="shared" si="1"/>
        <v>0</v>
      </c>
      <c r="S7" s="23">
        <f t="shared" ref="S7:S85" si="2">R7/1.11</f>
        <v>0</v>
      </c>
    </row>
    <row r="8" spans="1:19" s="17" customFormat="1">
      <c r="A8" s="16" t="s">
        <v>22</v>
      </c>
      <c r="B8" s="17" t="s">
        <v>19</v>
      </c>
      <c r="C8" s="18"/>
      <c r="D8" s="19" t="s">
        <v>20</v>
      </c>
      <c r="E8" s="20"/>
      <c r="F8" s="21">
        <v>1</v>
      </c>
      <c r="G8" s="22" t="s">
        <v>21</v>
      </c>
      <c r="H8" s="21">
        <v>48</v>
      </c>
      <c r="I8" s="22" t="s">
        <v>20</v>
      </c>
      <c r="J8" s="23">
        <v>28000</v>
      </c>
      <c r="K8" s="19" t="s">
        <v>20</v>
      </c>
      <c r="L8" s="24">
        <v>0.125</v>
      </c>
      <c r="M8" s="24">
        <v>0.05</v>
      </c>
      <c r="N8" s="21"/>
      <c r="O8" s="22" t="s">
        <v>20</v>
      </c>
      <c r="P8" s="18">
        <f t="shared" ref="P8" si="3">(C8+(E8*F8*H8))-N8</f>
        <v>0</v>
      </c>
      <c r="Q8" s="22" t="s">
        <v>20</v>
      </c>
      <c r="R8" s="23">
        <f t="shared" ref="R8" si="4">P8*(J8-(J8*L8)-((J8-(J8*L8))*M8))</f>
        <v>0</v>
      </c>
      <c r="S8" s="23">
        <f t="shared" ref="S8" si="5">R8/1.11</f>
        <v>0</v>
      </c>
    </row>
    <row r="9" spans="1:19" s="17" customFormat="1">
      <c r="A9" s="16" t="s">
        <v>23</v>
      </c>
      <c r="B9" s="17" t="s">
        <v>19</v>
      </c>
      <c r="C9" s="18"/>
      <c r="D9" s="19" t="s">
        <v>20</v>
      </c>
      <c r="E9" s="20"/>
      <c r="F9" s="21">
        <v>1</v>
      </c>
      <c r="G9" s="22" t="s">
        <v>21</v>
      </c>
      <c r="H9" s="21">
        <v>48</v>
      </c>
      <c r="I9" s="22" t="s">
        <v>20</v>
      </c>
      <c r="J9" s="23">
        <v>31700</v>
      </c>
      <c r="K9" s="19" t="s">
        <v>20</v>
      </c>
      <c r="L9" s="24">
        <v>0.125</v>
      </c>
      <c r="M9" s="24">
        <v>0.05</v>
      </c>
      <c r="N9" s="21"/>
      <c r="O9" s="22" t="s">
        <v>20</v>
      </c>
      <c r="P9" s="18">
        <f t="shared" si="0"/>
        <v>0</v>
      </c>
      <c r="Q9" s="22" t="s">
        <v>20</v>
      </c>
      <c r="R9" s="23">
        <f t="shared" si="1"/>
        <v>0</v>
      </c>
      <c r="S9" s="23">
        <f t="shared" si="2"/>
        <v>0</v>
      </c>
    </row>
    <row r="10" spans="1:19" s="17" customFormat="1">
      <c r="A10" s="16" t="s">
        <v>24</v>
      </c>
      <c r="B10" s="17" t="s">
        <v>19</v>
      </c>
      <c r="C10" s="18"/>
      <c r="D10" s="19" t="s">
        <v>20</v>
      </c>
      <c r="E10" s="20"/>
      <c r="F10" s="21">
        <v>1</v>
      </c>
      <c r="G10" s="22" t="s">
        <v>21</v>
      </c>
      <c r="H10" s="21">
        <v>48</v>
      </c>
      <c r="I10" s="22" t="s">
        <v>20</v>
      </c>
      <c r="J10" s="23">
        <v>25000</v>
      </c>
      <c r="K10" s="19" t="s">
        <v>20</v>
      </c>
      <c r="L10" s="24">
        <v>0.125</v>
      </c>
      <c r="M10" s="24">
        <v>0.05</v>
      </c>
      <c r="N10" s="21"/>
      <c r="O10" s="22" t="s">
        <v>20</v>
      </c>
      <c r="P10" s="18">
        <f t="shared" si="0"/>
        <v>0</v>
      </c>
      <c r="Q10" s="22" t="s">
        <v>20</v>
      </c>
      <c r="R10" s="23">
        <f t="shared" si="1"/>
        <v>0</v>
      </c>
      <c r="S10" s="23">
        <f t="shared" si="2"/>
        <v>0</v>
      </c>
    </row>
    <row r="11" spans="1:19" s="17" customFormat="1">
      <c r="A11" s="16"/>
      <c r="C11" s="18"/>
      <c r="D11" s="19"/>
      <c r="E11" s="20"/>
      <c r="F11" s="21"/>
      <c r="G11" s="22"/>
      <c r="H11" s="21"/>
      <c r="I11" s="22"/>
      <c r="J11" s="23"/>
      <c r="K11" s="19"/>
      <c r="L11" s="24"/>
      <c r="M11" s="24"/>
      <c r="N11" s="21"/>
      <c r="O11" s="22"/>
      <c r="P11" s="18"/>
      <c r="Q11" s="22"/>
      <c r="R11" s="23"/>
      <c r="S11" s="23"/>
    </row>
    <row r="12" spans="1:19" s="17" customFormat="1">
      <c r="A12" s="16" t="s">
        <v>25</v>
      </c>
      <c r="B12" s="17" t="s">
        <v>26</v>
      </c>
      <c r="C12" s="18"/>
      <c r="D12" s="19" t="s">
        <v>20</v>
      </c>
      <c r="E12" s="20"/>
      <c r="F12" s="21">
        <v>1</v>
      </c>
      <c r="G12" s="22" t="s">
        <v>21</v>
      </c>
      <c r="H12" s="21">
        <v>60</v>
      </c>
      <c r="I12" s="22" t="s">
        <v>20</v>
      </c>
      <c r="J12" s="23">
        <v>23800</v>
      </c>
      <c r="K12" s="19" t="s">
        <v>20</v>
      </c>
      <c r="L12" s="24"/>
      <c r="M12" s="24">
        <v>0.17</v>
      </c>
      <c r="N12" s="21"/>
      <c r="O12" s="22" t="s">
        <v>20</v>
      </c>
      <c r="P12" s="18">
        <f t="shared" si="0"/>
        <v>0</v>
      </c>
      <c r="Q12" s="22" t="s">
        <v>20</v>
      </c>
      <c r="R12" s="23">
        <f t="shared" si="1"/>
        <v>0</v>
      </c>
      <c r="S12" s="23">
        <f t="shared" si="2"/>
        <v>0</v>
      </c>
    </row>
    <row r="13" spans="1:19" s="26" customFormat="1">
      <c r="A13" s="25" t="s">
        <v>27</v>
      </c>
      <c r="B13" s="26" t="s">
        <v>26</v>
      </c>
      <c r="C13" s="27">
        <v>60</v>
      </c>
      <c r="D13" s="28" t="s">
        <v>20</v>
      </c>
      <c r="E13" s="29"/>
      <c r="F13" s="30">
        <v>1</v>
      </c>
      <c r="G13" s="31" t="s">
        <v>21</v>
      </c>
      <c r="H13" s="30">
        <v>60</v>
      </c>
      <c r="I13" s="31" t="s">
        <v>20</v>
      </c>
      <c r="J13" s="32">
        <f>1500000/60</f>
        <v>25000</v>
      </c>
      <c r="K13" s="28" t="s">
        <v>20</v>
      </c>
      <c r="L13" s="33"/>
      <c r="M13" s="33">
        <v>0.17</v>
      </c>
      <c r="N13" s="30"/>
      <c r="O13" s="31" t="s">
        <v>20</v>
      </c>
      <c r="P13" s="27">
        <f t="shared" si="0"/>
        <v>60</v>
      </c>
      <c r="Q13" s="31" t="s">
        <v>20</v>
      </c>
      <c r="R13" s="32">
        <f t="shared" si="1"/>
        <v>1245000</v>
      </c>
      <c r="S13" s="32">
        <f t="shared" si="2"/>
        <v>1121621.6216216215</v>
      </c>
    </row>
    <row r="14" spans="1:19" s="17" customFormat="1">
      <c r="A14" s="16" t="s">
        <v>28</v>
      </c>
      <c r="B14" s="17" t="s">
        <v>26</v>
      </c>
      <c r="C14" s="18"/>
      <c r="D14" s="19" t="s">
        <v>20</v>
      </c>
      <c r="E14" s="20"/>
      <c r="F14" s="21">
        <v>1</v>
      </c>
      <c r="G14" s="22" t="s">
        <v>21</v>
      </c>
      <c r="H14" s="21">
        <v>60</v>
      </c>
      <c r="I14" s="22" t="s">
        <v>20</v>
      </c>
      <c r="J14" s="23">
        <v>27500</v>
      </c>
      <c r="K14" s="19" t="s">
        <v>20</v>
      </c>
      <c r="L14" s="24"/>
      <c r="M14" s="24">
        <v>0.17</v>
      </c>
      <c r="N14" s="21"/>
      <c r="O14" s="22" t="s">
        <v>20</v>
      </c>
      <c r="P14" s="18">
        <f t="shared" si="0"/>
        <v>0</v>
      </c>
      <c r="Q14" s="22" t="s">
        <v>20</v>
      </c>
      <c r="R14" s="23">
        <f t="shared" si="1"/>
        <v>0</v>
      </c>
      <c r="S14" s="23">
        <f t="shared" si="2"/>
        <v>0</v>
      </c>
    </row>
    <row r="15" spans="1:19" s="17" customFormat="1">
      <c r="A15" s="16" t="s">
        <v>786</v>
      </c>
      <c r="B15" s="17" t="s">
        <v>26</v>
      </c>
      <c r="C15" s="18"/>
      <c r="D15" s="19" t="s">
        <v>20</v>
      </c>
      <c r="E15" s="20"/>
      <c r="F15" s="21">
        <v>1</v>
      </c>
      <c r="G15" s="22" t="s">
        <v>21</v>
      </c>
      <c r="H15" s="21">
        <v>36</v>
      </c>
      <c r="I15" s="22" t="s">
        <v>20</v>
      </c>
      <c r="J15" s="23">
        <f>2520000/36</f>
        <v>70000</v>
      </c>
      <c r="K15" s="19" t="s">
        <v>20</v>
      </c>
      <c r="L15" s="24"/>
      <c r="M15" s="24">
        <v>0.17</v>
      </c>
      <c r="N15" s="21"/>
      <c r="O15" s="22" t="s">
        <v>20</v>
      </c>
      <c r="P15" s="18">
        <f t="shared" si="0"/>
        <v>0</v>
      </c>
      <c r="Q15" s="22" t="s">
        <v>20</v>
      </c>
      <c r="R15" s="23">
        <f t="shared" si="1"/>
        <v>0</v>
      </c>
      <c r="S15" s="23">
        <f t="shared" si="2"/>
        <v>0</v>
      </c>
    </row>
    <row r="16" spans="1:19" s="17" customFormat="1">
      <c r="A16" s="16" t="s">
        <v>29</v>
      </c>
      <c r="B16" s="17" t="s">
        <v>26</v>
      </c>
      <c r="C16" s="18"/>
      <c r="D16" s="19" t="s">
        <v>20</v>
      </c>
      <c r="E16" s="20"/>
      <c r="F16" s="21">
        <v>1</v>
      </c>
      <c r="G16" s="22" t="s">
        <v>21</v>
      </c>
      <c r="H16" s="21">
        <v>36</v>
      </c>
      <c r="I16" s="22" t="s">
        <v>20</v>
      </c>
      <c r="J16" s="23">
        <v>50500</v>
      </c>
      <c r="K16" s="19" t="s">
        <v>20</v>
      </c>
      <c r="L16" s="24"/>
      <c r="M16" s="24">
        <v>0.17</v>
      </c>
      <c r="N16" s="21"/>
      <c r="O16" s="22" t="s">
        <v>20</v>
      </c>
      <c r="P16" s="18">
        <f t="shared" si="0"/>
        <v>0</v>
      </c>
      <c r="Q16" s="22" t="s">
        <v>20</v>
      </c>
      <c r="R16" s="23">
        <f t="shared" si="1"/>
        <v>0</v>
      </c>
      <c r="S16" s="23">
        <f t="shared" si="2"/>
        <v>0</v>
      </c>
    </row>
    <row r="17" spans="1:19" s="63" customFormat="1">
      <c r="A17" s="72" t="s">
        <v>30</v>
      </c>
      <c r="B17" s="63" t="s">
        <v>26</v>
      </c>
      <c r="C17" s="64"/>
      <c r="D17" s="65" t="s">
        <v>20</v>
      </c>
      <c r="E17" s="66"/>
      <c r="F17" s="67">
        <v>1</v>
      </c>
      <c r="G17" s="68" t="s">
        <v>21</v>
      </c>
      <c r="H17" s="67">
        <v>72</v>
      </c>
      <c r="I17" s="68" t="s">
        <v>20</v>
      </c>
      <c r="J17" s="69">
        <v>37000</v>
      </c>
      <c r="K17" s="65" t="s">
        <v>20</v>
      </c>
      <c r="L17" s="70"/>
      <c r="M17" s="70">
        <v>0.17</v>
      </c>
      <c r="N17" s="67"/>
      <c r="O17" s="68" t="s">
        <v>20</v>
      </c>
      <c r="P17" s="64">
        <f t="shared" si="0"/>
        <v>0</v>
      </c>
      <c r="Q17" s="68" t="s">
        <v>20</v>
      </c>
      <c r="R17" s="69">
        <f t="shared" si="1"/>
        <v>0</v>
      </c>
      <c r="S17" s="69">
        <f t="shared" si="2"/>
        <v>0</v>
      </c>
    </row>
    <row r="18" spans="1:19" s="17" customFormat="1">
      <c r="A18" s="16" t="s">
        <v>31</v>
      </c>
      <c r="B18" s="17" t="s">
        <v>26</v>
      </c>
      <c r="C18" s="18"/>
      <c r="D18" s="19" t="s">
        <v>20</v>
      </c>
      <c r="E18" s="20"/>
      <c r="F18" s="21">
        <v>1</v>
      </c>
      <c r="G18" s="22" t="s">
        <v>21</v>
      </c>
      <c r="H18" s="21">
        <v>72</v>
      </c>
      <c r="I18" s="22" t="s">
        <v>20</v>
      </c>
      <c r="J18" s="23">
        <v>30000</v>
      </c>
      <c r="K18" s="19" t="s">
        <v>20</v>
      </c>
      <c r="L18" s="24"/>
      <c r="M18" s="24">
        <v>0.17</v>
      </c>
      <c r="N18" s="21"/>
      <c r="O18" s="22" t="s">
        <v>20</v>
      </c>
      <c r="P18" s="18">
        <f t="shared" si="0"/>
        <v>0</v>
      </c>
      <c r="Q18" s="22" t="s">
        <v>20</v>
      </c>
      <c r="R18" s="23">
        <f t="shared" si="1"/>
        <v>0</v>
      </c>
      <c r="S18" s="23">
        <f t="shared" si="2"/>
        <v>0</v>
      </c>
    </row>
    <row r="19" spans="1:19" s="17" customFormat="1">
      <c r="A19" s="16"/>
      <c r="C19" s="18"/>
      <c r="D19" s="19"/>
      <c r="E19" s="20"/>
      <c r="F19" s="21"/>
      <c r="G19" s="22"/>
      <c r="H19" s="21"/>
      <c r="I19" s="22"/>
      <c r="J19" s="23"/>
      <c r="K19" s="19"/>
      <c r="L19" s="24"/>
      <c r="M19" s="24"/>
      <c r="N19" s="21"/>
      <c r="O19" s="22"/>
      <c r="P19" s="18"/>
      <c r="Q19" s="22"/>
      <c r="R19" s="23"/>
      <c r="S19" s="23"/>
    </row>
    <row r="20" spans="1:19">
      <c r="A20" s="15" t="s">
        <v>32</v>
      </c>
      <c r="S20" s="23"/>
    </row>
    <row r="21" spans="1:19" s="26" customFormat="1">
      <c r="A21" s="25" t="s">
        <v>33</v>
      </c>
      <c r="B21" s="26" t="s">
        <v>19</v>
      </c>
      <c r="C21" s="27">
        <v>60</v>
      </c>
      <c r="D21" s="28" t="s">
        <v>34</v>
      </c>
      <c r="E21" s="29"/>
      <c r="F21" s="30">
        <v>1</v>
      </c>
      <c r="G21" s="31" t="s">
        <v>21</v>
      </c>
      <c r="H21" s="30">
        <v>60</v>
      </c>
      <c r="I21" s="31" t="s">
        <v>34</v>
      </c>
      <c r="J21" s="32">
        <v>22200</v>
      </c>
      <c r="K21" s="28" t="s">
        <v>34</v>
      </c>
      <c r="L21" s="33">
        <v>0.125</v>
      </c>
      <c r="M21" s="33">
        <v>0.05</v>
      </c>
      <c r="N21" s="30"/>
      <c r="O21" s="31" t="s">
        <v>34</v>
      </c>
      <c r="P21" s="27">
        <f t="shared" ref="P21:P28" si="6">(C21+(E21*F21*H21))-N21</f>
        <v>60</v>
      </c>
      <c r="Q21" s="31" t="s">
        <v>34</v>
      </c>
      <c r="R21" s="32">
        <f t="shared" ref="R21:R28" si="7">P21*(J21-(J21*L21)-((J21-(J21*L21))*M21))</f>
        <v>1107225</v>
      </c>
      <c r="S21" s="32">
        <f t="shared" si="2"/>
        <v>997499.99999999988</v>
      </c>
    </row>
    <row r="22" spans="1:19" s="26" customFormat="1">
      <c r="A22" s="25" t="s">
        <v>35</v>
      </c>
      <c r="B22" s="26" t="s">
        <v>19</v>
      </c>
      <c r="C22" s="27">
        <v>60</v>
      </c>
      <c r="D22" s="28" t="s">
        <v>34</v>
      </c>
      <c r="E22" s="29"/>
      <c r="F22" s="30">
        <v>1</v>
      </c>
      <c r="G22" s="31" t="s">
        <v>21</v>
      </c>
      <c r="H22" s="30">
        <v>60</v>
      </c>
      <c r="I22" s="31" t="s">
        <v>34</v>
      </c>
      <c r="J22" s="32">
        <v>31500</v>
      </c>
      <c r="K22" s="28" t="s">
        <v>34</v>
      </c>
      <c r="L22" s="33">
        <v>0.125</v>
      </c>
      <c r="M22" s="33">
        <v>0.05</v>
      </c>
      <c r="N22" s="30"/>
      <c r="O22" s="31" t="s">
        <v>34</v>
      </c>
      <c r="P22" s="27">
        <f t="shared" si="6"/>
        <v>60</v>
      </c>
      <c r="Q22" s="31" t="s">
        <v>34</v>
      </c>
      <c r="R22" s="32">
        <f t="shared" si="7"/>
        <v>1571062.5</v>
      </c>
      <c r="S22" s="32">
        <f t="shared" si="2"/>
        <v>1415371.6216216215</v>
      </c>
    </row>
    <row r="23" spans="1:19" s="17" customFormat="1">
      <c r="A23" s="16" t="s">
        <v>36</v>
      </c>
      <c r="B23" s="17" t="s">
        <v>19</v>
      </c>
      <c r="C23" s="18"/>
      <c r="D23" s="19" t="s">
        <v>34</v>
      </c>
      <c r="E23" s="20"/>
      <c r="F23" s="21">
        <v>1</v>
      </c>
      <c r="G23" s="22" t="s">
        <v>21</v>
      </c>
      <c r="H23" s="21">
        <v>60</v>
      </c>
      <c r="I23" s="22" t="s">
        <v>34</v>
      </c>
      <c r="J23" s="23">
        <v>31200</v>
      </c>
      <c r="K23" s="19" t="s">
        <v>34</v>
      </c>
      <c r="L23" s="24">
        <v>0.125</v>
      </c>
      <c r="M23" s="24">
        <v>0.05</v>
      </c>
      <c r="N23" s="21"/>
      <c r="O23" s="22" t="s">
        <v>34</v>
      </c>
      <c r="P23" s="18">
        <f t="shared" si="6"/>
        <v>0</v>
      </c>
      <c r="Q23" s="22" t="s">
        <v>34</v>
      </c>
      <c r="R23" s="23">
        <f t="shared" si="7"/>
        <v>0</v>
      </c>
      <c r="S23" s="23">
        <f t="shared" si="2"/>
        <v>0</v>
      </c>
    </row>
    <row r="24" spans="1:19" s="17" customFormat="1">
      <c r="A24" s="16" t="s">
        <v>772</v>
      </c>
      <c r="B24" s="17" t="s">
        <v>19</v>
      </c>
      <c r="C24" s="18"/>
      <c r="D24" s="19" t="s">
        <v>34</v>
      </c>
      <c r="E24" s="20"/>
      <c r="F24" s="21">
        <v>1</v>
      </c>
      <c r="G24" s="22" t="s">
        <v>21</v>
      </c>
      <c r="H24" s="21">
        <v>50</v>
      </c>
      <c r="I24" s="22" t="s">
        <v>34</v>
      </c>
      <c r="J24" s="23">
        <v>66000</v>
      </c>
      <c r="K24" s="19" t="s">
        <v>34</v>
      </c>
      <c r="L24" s="24">
        <v>0.125</v>
      </c>
      <c r="M24" s="24">
        <v>0.05</v>
      </c>
      <c r="N24" s="21"/>
      <c r="O24" s="22" t="s">
        <v>34</v>
      </c>
      <c r="P24" s="18">
        <f t="shared" si="6"/>
        <v>0</v>
      </c>
      <c r="Q24" s="22" t="s">
        <v>34</v>
      </c>
      <c r="R24" s="23">
        <f t="shared" si="7"/>
        <v>0</v>
      </c>
      <c r="S24" s="23">
        <f t="shared" si="2"/>
        <v>0</v>
      </c>
    </row>
    <row r="25" spans="1:19" s="17" customFormat="1">
      <c r="A25" s="16" t="s">
        <v>37</v>
      </c>
      <c r="B25" s="17" t="s">
        <v>19</v>
      </c>
      <c r="C25" s="18"/>
      <c r="D25" s="19" t="s">
        <v>34</v>
      </c>
      <c r="E25" s="20"/>
      <c r="F25" s="21">
        <v>1</v>
      </c>
      <c r="G25" s="22" t="s">
        <v>21</v>
      </c>
      <c r="H25" s="21">
        <v>180</v>
      </c>
      <c r="I25" s="22" t="s">
        <v>34</v>
      </c>
      <c r="J25" s="23">
        <v>9120</v>
      </c>
      <c r="K25" s="19" t="s">
        <v>34</v>
      </c>
      <c r="L25" s="24">
        <v>0.125</v>
      </c>
      <c r="M25" s="24">
        <v>0.05</v>
      </c>
      <c r="N25" s="21"/>
      <c r="O25" s="22" t="s">
        <v>34</v>
      </c>
      <c r="P25" s="18">
        <f t="shared" si="6"/>
        <v>0</v>
      </c>
      <c r="Q25" s="22" t="s">
        <v>34</v>
      </c>
      <c r="R25" s="23">
        <f t="shared" si="7"/>
        <v>0</v>
      </c>
      <c r="S25" s="23">
        <f t="shared" si="2"/>
        <v>0</v>
      </c>
    </row>
    <row r="26" spans="1:19" s="17" customFormat="1">
      <c r="A26" s="16" t="s">
        <v>38</v>
      </c>
      <c r="B26" s="17" t="s">
        <v>19</v>
      </c>
      <c r="C26" s="18"/>
      <c r="D26" s="19" t="s">
        <v>34</v>
      </c>
      <c r="E26" s="20"/>
      <c r="F26" s="21">
        <v>1</v>
      </c>
      <c r="G26" s="22" t="s">
        <v>21</v>
      </c>
      <c r="H26" s="21">
        <v>32</v>
      </c>
      <c r="I26" s="22" t="s">
        <v>34</v>
      </c>
      <c r="J26" s="23">
        <v>64800</v>
      </c>
      <c r="K26" s="19" t="s">
        <v>34</v>
      </c>
      <c r="L26" s="24">
        <v>0.125</v>
      </c>
      <c r="M26" s="24">
        <v>0.05</v>
      </c>
      <c r="N26" s="21"/>
      <c r="O26" s="22" t="s">
        <v>34</v>
      </c>
      <c r="P26" s="18">
        <f t="shared" si="6"/>
        <v>0</v>
      </c>
      <c r="Q26" s="22" t="s">
        <v>34</v>
      </c>
      <c r="R26" s="23">
        <f t="shared" si="7"/>
        <v>0</v>
      </c>
      <c r="S26" s="23">
        <f t="shared" si="2"/>
        <v>0</v>
      </c>
    </row>
    <row r="27" spans="1:19" s="17" customFormat="1">
      <c r="A27" s="16"/>
      <c r="C27" s="18"/>
      <c r="D27" s="19"/>
      <c r="E27" s="20"/>
      <c r="F27" s="21"/>
      <c r="G27" s="22"/>
      <c r="H27" s="21"/>
      <c r="I27" s="22"/>
      <c r="J27" s="23"/>
      <c r="K27" s="19"/>
      <c r="L27" s="24"/>
      <c r="M27" s="24"/>
      <c r="N27" s="21"/>
      <c r="O27" s="22"/>
      <c r="P27" s="18"/>
      <c r="Q27" s="22"/>
      <c r="R27" s="23"/>
      <c r="S27" s="23"/>
    </row>
    <row r="28" spans="1:19" s="17" customFormat="1">
      <c r="A28" s="16" t="s">
        <v>757</v>
      </c>
      <c r="B28" s="17" t="s">
        <v>26</v>
      </c>
      <c r="C28" s="18"/>
      <c r="D28" s="19" t="s">
        <v>34</v>
      </c>
      <c r="E28" s="20"/>
      <c r="F28" s="21">
        <v>1</v>
      </c>
      <c r="G28" s="22" t="s">
        <v>21</v>
      </c>
      <c r="H28" s="21">
        <v>32</v>
      </c>
      <c r="I28" s="22" t="s">
        <v>34</v>
      </c>
      <c r="J28" s="23">
        <f>1113600/32</f>
        <v>34800</v>
      </c>
      <c r="K28" s="19" t="s">
        <v>34</v>
      </c>
      <c r="L28" s="24"/>
      <c r="M28" s="24">
        <v>0.17</v>
      </c>
      <c r="N28" s="21"/>
      <c r="O28" s="22" t="s">
        <v>34</v>
      </c>
      <c r="P28" s="18">
        <f t="shared" si="6"/>
        <v>0</v>
      </c>
      <c r="Q28" s="22" t="s">
        <v>34</v>
      </c>
      <c r="R28" s="23">
        <f t="shared" si="7"/>
        <v>0</v>
      </c>
      <c r="S28" s="23">
        <f t="shared" si="2"/>
        <v>0</v>
      </c>
    </row>
    <row r="29" spans="1:19">
      <c r="S29" s="23"/>
    </row>
    <row r="30" spans="1:19" ht="15.75">
      <c r="A30" s="14" t="s">
        <v>39</v>
      </c>
      <c r="S30" s="23"/>
    </row>
    <row r="31" spans="1:19">
      <c r="A31" s="15" t="s">
        <v>40</v>
      </c>
      <c r="S31" s="23"/>
    </row>
    <row r="32" spans="1:19" s="17" customFormat="1">
      <c r="A32" s="16" t="s">
        <v>41</v>
      </c>
      <c r="B32" s="17" t="s">
        <v>19</v>
      </c>
      <c r="C32" s="18"/>
      <c r="D32" s="19" t="s">
        <v>20</v>
      </c>
      <c r="E32" s="20"/>
      <c r="F32" s="21">
        <v>1</v>
      </c>
      <c r="G32" s="22" t="s">
        <v>21</v>
      </c>
      <c r="H32" s="21">
        <v>60</v>
      </c>
      <c r="I32" s="22" t="s">
        <v>20</v>
      </c>
      <c r="J32" s="23">
        <v>18500</v>
      </c>
      <c r="K32" s="19" t="s">
        <v>20</v>
      </c>
      <c r="L32" s="24">
        <v>0.125</v>
      </c>
      <c r="M32" s="24">
        <v>0.05</v>
      </c>
      <c r="N32" s="21"/>
      <c r="O32" s="22" t="s">
        <v>20</v>
      </c>
      <c r="P32" s="18">
        <f t="shared" ref="P32:P39" si="8">(C32+(E32*F32*H32))-N32</f>
        <v>0</v>
      </c>
      <c r="Q32" s="22" t="s">
        <v>20</v>
      </c>
      <c r="R32" s="23">
        <f t="shared" ref="R32:R39" si="9">P32*(J32-(J32*L32)-((J32-(J32*L32))*M32))</f>
        <v>0</v>
      </c>
      <c r="S32" s="23">
        <f t="shared" si="2"/>
        <v>0</v>
      </c>
    </row>
    <row r="33" spans="1:19" s="17" customFormat="1">
      <c r="A33" s="16"/>
      <c r="C33" s="18"/>
      <c r="D33" s="19"/>
      <c r="E33" s="20"/>
      <c r="F33" s="21"/>
      <c r="G33" s="22"/>
      <c r="H33" s="21"/>
      <c r="I33" s="22"/>
      <c r="J33" s="23"/>
      <c r="K33" s="19"/>
      <c r="L33" s="24"/>
      <c r="M33" s="24"/>
      <c r="N33" s="21"/>
      <c r="O33" s="22"/>
      <c r="P33" s="18"/>
      <c r="Q33" s="22"/>
      <c r="R33" s="23"/>
      <c r="S33" s="23"/>
    </row>
    <row r="34" spans="1:19" s="45" customFormat="1">
      <c r="A34" s="44" t="s">
        <v>42</v>
      </c>
      <c r="B34" s="45" t="s">
        <v>26</v>
      </c>
      <c r="C34" s="46">
        <v>14</v>
      </c>
      <c r="D34" s="47" t="s">
        <v>43</v>
      </c>
      <c r="E34" s="48"/>
      <c r="F34" s="49">
        <v>1</v>
      </c>
      <c r="G34" s="50" t="s">
        <v>21</v>
      </c>
      <c r="H34" s="49">
        <v>5</v>
      </c>
      <c r="I34" s="50" t="s">
        <v>43</v>
      </c>
      <c r="J34" s="51">
        <f>720000/5</f>
        <v>144000</v>
      </c>
      <c r="K34" s="47" t="s">
        <v>43</v>
      </c>
      <c r="L34" s="52"/>
      <c r="M34" s="52">
        <v>0.17</v>
      </c>
      <c r="N34" s="49">
        <f>5+5</f>
        <v>10</v>
      </c>
      <c r="O34" s="169" t="s">
        <v>43</v>
      </c>
      <c r="P34" s="46">
        <f t="shared" si="8"/>
        <v>4</v>
      </c>
      <c r="Q34" s="50" t="s">
        <v>43</v>
      </c>
      <c r="R34" s="51">
        <f t="shared" si="9"/>
        <v>478080</v>
      </c>
      <c r="S34" s="51">
        <f t="shared" si="2"/>
        <v>430702.70270270266</v>
      </c>
    </row>
    <row r="35" spans="1:19" s="45" customFormat="1">
      <c r="A35" s="44" t="s">
        <v>44</v>
      </c>
      <c r="B35" s="45" t="s">
        <v>26</v>
      </c>
      <c r="C35" s="46">
        <v>40</v>
      </c>
      <c r="D35" s="47" t="s">
        <v>43</v>
      </c>
      <c r="E35" s="48"/>
      <c r="F35" s="49">
        <v>1</v>
      </c>
      <c r="G35" s="50" t="s">
        <v>21</v>
      </c>
      <c r="H35" s="49">
        <v>5</v>
      </c>
      <c r="I35" s="50" t="s">
        <v>43</v>
      </c>
      <c r="J35" s="51">
        <f>708000/5</f>
        <v>141600</v>
      </c>
      <c r="K35" s="47" t="s">
        <v>43</v>
      </c>
      <c r="L35" s="52"/>
      <c r="M35" s="52">
        <v>0.17</v>
      </c>
      <c r="N35" s="49">
        <v>5</v>
      </c>
      <c r="O35" s="169" t="s">
        <v>43</v>
      </c>
      <c r="P35" s="46">
        <f t="shared" si="8"/>
        <v>35</v>
      </c>
      <c r="Q35" s="50" t="s">
        <v>43</v>
      </c>
      <c r="R35" s="51">
        <f t="shared" si="9"/>
        <v>4113480</v>
      </c>
      <c r="S35" s="51">
        <f t="shared" si="2"/>
        <v>3705837.8378378376</v>
      </c>
    </row>
    <row r="36" spans="1:19" s="45" customFormat="1">
      <c r="A36" s="35" t="s">
        <v>45</v>
      </c>
      <c r="B36" s="36" t="s">
        <v>26</v>
      </c>
      <c r="C36" s="37">
        <v>23</v>
      </c>
      <c r="D36" s="38" t="s">
        <v>43</v>
      </c>
      <c r="E36" s="39"/>
      <c r="F36" s="40">
        <v>1</v>
      </c>
      <c r="G36" s="41" t="s">
        <v>21</v>
      </c>
      <c r="H36" s="40">
        <v>5</v>
      </c>
      <c r="I36" s="41" t="s">
        <v>43</v>
      </c>
      <c r="J36" s="42">
        <f>915000/5</f>
        <v>183000</v>
      </c>
      <c r="K36" s="38" t="s">
        <v>43</v>
      </c>
      <c r="L36" s="43"/>
      <c r="M36" s="43">
        <v>0.17</v>
      </c>
      <c r="N36" s="40">
        <v>5</v>
      </c>
      <c r="O36" s="202" t="s">
        <v>43</v>
      </c>
      <c r="P36" s="37">
        <f t="shared" si="8"/>
        <v>18</v>
      </c>
      <c r="Q36" s="41" t="s">
        <v>43</v>
      </c>
      <c r="R36" s="42">
        <f t="shared" si="9"/>
        <v>2734020</v>
      </c>
      <c r="S36" s="42">
        <f t="shared" si="2"/>
        <v>2463081.0810810807</v>
      </c>
    </row>
    <row r="37" spans="1:19" s="45" customFormat="1">
      <c r="A37" s="35" t="s">
        <v>45</v>
      </c>
      <c r="B37" s="36" t="s">
        <v>26</v>
      </c>
      <c r="C37" s="37">
        <v>5</v>
      </c>
      <c r="D37" s="38" t="s">
        <v>43</v>
      </c>
      <c r="E37" s="39"/>
      <c r="F37" s="40">
        <v>1</v>
      </c>
      <c r="G37" s="41" t="s">
        <v>21</v>
      </c>
      <c r="H37" s="40">
        <v>5</v>
      </c>
      <c r="I37" s="41" t="s">
        <v>43</v>
      </c>
      <c r="J37" s="42">
        <f>990000/5</f>
        <v>198000</v>
      </c>
      <c r="K37" s="38" t="s">
        <v>43</v>
      </c>
      <c r="L37" s="43"/>
      <c r="M37" s="43">
        <v>0.17</v>
      </c>
      <c r="N37" s="40"/>
      <c r="O37" s="202" t="s">
        <v>43</v>
      </c>
      <c r="P37" s="37">
        <f t="shared" si="8"/>
        <v>5</v>
      </c>
      <c r="Q37" s="41" t="s">
        <v>43</v>
      </c>
      <c r="R37" s="42">
        <f t="shared" si="9"/>
        <v>821700</v>
      </c>
      <c r="S37" s="42">
        <f t="shared" si="2"/>
        <v>740270.27027027018</v>
      </c>
    </row>
    <row r="38" spans="1:19" s="45" customFormat="1">
      <c r="A38" s="249" t="s">
        <v>46</v>
      </c>
      <c r="B38" s="250" t="s">
        <v>26</v>
      </c>
      <c r="C38" s="251">
        <v>15</v>
      </c>
      <c r="D38" s="252" t="s">
        <v>43</v>
      </c>
      <c r="E38" s="262"/>
      <c r="F38" s="263">
        <v>1</v>
      </c>
      <c r="G38" s="264" t="s">
        <v>21</v>
      </c>
      <c r="H38" s="263">
        <v>5</v>
      </c>
      <c r="I38" s="264" t="s">
        <v>43</v>
      </c>
      <c r="J38" s="265">
        <f>900000/5</f>
        <v>180000</v>
      </c>
      <c r="K38" s="252" t="s">
        <v>43</v>
      </c>
      <c r="L38" s="266"/>
      <c r="M38" s="266">
        <v>0.17</v>
      </c>
      <c r="N38" s="263">
        <v>5</v>
      </c>
      <c r="O38" s="267" t="s">
        <v>43</v>
      </c>
      <c r="P38" s="251">
        <f t="shared" si="8"/>
        <v>10</v>
      </c>
      <c r="Q38" s="264" t="s">
        <v>43</v>
      </c>
      <c r="R38" s="265">
        <f t="shared" si="9"/>
        <v>1494000</v>
      </c>
      <c r="S38" s="265">
        <f t="shared" si="2"/>
        <v>1345945.9459459458</v>
      </c>
    </row>
    <row r="39" spans="1:19" s="45" customFormat="1">
      <c r="A39" s="249" t="s">
        <v>46</v>
      </c>
      <c r="B39" s="250" t="s">
        <v>26</v>
      </c>
      <c r="C39" s="251">
        <v>5</v>
      </c>
      <c r="D39" s="252" t="s">
        <v>43</v>
      </c>
      <c r="E39" s="262"/>
      <c r="F39" s="263">
        <v>1</v>
      </c>
      <c r="G39" s="264" t="s">
        <v>21</v>
      </c>
      <c r="H39" s="263">
        <v>5</v>
      </c>
      <c r="I39" s="264" t="s">
        <v>43</v>
      </c>
      <c r="J39" s="265">
        <f>975000/5</f>
        <v>195000</v>
      </c>
      <c r="K39" s="252" t="s">
        <v>43</v>
      </c>
      <c r="L39" s="266"/>
      <c r="M39" s="266">
        <v>0.17</v>
      </c>
      <c r="N39" s="263"/>
      <c r="O39" s="267" t="s">
        <v>43</v>
      </c>
      <c r="P39" s="251">
        <f t="shared" si="8"/>
        <v>5</v>
      </c>
      <c r="Q39" s="264" t="s">
        <v>43</v>
      </c>
      <c r="R39" s="265">
        <f t="shared" si="9"/>
        <v>809250</v>
      </c>
      <c r="S39" s="265">
        <f t="shared" si="2"/>
        <v>729054.05405405397</v>
      </c>
    </row>
    <row r="40" spans="1:19" s="45" customFormat="1">
      <c r="A40" s="44"/>
      <c r="C40" s="46"/>
      <c r="D40" s="47"/>
      <c r="E40" s="48"/>
      <c r="F40" s="49"/>
      <c r="G40" s="50"/>
      <c r="H40" s="49"/>
      <c r="I40" s="50"/>
      <c r="J40" s="51"/>
      <c r="K40" s="47"/>
      <c r="L40" s="52"/>
      <c r="M40" s="52"/>
      <c r="N40" s="49"/>
      <c r="O40" s="169"/>
      <c r="P40" s="46"/>
      <c r="Q40" s="50"/>
      <c r="R40" s="51"/>
      <c r="S40" s="51"/>
    </row>
    <row r="41" spans="1:19">
      <c r="A41" s="15" t="s">
        <v>776</v>
      </c>
      <c r="S41" s="23"/>
    </row>
    <row r="42" spans="1:19" s="17" customFormat="1">
      <c r="A42" s="72" t="s">
        <v>777</v>
      </c>
      <c r="B42" s="17" t="s">
        <v>779</v>
      </c>
      <c r="C42" s="18"/>
      <c r="D42" s="19" t="s">
        <v>20</v>
      </c>
      <c r="E42" s="20"/>
      <c r="F42" s="21">
        <v>1</v>
      </c>
      <c r="G42" s="22" t="s">
        <v>21</v>
      </c>
      <c r="H42" s="21">
        <v>50</v>
      </c>
      <c r="I42" s="22" t="s">
        <v>20</v>
      </c>
      <c r="J42" s="23">
        <v>12870</v>
      </c>
      <c r="K42" s="19" t="s">
        <v>20</v>
      </c>
      <c r="L42" s="24"/>
      <c r="M42" s="24"/>
      <c r="N42" s="21"/>
      <c r="O42" s="22" t="s">
        <v>20</v>
      </c>
      <c r="P42" s="18">
        <f t="shared" ref="P42:P43" si="10">(C42+(E42*F42*H42))-N42</f>
        <v>0</v>
      </c>
      <c r="Q42" s="22" t="s">
        <v>20</v>
      </c>
      <c r="R42" s="23">
        <f t="shared" ref="R42:R43" si="11">P42*(J42-(J42*L42)-((J42-(J42*L42))*M42))</f>
        <v>0</v>
      </c>
      <c r="S42" s="23">
        <f t="shared" ref="S42:S43" si="12">R42/1.11</f>
        <v>0</v>
      </c>
    </row>
    <row r="43" spans="1:19" s="26" customFormat="1">
      <c r="A43" s="44" t="s">
        <v>778</v>
      </c>
      <c r="B43" s="26" t="s">
        <v>779</v>
      </c>
      <c r="C43" s="27">
        <v>20</v>
      </c>
      <c r="D43" s="28" t="s">
        <v>20</v>
      </c>
      <c r="E43" s="29"/>
      <c r="F43" s="30">
        <v>1</v>
      </c>
      <c r="G43" s="31" t="s">
        <v>21</v>
      </c>
      <c r="H43" s="30">
        <v>50</v>
      </c>
      <c r="I43" s="31" t="s">
        <v>20</v>
      </c>
      <c r="J43" s="32">
        <v>12870</v>
      </c>
      <c r="K43" s="28" t="s">
        <v>20</v>
      </c>
      <c r="L43" s="33"/>
      <c r="M43" s="33"/>
      <c r="N43" s="30"/>
      <c r="O43" s="31" t="s">
        <v>20</v>
      </c>
      <c r="P43" s="27">
        <f t="shared" si="10"/>
        <v>20</v>
      </c>
      <c r="Q43" s="31" t="s">
        <v>20</v>
      </c>
      <c r="R43" s="32">
        <f t="shared" si="11"/>
        <v>257400</v>
      </c>
      <c r="S43" s="32">
        <f t="shared" si="12"/>
        <v>231891.89189189186</v>
      </c>
    </row>
    <row r="44" spans="1:19">
      <c r="S44" s="23"/>
    </row>
    <row r="45" spans="1:19" ht="15.75">
      <c r="A45" s="14" t="s">
        <v>47</v>
      </c>
      <c r="S45" s="23"/>
    </row>
    <row r="46" spans="1:19" s="17" customFormat="1">
      <c r="A46" s="16" t="s">
        <v>48</v>
      </c>
      <c r="B46" s="17" t="s">
        <v>49</v>
      </c>
      <c r="C46" s="18"/>
      <c r="D46" s="19" t="s">
        <v>20</v>
      </c>
      <c r="E46" s="20">
        <v>1</v>
      </c>
      <c r="F46" s="21">
        <v>2</v>
      </c>
      <c r="G46" s="22" t="s">
        <v>34</v>
      </c>
      <c r="H46" s="21">
        <v>20</v>
      </c>
      <c r="I46" s="22" t="s">
        <v>20</v>
      </c>
      <c r="J46" s="23">
        <v>64000</v>
      </c>
      <c r="K46" s="19" t="s">
        <v>20</v>
      </c>
      <c r="L46" s="24">
        <v>0.125</v>
      </c>
      <c r="M46" s="24">
        <v>0.05</v>
      </c>
      <c r="N46" s="21">
        <v>40</v>
      </c>
      <c r="O46" s="22" t="s">
        <v>20</v>
      </c>
      <c r="P46" s="18">
        <f t="shared" ref="P46:P72" si="13">(C46+(E46*F46*H46))-N46</f>
        <v>0</v>
      </c>
      <c r="Q46" s="22" t="s">
        <v>20</v>
      </c>
      <c r="R46" s="23">
        <f t="shared" ref="R46:R72" si="14">P46*(J46-(J46*L46)-((J46-(J46*L46))*M46))</f>
        <v>0</v>
      </c>
      <c r="S46" s="23">
        <f t="shared" si="2"/>
        <v>0</v>
      </c>
    </row>
    <row r="47" spans="1:19" s="45" customFormat="1">
      <c r="A47" s="44" t="s">
        <v>50</v>
      </c>
      <c r="B47" s="45" t="s">
        <v>49</v>
      </c>
      <c r="C47" s="46">
        <v>100</v>
      </c>
      <c r="D47" s="47" t="s">
        <v>20</v>
      </c>
      <c r="E47" s="48">
        <f>1+4</f>
        <v>5</v>
      </c>
      <c r="F47" s="49">
        <v>6</v>
      </c>
      <c r="G47" s="50" t="s">
        <v>34</v>
      </c>
      <c r="H47" s="49">
        <v>20</v>
      </c>
      <c r="I47" s="50" t="s">
        <v>20</v>
      </c>
      <c r="J47" s="51">
        <v>47000</v>
      </c>
      <c r="K47" s="47" t="s">
        <v>20</v>
      </c>
      <c r="L47" s="52">
        <v>0.125</v>
      </c>
      <c r="M47" s="52">
        <v>0.05</v>
      </c>
      <c r="N47" s="49">
        <f>120+3+3+85+480</f>
        <v>691</v>
      </c>
      <c r="O47" s="50" t="s">
        <v>20</v>
      </c>
      <c r="P47" s="46">
        <f t="shared" si="13"/>
        <v>9</v>
      </c>
      <c r="Q47" s="50" t="s">
        <v>20</v>
      </c>
      <c r="R47" s="51">
        <f t="shared" si="14"/>
        <v>351618.75</v>
      </c>
      <c r="S47" s="51">
        <f t="shared" si="2"/>
        <v>316773.64864864864</v>
      </c>
    </row>
    <row r="48" spans="1:19" s="17" customFormat="1">
      <c r="A48" s="16" t="s">
        <v>51</v>
      </c>
      <c r="B48" s="17" t="s">
        <v>49</v>
      </c>
      <c r="C48" s="18">
        <v>121</v>
      </c>
      <c r="D48" s="19" t="s">
        <v>20</v>
      </c>
      <c r="E48" s="20">
        <f>1+1+1</f>
        <v>3</v>
      </c>
      <c r="F48" s="21">
        <v>6</v>
      </c>
      <c r="G48" s="22" t="s">
        <v>34</v>
      </c>
      <c r="H48" s="21">
        <v>20</v>
      </c>
      <c r="I48" s="22" t="s">
        <v>20</v>
      </c>
      <c r="J48" s="23">
        <v>47000</v>
      </c>
      <c r="K48" s="19" t="s">
        <v>20</v>
      </c>
      <c r="L48" s="24">
        <v>0.125</v>
      </c>
      <c r="M48" s="24">
        <v>0.05</v>
      </c>
      <c r="N48" s="21">
        <f>120+120+120+121</f>
        <v>481</v>
      </c>
      <c r="O48" s="22" t="s">
        <v>20</v>
      </c>
      <c r="P48" s="18">
        <f t="shared" si="13"/>
        <v>0</v>
      </c>
      <c r="Q48" s="22" t="s">
        <v>20</v>
      </c>
      <c r="R48" s="23">
        <f t="shared" si="14"/>
        <v>0</v>
      </c>
      <c r="S48" s="23">
        <f t="shared" si="2"/>
        <v>0</v>
      </c>
    </row>
    <row r="49" spans="1:19" s="17" customFormat="1">
      <c r="A49" s="16" t="s">
        <v>52</v>
      </c>
      <c r="B49" s="17" t="s">
        <v>49</v>
      </c>
      <c r="C49" s="18"/>
      <c r="D49" s="19" t="s">
        <v>20</v>
      </c>
      <c r="E49" s="20"/>
      <c r="F49" s="21">
        <v>6</v>
      </c>
      <c r="G49" s="22" t="s">
        <v>34</v>
      </c>
      <c r="H49" s="21">
        <v>20</v>
      </c>
      <c r="I49" s="22" t="s">
        <v>20</v>
      </c>
      <c r="J49" s="23">
        <v>48000</v>
      </c>
      <c r="K49" s="19" t="s">
        <v>20</v>
      </c>
      <c r="L49" s="24">
        <v>0.125</v>
      </c>
      <c r="M49" s="24">
        <v>0.05</v>
      </c>
      <c r="N49" s="21"/>
      <c r="O49" s="22" t="s">
        <v>20</v>
      </c>
      <c r="P49" s="18">
        <f t="shared" si="13"/>
        <v>0</v>
      </c>
      <c r="Q49" s="22" t="s">
        <v>20</v>
      </c>
      <c r="R49" s="23">
        <f t="shared" si="14"/>
        <v>0</v>
      </c>
      <c r="S49" s="23">
        <f t="shared" si="2"/>
        <v>0</v>
      </c>
    </row>
    <row r="50" spans="1:19" s="17" customFormat="1">
      <c r="A50" s="16" t="s">
        <v>53</v>
      </c>
      <c r="B50" s="17" t="s">
        <v>49</v>
      </c>
      <c r="C50" s="18">
        <v>54</v>
      </c>
      <c r="D50" s="19" t="s">
        <v>20</v>
      </c>
      <c r="E50" s="20">
        <v>1</v>
      </c>
      <c r="F50" s="21">
        <v>4</v>
      </c>
      <c r="G50" s="22" t="s">
        <v>34</v>
      </c>
      <c r="H50" s="21">
        <v>20</v>
      </c>
      <c r="I50" s="22" t="s">
        <v>20</v>
      </c>
      <c r="J50" s="23">
        <v>49000</v>
      </c>
      <c r="K50" s="19" t="s">
        <v>20</v>
      </c>
      <c r="L50" s="24">
        <v>0.125</v>
      </c>
      <c r="M50" s="24">
        <v>0.05</v>
      </c>
      <c r="N50" s="21">
        <f>80+54</f>
        <v>134</v>
      </c>
      <c r="O50" s="22" t="s">
        <v>20</v>
      </c>
      <c r="P50" s="18">
        <f t="shared" si="13"/>
        <v>0</v>
      </c>
      <c r="Q50" s="22" t="s">
        <v>20</v>
      </c>
      <c r="R50" s="23">
        <f t="shared" si="14"/>
        <v>0</v>
      </c>
      <c r="S50" s="23">
        <f t="shared" si="2"/>
        <v>0</v>
      </c>
    </row>
    <row r="51" spans="1:19" s="45" customFormat="1">
      <c r="A51" s="44" t="s">
        <v>54</v>
      </c>
      <c r="B51" s="45" t="s">
        <v>49</v>
      </c>
      <c r="C51" s="46">
        <v>320</v>
      </c>
      <c r="D51" s="47" t="s">
        <v>20</v>
      </c>
      <c r="E51" s="48"/>
      <c r="F51" s="49">
        <v>6</v>
      </c>
      <c r="G51" s="50" t="s">
        <v>34</v>
      </c>
      <c r="H51" s="49">
        <v>20</v>
      </c>
      <c r="I51" s="50" t="s">
        <v>20</v>
      </c>
      <c r="J51" s="51">
        <v>47000</v>
      </c>
      <c r="K51" s="47" t="s">
        <v>20</v>
      </c>
      <c r="L51" s="52">
        <v>0.125</v>
      </c>
      <c r="M51" s="52">
        <v>0.05</v>
      </c>
      <c r="N51" s="49">
        <f>3+3+120+120</f>
        <v>246</v>
      </c>
      <c r="O51" s="50" t="s">
        <v>20</v>
      </c>
      <c r="P51" s="46">
        <f t="shared" si="13"/>
        <v>74</v>
      </c>
      <c r="Q51" s="50" t="s">
        <v>20</v>
      </c>
      <c r="R51" s="51">
        <f t="shared" si="14"/>
        <v>2891087.5</v>
      </c>
      <c r="S51" s="51">
        <f t="shared" si="2"/>
        <v>2604583.333333333</v>
      </c>
    </row>
    <row r="52" spans="1:19" s="17" customFormat="1">
      <c r="A52" s="16" t="s">
        <v>55</v>
      </c>
      <c r="B52" s="17" t="s">
        <v>49</v>
      </c>
      <c r="C52" s="18">
        <f>140+8</f>
        <v>148</v>
      </c>
      <c r="D52" s="19" t="s">
        <v>20</v>
      </c>
      <c r="E52" s="20"/>
      <c r="F52" s="21">
        <v>4</v>
      </c>
      <c r="G52" s="22" t="s">
        <v>34</v>
      </c>
      <c r="H52" s="21">
        <v>40</v>
      </c>
      <c r="I52" s="22" t="s">
        <v>20</v>
      </c>
      <c r="J52" s="23">
        <v>37000</v>
      </c>
      <c r="K52" s="19" t="s">
        <v>20</v>
      </c>
      <c r="L52" s="24">
        <v>0.125</v>
      </c>
      <c r="M52" s="24">
        <v>0.05</v>
      </c>
      <c r="N52" s="21">
        <f>3+3+2+140</f>
        <v>148</v>
      </c>
      <c r="O52" s="22" t="s">
        <v>20</v>
      </c>
      <c r="P52" s="18">
        <f t="shared" si="13"/>
        <v>0</v>
      </c>
      <c r="Q52" s="22" t="s">
        <v>20</v>
      </c>
      <c r="R52" s="23">
        <f t="shared" si="14"/>
        <v>0</v>
      </c>
      <c r="S52" s="23">
        <f t="shared" si="2"/>
        <v>0</v>
      </c>
    </row>
    <row r="53" spans="1:19" s="26" customFormat="1">
      <c r="A53" s="25" t="s">
        <v>56</v>
      </c>
      <c r="B53" s="26" t="s">
        <v>49</v>
      </c>
      <c r="C53" s="27">
        <v>7</v>
      </c>
      <c r="D53" s="28" t="s">
        <v>20</v>
      </c>
      <c r="E53" s="29"/>
      <c r="F53" s="30">
        <v>4</v>
      </c>
      <c r="G53" s="31" t="s">
        <v>34</v>
      </c>
      <c r="H53" s="30">
        <v>20</v>
      </c>
      <c r="I53" s="31" t="s">
        <v>20</v>
      </c>
      <c r="J53" s="32">
        <v>49000</v>
      </c>
      <c r="K53" s="28" t="s">
        <v>20</v>
      </c>
      <c r="L53" s="33">
        <v>0.125</v>
      </c>
      <c r="M53" s="33">
        <v>0.1</v>
      </c>
      <c r="N53" s="30"/>
      <c r="O53" s="31" t="s">
        <v>20</v>
      </c>
      <c r="P53" s="27">
        <f t="shared" si="13"/>
        <v>7</v>
      </c>
      <c r="Q53" s="31" t="s">
        <v>20</v>
      </c>
      <c r="R53" s="32">
        <f t="shared" si="14"/>
        <v>270112.5</v>
      </c>
      <c r="S53" s="32">
        <f t="shared" si="2"/>
        <v>243344.59459459459</v>
      </c>
    </row>
    <row r="54" spans="1:19" s="45" customFormat="1">
      <c r="A54" s="44" t="s">
        <v>57</v>
      </c>
      <c r="B54" s="45" t="s">
        <v>49</v>
      </c>
      <c r="C54" s="46">
        <v>21</v>
      </c>
      <c r="D54" s="47" t="s">
        <v>20</v>
      </c>
      <c r="E54" s="48"/>
      <c r="F54" s="49">
        <v>4</v>
      </c>
      <c r="G54" s="50" t="s">
        <v>34</v>
      </c>
      <c r="H54" s="49">
        <v>20</v>
      </c>
      <c r="I54" s="50" t="s">
        <v>20</v>
      </c>
      <c r="J54" s="51">
        <v>66000</v>
      </c>
      <c r="K54" s="47" t="s">
        <v>20</v>
      </c>
      <c r="L54" s="52">
        <v>0.125</v>
      </c>
      <c r="M54" s="52">
        <v>0.05</v>
      </c>
      <c r="N54" s="49">
        <v>6</v>
      </c>
      <c r="O54" s="50" t="s">
        <v>20</v>
      </c>
      <c r="P54" s="46">
        <f t="shared" si="13"/>
        <v>15</v>
      </c>
      <c r="Q54" s="50" t="s">
        <v>20</v>
      </c>
      <c r="R54" s="51">
        <f t="shared" si="14"/>
        <v>822937.5</v>
      </c>
      <c r="S54" s="51">
        <f t="shared" si="2"/>
        <v>741385.13513513503</v>
      </c>
    </row>
    <row r="55" spans="1:19" s="17" customFormat="1">
      <c r="A55" s="16" t="s">
        <v>58</v>
      </c>
      <c r="B55" s="17" t="s">
        <v>49</v>
      </c>
      <c r="C55" s="18"/>
      <c r="D55" s="19" t="s">
        <v>20</v>
      </c>
      <c r="E55" s="20">
        <v>1</v>
      </c>
      <c r="F55" s="21">
        <v>6</v>
      </c>
      <c r="G55" s="22" t="s">
        <v>34</v>
      </c>
      <c r="H55" s="21">
        <v>10</v>
      </c>
      <c r="I55" s="22" t="s">
        <v>20</v>
      </c>
      <c r="J55" s="23">
        <v>73000</v>
      </c>
      <c r="K55" s="19" t="s">
        <v>20</v>
      </c>
      <c r="L55" s="24">
        <v>0.125</v>
      </c>
      <c r="M55" s="24">
        <v>0.05</v>
      </c>
      <c r="N55" s="21">
        <v>60</v>
      </c>
      <c r="O55" s="22" t="s">
        <v>20</v>
      </c>
      <c r="P55" s="18">
        <f t="shared" si="13"/>
        <v>0</v>
      </c>
      <c r="Q55" s="22" t="s">
        <v>20</v>
      </c>
      <c r="R55" s="23">
        <f t="shared" si="14"/>
        <v>0</v>
      </c>
      <c r="S55" s="23">
        <f t="shared" si="2"/>
        <v>0</v>
      </c>
    </row>
    <row r="56" spans="1:19" s="17" customFormat="1">
      <c r="A56" s="16" t="s">
        <v>59</v>
      </c>
      <c r="B56" s="17" t="s">
        <v>49</v>
      </c>
      <c r="C56" s="18"/>
      <c r="D56" s="19" t="s">
        <v>20</v>
      </c>
      <c r="E56" s="20"/>
      <c r="F56" s="21">
        <v>8</v>
      </c>
      <c r="G56" s="22" t="s">
        <v>34</v>
      </c>
      <c r="H56" s="21">
        <v>10</v>
      </c>
      <c r="I56" s="22" t="s">
        <v>20</v>
      </c>
      <c r="J56" s="23">
        <v>56000</v>
      </c>
      <c r="K56" s="19" t="s">
        <v>20</v>
      </c>
      <c r="L56" s="24">
        <v>0.125</v>
      </c>
      <c r="M56" s="24">
        <v>0.05</v>
      </c>
      <c r="N56" s="21"/>
      <c r="O56" s="22" t="s">
        <v>20</v>
      </c>
      <c r="P56" s="18">
        <f t="shared" si="13"/>
        <v>0</v>
      </c>
      <c r="Q56" s="22" t="s">
        <v>20</v>
      </c>
      <c r="R56" s="23">
        <f t="shared" si="14"/>
        <v>0</v>
      </c>
      <c r="S56" s="23">
        <f t="shared" si="2"/>
        <v>0</v>
      </c>
    </row>
    <row r="57" spans="1:19" s="17" customFormat="1">
      <c r="A57" s="16" t="s">
        <v>60</v>
      </c>
      <c r="B57" s="17" t="s">
        <v>49</v>
      </c>
      <c r="C57" s="18"/>
      <c r="D57" s="19" t="s">
        <v>20</v>
      </c>
      <c r="E57" s="20"/>
      <c r="F57" s="21">
        <v>6</v>
      </c>
      <c r="G57" s="22" t="s">
        <v>34</v>
      </c>
      <c r="H57" s="21">
        <v>20</v>
      </c>
      <c r="I57" s="22" t="s">
        <v>20</v>
      </c>
      <c r="J57" s="23">
        <v>45000</v>
      </c>
      <c r="K57" s="19" t="s">
        <v>20</v>
      </c>
      <c r="L57" s="24">
        <v>0.125</v>
      </c>
      <c r="M57" s="24">
        <v>0.05</v>
      </c>
      <c r="N57" s="21"/>
      <c r="O57" s="22" t="s">
        <v>20</v>
      </c>
      <c r="P57" s="18">
        <f t="shared" si="13"/>
        <v>0</v>
      </c>
      <c r="Q57" s="22" t="s">
        <v>20</v>
      </c>
      <c r="R57" s="23">
        <f t="shared" si="14"/>
        <v>0</v>
      </c>
      <c r="S57" s="23">
        <f t="shared" si="2"/>
        <v>0</v>
      </c>
    </row>
    <row r="58" spans="1:19" s="17" customFormat="1">
      <c r="A58" s="16" t="s">
        <v>61</v>
      </c>
      <c r="B58" s="17" t="s">
        <v>49</v>
      </c>
      <c r="C58" s="18">
        <v>160</v>
      </c>
      <c r="D58" s="19" t="s">
        <v>20</v>
      </c>
      <c r="E58" s="20"/>
      <c r="F58" s="21">
        <v>8</v>
      </c>
      <c r="G58" s="22" t="s">
        <v>34</v>
      </c>
      <c r="H58" s="21">
        <v>20</v>
      </c>
      <c r="I58" s="22" t="s">
        <v>20</v>
      </c>
      <c r="J58" s="23">
        <v>32000</v>
      </c>
      <c r="K58" s="19" t="s">
        <v>20</v>
      </c>
      <c r="L58" s="24">
        <v>0.125</v>
      </c>
      <c r="M58" s="24">
        <v>0.1</v>
      </c>
      <c r="N58" s="21">
        <v>160</v>
      </c>
      <c r="O58" s="22" t="s">
        <v>20</v>
      </c>
      <c r="P58" s="18">
        <f t="shared" si="13"/>
        <v>0</v>
      </c>
      <c r="Q58" s="22" t="s">
        <v>20</v>
      </c>
      <c r="R58" s="23">
        <f t="shared" si="14"/>
        <v>0</v>
      </c>
      <c r="S58" s="23">
        <f t="shared" si="2"/>
        <v>0</v>
      </c>
    </row>
    <row r="59" spans="1:19" s="17" customFormat="1">
      <c r="A59" s="16" t="s">
        <v>62</v>
      </c>
      <c r="B59" s="17" t="s">
        <v>49</v>
      </c>
      <c r="C59" s="18">
        <v>160</v>
      </c>
      <c r="D59" s="19" t="s">
        <v>20</v>
      </c>
      <c r="E59" s="20"/>
      <c r="F59" s="21">
        <v>8</v>
      </c>
      <c r="G59" s="22" t="s">
        <v>34</v>
      </c>
      <c r="H59" s="21">
        <v>20</v>
      </c>
      <c r="I59" s="22" t="s">
        <v>20</v>
      </c>
      <c r="J59" s="23">
        <v>27500</v>
      </c>
      <c r="K59" s="19" t="s">
        <v>20</v>
      </c>
      <c r="L59" s="24">
        <v>0.125</v>
      </c>
      <c r="M59" s="24">
        <v>0.1</v>
      </c>
      <c r="N59" s="21">
        <v>160</v>
      </c>
      <c r="O59" s="22" t="s">
        <v>20</v>
      </c>
      <c r="P59" s="18">
        <f t="shared" si="13"/>
        <v>0</v>
      </c>
      <c r="Q59" s="22" t="s">
        <v>20</v>
      </c>
      <c r="R59" s="23">
        <f t="shared" si="14"/>
        <v>0</v>
      </c>
      <c r="S59" s="23">
        <f t="shared" si="2"/>
        <v>0</v>
      </c>
    </row>
    <row r="60" spans="1:19" s="45" customFormat="1">
      <c r="A60" s="44" t="s">
        <v>63</v>
      </c>
      <c r="B60" s="45" t="s">
        <v>49</v>
      </c>
      <c r="C60" s="46">
        <v>73</v>
      </c>
      <c r="D60" s="47" t="s">
        <v>20</v>
      </c>
      <c r="E60" s="48"/>
      <c r="F60" s="49">
        <v>4</v>
      </c>
      <c r="G60" s="50" t="s">
        <v>34</v>
      </c>
      <c r="H60" s="49">
        <v>20</v>
      </c>
      <c r="I60" s="50" t="s">
        <v>20</v>
      </c>
      <c r="J60" s="51">
        <v>54000</v>
      </c>
      <c r="K60" s="47" t="s">
        <v>20</v>
      </c>
      <c r="L60" s="52">
        <v>0.125</v>
      </c>
      <c r="M60" s="52">
        <v>0.05</v>
      </c>
      <c r="N60" s="49">
        <f>3+3+54</f>
        <v>60</v>
      </c>
      <c r="O60" s="50" t="s">
        <v>20</v>
      </c>
      <c r="P60" s="46">
        <f t="shared" si="13"/>
        <v>13</v>
      </c>
      <c r="Q60" s="50" t="s">
        <v>20</v>
      </c>
      <c r="R60" s="51">
        <f t="shared" si="14"/>
        <v>583537.5</v>
      </c>
      <c r="S60" s="51">
        <f t="shared" si="2"/>
        <v>525709.45945945941</v>
      </c>
    </row>
    <row r="61" spans="1:19" s="45" customFormat="1">
      <c r="A61" s="44" t="s">
        <v>64</v>
      </c>
      <c r="B61" s="45" t="s">
        <v>49</v>
      </c>
      <c r="C61" s="46">
        <v>41</v>
      </c>
      <c r="D61" s="47" t="s">
        <v>20</v>
      </c>
      <c r="E61" s="48"/>
      <c r="F61" s="49">
        <v>6</v>
      </c>
      <c r="G61" s="50" t="s">
        <v>34</v>
      </c>
      <c r="H61" s="49">
        <v>10</v>
      </c>
      <c r="I61" s="50" t="s">
        <v>20</v>
      </c>
      <c r="J61" s="51">
        <v>72000</v>
      </c>
      <c r="K61" s="47" t="s">
        <v>20</v>
      </c>
      <c r="L61" s="52">
        <v>0.125</v>
      </c>
      <c r="M61" s="52">
        <v>0.05</v>
      </c>
      <c r="N61" s="49">
        <v>6</v>
      </c>
      <c r="O61" s="50" t="s">
        <v>20</v>
      </c>
      <c r="P61" s="46">
        <f>(C61+(E61*F61*H61))-N61</f>
        <v>35</v>
      </c>
      <c r="Q61" s="50" t="s">
        <v>20</v>
      </c>
      <c r="R61" s="51">
        <f>P61*(J61-(J61*L61)-((J61-(J61*L61))*M61))</f>
        <v>2094750</v>
      </c>
      <c r="S61" s="51">
        <f t="shared" si="2"/>
        <v>1887162.1621621619</v>
      </c>
    </row>
    <row r="62" spans="1:19" s="17" customFormat="1">
      <c r="A62" s="95" t="s">
        <v>65</v>
      </c>
      <c r="B62" s="96" t="s">
        <v>49</v>
      </c>
      <c r="C62" s="97">
        <v>65</v>
      </c>
      <c r="D62" s="98" t="s">
        <v>20</v>
      </c>
      <c r="E62" s="105"/>
      <c r="F62" s="100">
        <v>6</v>
      </c>
      <c r="G62" s="101" t="s">
        <v>34</v>
      </c>
      <c r="H62" s="100">
        <v>20</v>
      </c>
      <c r="I62" s="101" t="s">
        <v>20</v>
      </c>
      <c r="J62" s="102">
        <v>52000</v>
      </c>
      <c r="K62" s="98" t="s">
        <v>20</v>
      </c>
      <c r="L62" s="103">
        <v>0.125</v>
      </c>
      <c r="M62" s="103">
        <v>0.05</v>
      </c>
      <c r="N62" s="100">
        <f>20+120-75</f>
        <v>65</v>
      </c>
      <c r="O62" s="101" t="s">
        <v>20</v>
      </c>
      <c r="P62" s="97">
        <f t="shared" si="13"/>
        <v>0</v>
      </c>
      <c r="Q62" s="101" t="s">
        <v>20</v>
      </c>
      <c r="R62" s="102">
        <f t="shared" si="14"/>
        <v>0</v>
      </c>
      <c r="S62" s="102">
        <f t="shared" si="2"/>
        <v>0</v>
      </c>
    </row>
    <row r="63" spans="1:19" s="26" customFormat="1">
      <c r="A63" s="35" t="s">
        <v>65</v>
      </c>
      <c r="B63" s="36" t="s">
        <v>49</v>
      </c>
      <c r="C63" s="37">
        <v>120</v>
      </c>
      <c r="D63" s="38" t="s">
        <v>20</v>
      </c>
      <c r="E63" s="39"/>
      <c r="F63" s="40">
        <v>6</v>
      </c>
      <c r="G63" s="41" t="s">
        <v>34</v>
      </c>
      <c r="H63" s="40">
        <v>20</v>
      </c>
      <c r="I63" s="41" t="s">
        <v>20</v>
      </c>
      <c r="J63" s="42">
        <v>52000</v>
      </c>
      <c r="K63" s="38" t="s">
        <v>20</v>
      </c>
      <c r="L63" s="43">
        <v>0.125</v>
      </c>
      <c r="M63" s="43">
        <v>0.1</v>
      </c>
      <c r="N63" s="40">
        <f>(120-45)+6</f>
        <v>81</v>
      </c>
      <c r="O63" s="41" t="s">
        <v>20</v>
      </c>
      <c r="P63" s="37">
        <f t="shared" si="13"/>
        <v>39</v>
      </c>
      <c r="Q63" s="41" t="s">
        <v>20</v>
      </c>
      <c r="R63" s="42">
        <f t="shared" si="14"/>
        <v>1597050</v>
      </c>
      <c r="S63" s="42">
        <f t="shared" si="2"/>
        <v>1438783.7837837837</v>
      </c>
    </row>
    <row r="64" spans="1:19" s="63" customFormat="1">
      <c r="A64" s="304" t="s">
        <v>66</v>
      </c>
      <c r="B64" s="305" t="s">
        <v>49</v>
      </c>
      <c r="C64" s="306">
        <v>48</v>
      </c>
      <c r="D64" s="307" t="s">
        <v>20</v>
      </c>
      <c r="E64" s="308"/>
      <c r="F64" s="309">
        <v>6</v>
      </c>
      <c r="G64" s="310" t="s">
        <v>34</v>
      </c>
      <c r="H64" s="309">
        <v>20</v>
      </c>
      <c r="I64" s="310" t="s">
        <v>20</v>
      </c>
      <c r="J64" s="311">
        <v>37000</v>
      </c>
      <c r="K64" s="307" t="s">
        <v>20</v>
      </c>
      <c r="L64" s="312">
        <v>0.125</v>
      </c>
      <c r="M64" s="312">
        <v>0.05</v>
      </c>
      <c r="N64" s="309">
        <f>120-72</f>
        <v>48</v>
      </c>
      <c r="O64" s="310" t="s">
        <v>20</v>
      </c>
      <c r="P64" s="306">
        <f t="shared" si="13"/>
        <v>0</v>
      </c>
      <c r="Q64" s="310" t="s">
        <v>20</v>
      </c>
      <c r="R64" s="311">
        <f t="shared" si="14"/>
        <v>0</v>
      </c>
      <c r="S64" s="311">
        <f t="shared" si="2"/>
        <v>0</v>
      </c>
    </row>
    <row r="65" spans="1:19" s="45" customFormat="1">
      <c r="A65" s="249" t="s">
        <v>66</v>
      </c>
      <c r="B65" s="250" t="s">
        <v>49</v>
      </c>
      <c r="C65" s="251"/>
      <c r="D65" s="252" t="s">
        <v>20</v>
      </c>
      <c r="E65" s="262">
        <f>1+1</f>
        <v>2</v>
      </c>
      <c r="F65" s="263">
        <v>6</v>
      </c>
      <c r="G65" s="264" t="s">
        <v>34</v>
      </c>
      <c r="H65" s="263">
        <v>20</v>
      </c>
      <c r="I65" s="264" t="s">
        <v>20</v>
      </c>
      <c r="J65" s="265">
        <v>32500</v>
      </c>
      <c r="K65" s="252" t="s">
        <v>20</v>
      </c>
      <c r="L65" s="266">
        <v>0.125</v>
      </c>
      <c r="M65" s="266">
        <v>0.05</v>
      </c>
      <c r="N65" s="263">
        <f>(120-48)+6+120+6</f>
        <v>204</v>
      </c>
      <c r="O65" s="264" t="s">
        <v>20</v>
      </c>
      <c r="P65" s="251">
        <f t="shared" ref="P65" si="15">(C65+(E65*F65*H65))-N65</f>
        <v>36</v>
      </c>
      <c r="Q65" s="264" t="s">
        <v>20</v>
      </c>
      <c r="R65" s="265">
        <f t="shared" ref="R65" si="16">P65*(J65-(J65*L65)-((J65-(J65*L65))*M65))</f>
        <v>972562.5</v>
      </c>
      <c r="S65" s="265">
        <f t="shared" ref="S65" si="17">R65/1.11</f>
        <v>876182.43243243231</v>
      </c>
    </row>
    <row r="66" spans="1:19" s="17" customFormat="1">
      <c r="A66" s="16" t="s">
        <v>67</v>
      </c>
      <c r="B66" s="17" t="s">
        <v>49</v>
      </c>
      <c r="C66" s="18"/>
      <c r="D66" s="19" t="s">
        <v>20</v>
      </c>
      <c r="E66" s="20"/>
      <c r="F66" s="21">
        <v>6</v>
      </c>
      <c r="G66" s="22" t="s">
        <v>34</v>
      </c>
      <c r="H66" s="21">
        <v>10</v>
      </c>
      <c r="I66" s="22" t="s">
        <v>20</v>
      </c>
      <c r="J66" s="23">
        <v>65000</v>
      </c>
      <c r="K66" s="19" t="s">
        <v>20</v>
      </c>
      <c r="L66" s="24">
        <v>0.125</v>
      </c>
      <c r="M66" s="24">
        <v>0.05</v>
      </c>
      <c r="N66" s="21"/>
      <c r="O66" s="22" t="s">
        <v>20</v>
      </c>
      <c r="P66" s="18">
        <f t="shared" si="13"/>
        <v>0</v>
      </c>
      <c r="Q66" s="22" t="s">
        <v>20</v>
      </c>
      <c r="R66" s="23">
        <f t="shared" si="14"/>
        <v>0</v>
      </c>
      <c r="S66" s="23">
        <f t="shared" si="2"/>
        <v>0</v>
      </c>
    </row>
    <row r="67" spans="1:19" s="45" customFormat="1">
      <c r="A67" s="44" t="s">
        <v>68</v>
      </c>
      <c r="B67" s="45" t="s">
        <v>49</v>
      </c>
      <c r="C67" s="46">
        <v>43</v>
      </c>
      <c r="D67" s="47" t="s">
        <v>20</v>
      </c>
      <c r="E67" s="48"/>
      <c r="F67" s="49">
        <v>6</v>
      </c>
      <c r="G67" s="50" t="s">
        <v>34</v>
      </c>
      <c r="H67" s="49">
        <v>10</v>
      </c>
      <c r="I67" s="50" t="s">
        <v>20</v>
      </c>
      <c r="J67" s="51">
        <v>71000</v>
      </c>
      <c r="K67" s="47" t="s">
        <v>20</v>
      </c>
      <c r="L67" s="52">
        <v>0.125</v>
      </c>
      <c r="M67" s="52">
        <v>0.05</v>
      </c>
      <c r="N67" s="49">
        <v>40</v>
      </c>
      <c r="O67" s="50" t="s">
        <v>20</v>
      </c>
      <c r="P67" s="46">
        <f t="shared" si="13"/>
        <v>3</v>
      </c>
      <c r="Q67" s="50" t="s">
        <v>20</v>
      </c>
      <c r="R67" s="51">
        <f t="shared" si="14"/>
        <v>177056.25</v>
      </c>
      <c r="S67" s="51">
        <f t="shared" si="2"/>
        <v>159510.13513513512</v>
      </c>
    </row>
    <row r="68" spans="1:19" s="45" customFormat="1">
      <c r="A68" s="44" t="s">
        <v>69</v>
      </c>
      <c r="B68" s="45" t="s">
        <v>49</v>
      </c>
      <c r="C68" s="46">
        <v>43</v>
      </c>
      <c r="D68" s="47" t="s">
        <v>20</v>
      </c>
      <c r="E68" s="48"/>
      <c r="F68" s="49">
        <v>6</v>
      </c>
      <c r="G68" s="50" t="s">
        <v>34</v>
      </c>
      <c r="H68" s="49">
        <v>10</v>
      </c>
      <c r="I68" s="50" t="s">
        <v>20</v>
      </c>
      <c r="J68" s="51">
        <v>75000</v>
      </c>
      <c r="K68" s="47" t="s">
        <v>20</v>
      </c>
      <c r="L68" s="52">
        <v>0.125</v>
      </c>
      <c r="M68" s="52">
        <v>0.05</v>
      </c>
      <c r="N68" s="49">
        <v>2</v>
      </c>
      <c r="O68" s="50" t="s">
        <v>20</v>
      </c>
      <c r="P68" s="46">
        <f>(C68+(E68*F68*H68))-N68</f>
        <v>41</v>
      </c>
      <c r="Q68" s="50" t="s">
        <v>20</v>
      </c>
      <c r="R68" s="51">
        <f>P68*(J68-(J68*L68)-((J68-(J68*L68))*M68))</f>
        <v>2556093.75</v>
      </c>
      <c r="S68" s="32">
        <f t="shared" si="2"/>
        <v>2302787.1621621619</v>
      </c>
    </row>
    <row r="69" spans="1:19" s="26" customFormat="1">
      <c r="A69" s="25" t="s">
        <v>70</v>
      </c>
      <c r="B69" s="26" t="s">
        <v>49</v>
      </c>
      <c r="C69" s="27">
        <v>6</v>
      </c>
      <c r="D69" s="28" t="s">
        <v>20</v>
      </c>
      <c r="E69" s="29"/>
      <c r="F69" s="30">
        <v>6</v>
      </c>
      <c r="G69" s="31" t="s">
        <v>34</v>
      </c>
      <c r="H69" s="30">
        <v>10</v>
      </c>
      <c r="I69" s="31" t="s">
        <v>20</v>
      </c>
      <c r="J69" s="32">
        <v>52000</v>
      </c>
      <c r="K69" s="28" t="s">
        <v>20</v>
      </c>
      <c r="L69" s="33">
        <v>0.125</v>
      </c>
      <c r="M69" s="33">
        <v>0.1</v>
      </c>
      <c r="N69" s="30"/>
      <c r="O69" s="31" t="s">
        <v>20</v>
      </c>
      <c r="P69" s="27">
        <f t="shared" si="13"/>
        <v>6</v>
      </c>
      <c r="Q69" s="31" t="s">
        <v>20</v>
      </c>
      <c r="R69" s="32">
        <f t="shared" si="14"/>
        <v>245700</v>
      </c>
      <c r="S69" s="32">
        <f t="shared" si="2"/>
        <v>221351.35135135133</v>
      </c>
    </row>
    <row r="70" spans="1:19" s="45" customFormat="1">
      <c r="A70" s="44" t="s">
        <v>71</v>
      </c>
      <c r="B70" s="45" t="s">
        <v>49</v>
      </c>
      <c r="C70" s="46">
        <v>147</v>
      </c>
      <c r="D70" s="47" t="s">
        <v>20</v>
      </c>
      <c r="E70" s="48">
        <v>1</v>
      </c>
      <c r="F70" s="49">
        <v>6</v>
      </c>
      <c r="G70" s="50" t="s">
        <v>34</v>
      </c>
      <c r="H70" s="49">
        <v>20</v>
      </c>
      <c r="I70" s="50" t="s">
        <v>20</v>
      </c>
      <c r="J70" s="51">
        <v>39000</v>
      </c>
      <c r="K70" s="47" t="s">
        <v>20</v>
      </c>
      <c r="L70" s="52">
        <v>0.125</v>
      </c>
      <c r="M70" s="52">
        <v>0.05</v>
      </c>
      <c r="N70" s="49">
        <f>120+12+87+6</f>
        <v>225</v>
      </c>
      <c r="O70" s="50" t="s">
        <v>20</v>
      </c>
      <c r="P70" s="46">
        <f>(C70+(E70*F70*H70))-N70</f>
        <v>42</v>
      </c>
      <c r="Q70" s="50" t="s">
        <v>20</v>
      </c>
      <c r="R70" s="51">
        <f>P70*(J70-(J70*L70)-((J70-(J70*L70))*M70))</f>
        <v>1361587.5</v>
      </c>
      <c r="S70" s="32">
        <f t="shared" si="2"/>
        <v>1226655.4054054052</v>
      </c>
    </row>
    <row r="71" spans="1:19" s="26" customFormat="1">
      <c r="A71" s="25" t="s">
        <v>72</v>
      </c>
      <c r="B71" s="26" t="s">
        <v>49</v>
      </c>
      <c r="C71" s="27">
        <v>120</v>
      </c>
      <c r="D71" s="28" t="s">
        <v>20</v>
      </c>
      <c r="E71" s="29"/>
      <c r="F71" s="30">
        <v>6</v>
      </c>
      <c r="G71" s="31" t="s">
        <v>34</v>
      </c>
      <c r="H71" s="30">
        <v>10</v>
      </c>
      <c r="I71" s="31" t="s">
        <v>20</v>
      </c>
      <c r="J71" s="32">
        <v>66000</v>
      </c>
      <c r="K71" s="28" t="s">
        <v>20</v>
      </c>
      <c r="L71" s="33">
        <v>0.125</v>
      </c>
      <c r="M71" s="33">
        <v>0.1</v>
      </c>
      <c r="N71" s="30">
        <v>6</v>
      </c>
      <c r="O71" s="31" t="s">
        <v>20</v>
      </c>
      <c r="P71" s="27">
        <f t="shared" si="13"/>
        <v>114</v>
      </c>
      <c r="Q71" s="31" t="s">
        <v>20</v>
      </c>
      <c r="R71" s="32">
        <f t="shared" si="14"/>
        <v>5925150</v>
      </c>
      <c r="S71" s="32">
        <f t="shared" si="2"/>
        <v>5337972.9729729723</v>
      </c>
    </row>
    <row r="72" spans="1:19" s="45" customFormat="1">
      <c r="A72" s="44" t="s">
        <v>73</v>
      </c>
      <c r="B72" s="45" t="s">
        <v>49</v>
      </c>
      <c r="C72" s="46">
        <v>439</v>
      </c>
      <c r="D72" s="47" t="s">
        <v>20</v>
      </c>
      <c r="E72" s="48"/>
      <c r="F72" s="49">
        <v>4</v>
      </c>
      <c r="G72" s="50" t="s">
        <v>34</v>
      </c>
      <c r="H72" s="49">
        <v>40</v>
      </c>
      <c r="I72" s="50" t="s">
        <v>20</v>
      </c>
      <c r="J72" s="51">
        <v>26000</v>
      </c>
      <c r="K72" s="47" t="s">
        <v>20</v>
      </c>
      <c r="L72" s="52">
        <v>0.125</v>
      </c>
      <c r="M72" s="52">
        <v>0.1</v>
      </c>
      <c r="N72" s="49">
        <f>6+160+6</f>
        <v>172</v>
      </c>
      <c r="O72" s="50" t="s">
        <v>20</v>
      </c>
      <c r="P72" s="46">
        <f t="shared" si="13"/>
        <v>267</v>
      </c>
      <c r="Q72" s="50" t="s">
        <v>20</v>
      </c>
      <c r="R72" s="51">
        <f t="shared" si="14"/>
        <v>5466825</v>
      </c>
      <c r="S72" s="32">
        <f t="shared" si="2"/>
        <v>4925067.5675675673</v>
      </c>
    </row>
    <row r="73" spans="1:19">
      <c r="S73" s="23"/>
    </row>
    <row r="74" spans="1:19" ht="15.75">
      <c r="A74" s="14" t="s">
        <v>74</v>
      </c>
      <c r="S74" s="23">
        <f t="shared" si="2"/>
        <v>0</v>
      </c>
    </row>
    <row r="75" spans="1:19" s="17" customFormat="1">
      <c r="A75" s="16" t="s">
        <v>75</v>
      </c>
      <c r="B75" s="17" t="s">
        <v>19</v>
      </c>
      <c r="C75" s="18"/>
      <c r="D75" s="19" t="s">
        <v>20</v>
      </c>
      <c r="E75" s="20"/>
      <c r="F75" s="21">
        <v>1</v>
      </c>
      <c r="G75" s="22" t="s">
        <v>21</v>
      </c>
      <c r="H75" s="21">
        <v>6</v>
      </c>
      <c r="I75" s="22" t="s">
        <v>20</v>
      </c>
      <c r="J75" s="23">
        <v>390000</v>
      </c>
      <c r="K75" s="19" t="s">
        <v>20</v>
      </c>
      <c r="L75" s="24">
        <v>0.125</v>
      </c>
      <c r="M75" s="24">
        <v>0.05</v>
      </c>
      <c r="N75" s="21"/>
      <c r="O75" s="22" t="s">
        <v>20</v>
      </c>
      <c r="P75" s="18">
        <f>(C75+(E75*F75*H75))-N75</f>
        <v>0</v>
      </c>
      <c r="Q75" s="22" t="s">
        <v>20</v>
      </c>
      <c r="R75" s="23">
        <f>P75*(J75-(J75*L75)-((J75-(J75*L75))*M75))</f>
        <v>0</v>
      </c>
      <c r="S75" s="23">
        <f t="shared" si="2"/>
        <v>0</v>
      </c>
    </row>
    <row r="76" spans="1:19" s="17" customFormat="1">
      <c r="A76" s="16" t="s">
        <v>76</v>
      </c>
      <c r="B76" s="17" t="s">
        <v>19</v>
      </c>
      <c r="C76" s="18"/>
      <c r="D76" s="19" t="s">
        <v>20</v>
      </c>
      <c r="E76" s="20"/>
      <c r="F76" s="21">
        <v>1</v>
      </c>
      <c r="G76" s="22" t="s">
        <v>21</v>
      </c>
      <c r="H76" s="21">
        <v>6</v>
      </c>
      <c r="I76" s="22" t="s">
        <v>20</v>
      </c>
      <c r="J76" s="23">
        <v>500000</v>
      </c>
      <c r="K76" s="19" t="s">
        <v>20</v>
      </c>
      <c r="L76" s="24">
        <v>0.125</v>
      </c>
      <c r="M76" s="24">
        <v>0.05</v>
      </c>
      <c r="N76" s="21"/>
      <c r="O76" s="22" t="s">
        <v>20</v>
      </c>
      <c r="P76" s="18">
        <f>(C76+(E76*F76*H76))-N76</f>
        <v>0</v>
      </c>
      <c r="Q76" s="22" t="s">
        <v>20</v>
      </c>
      <c r="R76" s="23">
        <f>P76*(J76-(J76*L76)-((J76-(J76*L76))*M76))</f>
        <v>0</v>
      </c>
      <c r="S76" s="23">
        <f t="shared" si="2"/>
        <v>0</v>
      </c>
    </row>
    <row r="77" spans="1:19">
      <c r="S77" s="23"/>
    </row>
    <row r="78" spans="1:19" ht="15.75">
      <c r="A78" s="14" t="s">
        <v>77</v>
      </c>
      <c r="S78" s="23"/>
    </row>
    <row r="79" spans="1:19">
      <c r="A79" s="15" t="s">
        <v>78</v>
      </c>
      <c r="S79" s="23"/>
    </row>
    <row r="80" spans="1:19" s="63" customFormat="1">
      <c r="A80" s="62" t="s">
        <v>79</v>
      </c>
      <c r="B80" s="63" t="s">
        <v>19</v>
      </c>
      <c r="C80" s="64"/>
      <c r="D80" s="65" t="s">
        <v>80</v>
      </c>
      <c r="E80" s="66"/>
      <c r="F80" s="67">
        <v>1</v>
      </c>
      <c r="G80" s="68" t="s">
        <v>21</v>
      </c>
      <c r="H80" s="67">
        <v>48</v>
      </c>
      <c r="I80" s="68" t="s">
        <v>80</v>
      </c>
      <c r="J80" s="69">
        <v>14500</v>
      </c>
      <c r="K80" s="65" t="s">
        <v>80</v>
      </c>
      <c r="L80" s="70">
        <v>0.125</v>
      </c>
      <c r="M80" s="70">
        <v>0.05</v>
      </c>
      <c r="N80" s="67"/>
      <c r="O80" s="68" t="s">
        <v>80</v>
      </c>
      <c r="P80" s="64">
        <f t="shared" ref="P80:P101" si="18">(C80+(E80*F80*H80))-N80</f>
        <v>0</v>
      </c>
      <c r="Q80" s="68" t="s">
        <v>80</v>
      </c>
      <c r="R80" s="69">
        <f t="shared" ref="R80:R101" si="19">P80*(J80-(J80*L80)-((J80-(J80*L80))*M80))</f>
        <v>0</v>
      </c>
      <c r="S80" s="23">
        <f t="shared" si="2"/>
        <v>0</v>
      </c>
    </row>
    <row r="81" spans="1:19" s="63" customFormat="1">
      <c r="A81" s="62" t="s">
        <v>81</v>
      </c>
      <c r="B81" s="63" t="s">
        <v>19</v>
      </c>
      <c r="C81" s="64"/>
      <c r="D81" s="65" t="s">
        <v>80</v>
      </c>
      <c r="E81" s="66"/>
      <c r="F81" s="67">
        <v>1</v>
      </c>
      <c r="G81" s="68" t="s">
        <v>21</v>
      </c>
      <c r="H81" s="67">
        <v>96</v>
      </c>
      <c r="I81" s="68" t="s">
        <v>80</v>
      </c>
      <c r="J81" s="69">
        <v>12000</v>
      </c>
      <c r="K81" s="65" t="s">
        <v>80</v>
      </c>
      <c r="L81" s="70">
        <v>0.125</v>
      </c>
      <c r="M81" s="70">
        <v>0.05</v>
      </c>
      <c r="N81" s="67"/>
      <c r="O81" s="68" t="s">
        <v>80</v>
      </c>
      <c r="P81" s="64">
        <f t="shared" si="18"/>
        <v>0</v>
      </c>
      <c r="Q81" s="68" t="s">
        <v>80</v>
      </c>
      <c r="R81" s="69">
        <f t="shared" si="19"/>
        <v>0</v>
      </c>
      <c r="S81" s="23">
        <f t="shared" si="2"/>
        <v>0</v>
      </c>
    </row>
    <row r="82" spans="1:19" s="63" customFormat="1">
      <c r="A82" s="62" t="s">
        <v>82</v>
      </c>
      <c r="B82" s="63" t="s">
        <v>19</v>
      </c>
      <c r="C82" s="64"/>
      <c r="D82" s="65" t="s">
        <v>80</v>
      </c>
      <c r="E82" s="66"/>
      <c r="F82" s="67">
        <v>1</v>
      </c>
      <c r="G82" s="68" t="s">
        <v>21</v>
      </c>
      <c r="H82" s="67">
        <v>48</v>
      </c>
      <c r="I82" s="68" t="s">
        <v>80</v>
      </c>
      <c r="J82" s="69">
        <v>19500</v>
      </c>
      <c r="K82" s="65" t="s">
        <v>80</v>
      </c>
      <c r="L82" s="70">
        <v>0.125</v>
      </c>
      <c r="M82" s="70">
        <v>0.05</v>
      </c>
      <c r="N82" s="67"/>
      <c r="O82" s="68" t="s">
        <v>80</v>
      </c>
      <c r="P82" s="64">
        <f t="shared" si="18"/>
        <v>0</v>
      </c>
      <c r="Q82" s="68" t="s">
        <v>80</v>
      </c>
      <c r="R82" s="69">
        <f t="shared" si="19"/>
        <v>0</v>
      </c>
      <c r="S82" s="23">
        <f t="shared" si="2"/>
        <v>0</v>
      </c>
    </row>
    <row r="83" spans="1:19" s="63" customFormat="1">
      <c r="A83" s="62" t="s">
        <v>83</v>
      </c>
      <c r="B83" s="63" t="s">
        <v>19</v>
      </c>
      <c r="C83" s="64"/>
      <c r="D83" s="65" t="s">
        <v>80</v>
      </c>
      <c r="E83" s="66"/>
      <c r="F83" s="67">
        <v>1</v>
      </c>
      <c r="G83" s="68" t="s">
        <v>21</v>
      </c>
      <c r="H83" s="67">
        <v>48</v>
      </c>
      <c r="I83" s="68" t="s">
        <v>80</v>
      </c>
      <c r="J83" s="69">
        <v>14800</v>
      </c>
      <c r="K83" s="65" t="s">
        <v>80</v>
      </c>
      <c r="L83" s="70">
        <v>0.125</v>
      </c>
      <c r="M83" s="70">
        <v>0.05</v>
      </c>
      <c r="N83" s="67"/>
      <c r="O83" s="68" t="s">
        <v>80</v>
      </c>
      <c r="P83" s="64">
        <f t="shared" si="18"/>
        <v>0</v>
      </c>
      <c r="Q83" s="68" t="s">
        <v>80</v>
      </c>
      <c r="R83" s="69">
        <f t="shared" si="19"/>
        <v>0</v>
      </c>
      <c r="S83" s="23">
        <f t="shared" si="2"/>
        <v>0</v>
      </c>
    </row>
    <row r="84" spans="1:19" s="63" customFormat="1">
      <c r="A84" s="71" t="s">
        <v>84</v>
      </c>
      <c r="B84" s="63" t="s">
        <v>19</v>
      </c>
      <c r="C84" s="64"/>
      <c r="D84" s="65" t="s">
        <v>80</v>
      </c>
      <c r="E84" s="66"/>
      <c r="F84" s="67">
        <v>1</v>
      </c>
      <c r="G84" s="68" t="s">
        <v>21</v>
      </c>
      <c r="H84" s="67">
        <v>24</v>
      </c>
      <c r="I84" s="68" t="s">
        <v>80</v>
      </c>
      <c r="J84" s="69">
        <v>25200</v>
      </c>
      <c r="K84" s="65" t="s">
        <v>80</v>
      </c>
      <c r="L84" s="70">
        <v>0.125</v>
      </c>
      <c r="M84" s="70">
        <v>0.05</v>
      </c>
      <c r="N84" s="67"/>
      <c r="O84" s="68" t="s">
        <v>80</v>
      </c>
      <c r="P84" s="64">
        <f t="shared" si="18"/>
        <v>0</v>
      </c>
      <c r="Q84" s="68" t="s">
        <v>80</v>
      </c>
      <c r="R84" s="69">
        <f t="shared" si="19"/>
        <v>0</v>
      </c>
      <c r="S84" s="23">
        <f t="shared" si="2"/>
        <v>0</v>
      </c>
    </row>
    <row r="85" spans="1:19" s="63" customFormat="1">
      <c r="A85" s="71" t="s">
        <v>85</v>
      </c>
      <c r="B85" s="63" t="s">
        <v>19</v>
      </c>
      <c r="C85" s="64"/>
      <c r="D85" s="65" t="s">
        <v>80</v>
      </c>
      <c r="E85" s="66"/>
      <c r="F85" s="67">
        <v>1</v>
      </c>
      <c r="G85" s="68" t="s">
        <v>21</v>
      </c>
      <c r="H85" s="67">
        <v>24</v>
      </c>
      <c r="I85" s="68" t="s">
        <v>80</v>
      </c>
      <c r="J85" s="69">
        <v>20200</v>
      </c>
      <c r="K85" s="65" t="s">
        <v>80</v>
      </c>
      <c r="L85" s="70">
        <v>0.125</v>
      </c>
      <c r="M85" s="70">
        <v>0.05</v>
      </c>
      <c r="N85" s="67"/>
      <c r="O85" s="68" t="s">
        <v>80</v>
      </c>
      <c r="P85" s="64">
        <f t="shared" si="18"/>
        <v>0</v>
      </c>
      <c r="Q85" s="68" t="s">
        <v>80</v>
      </c>
      <c r="R85" s="69">
        <f t="shared" si="19"/>
        <v>0</v>
      </c>
      <c r="S85" s="69">
        <f t="shared" si="2"/>
        <v>0</v>
      </c>
    </row>
    <row r="86" spans="1:19" s="63" customFormat="1">
      <c r="A86" s="62" t="s">
        <v>86</v>
      </c>
      <c r="B86" s="63" t="s">
        <v>19</v>
      </c>
      <c r="C86" s="64"/>
      <c r="D86" s="65" t="s">
        <v>80</v>
      </c>
      <c r="E86" s="66"/>
      <c r="F86" s="67">
        <v>1</v>
      </c>
      <c r="G86" s="68" t="s">
        <v>21</v>
      </c>
      <c r="H86" s="67">
        <v>96</v>
      </c>
      <c r="I86" s="68" t="s">
        <v>80</v>
      </c>
      <c r="J86" s="69">
        <v>33000</v>
      </c>
      <c r="K86" s="65" t="s">
        <v>80</v>
      </c>
      <c r="L86" s="70">
        <v>0.125</v>
      </c>
      <c r="M86" s="70">
        <v>0.05</v>
      </c>
      <c r="N86" s="67"/>
      <c r="O86" s="68" t="s">
        <v>80</v>
      </c>
      <c r="P86" s="64">
        <f t="shared" si="18"/>
        <v>0</v>
      </c>
      <c r="Q86" s="68" t="s">
        <v>80</v>
      </c>
      <c r="R86" s="69">
        <f t="shared" si="19"/>
        <v>0</v>
      </c>
      <c r="S86" s="23">
        <f t="shared" ref="S86:S160" si="20">R86/1.11</f>
        <v>0</v>
      </c>
    </row>
    <row r="87" spans="1:19" s="45" customFormat="1">
      <c r="A87" s="44" t="s">
        <v>87</v>
      </c>
      <c r="B87" s="45" t="s">
        <v>19</v>
      </c>
      <c r="C87" s="46">
        <v>30</v>
      </c>
      <c r="D87" s="47" t="s">
        <v>88</v>
      </c>
      <c r="E87" s="48"/>
      <c r="F87" s="49">
        <v>1</v>
      </c>
      <c r="G87" s="50" t="s">
        <v>21</v>
      </c>
      <c r="H87" s="49">
        <v>60</v>
      </c>
      <c r="I87" s="50" t="s">
        <v>88</v>
      </c>
      <c r="J87" s="51">
        <v>27600</v>
      </c>
      <c r="K87" s="47" t="s">
        <v>88</v>
      </c>
      <c r="L87" s="52">
        <v>0.125</v>
      </c>
      <c r="M87" s="52">
        <v>0.05</v>
      </c>
      <c r="N87" s="49">
        <v>1</v>
      </c>
      <c r="O87" s="50" t="s">
        <v>88</v>
      </c>
      <c r="P87" s="46">
        <f t="shared" si="18"/>
        <v>29</v>
      </c>
      <c r="Q87" s="50" t="s">
        <v>88</v>
      </c>
      <c r="R87" s="51">
        <f t="shared" si="19"/>
        <v>665332.5</v>
      </c>
      <c r="S87" s="32">
        <f t="shared" si="20"/>
        <v>599398.64864864864</v>
      </c>
    </row>
    <row r="88" spans="1:19" s="63" customFormat="1">
      <c r="A88" s="72" t="s">
        <v>89</v>
      </c>
      <c r="B88" s="63" t="s">
        <v>19</v>
      </c>
      <c r="C88" s="64">
        <v>51</v>
      </c>
      <c r="D88" s="65" t="s">
        <v>88</v>
      </c>
      <c r="E88" s="66"/>
      <c r="F88" s="67">
        <v>1</v>
      </c>
      <c r="G88" s="68" t="s">
        <v>21</v>
      </c>
      <c r="H88" s="67">
        <v>50</v>
      </c>
      <c r="I88" s="68" t="s">
        <v>88</v>
      </c>
      <c r="J88" s="69">
        <v>30900</v>
      </c>
      <c r="K88" s="65" t="s">
        <v>88</v>
      </c>
      <c r="L88" s="70">
        <v>0.125</v>
      </c>
      <c r="M88" s="70">
        <v>0.05</v>
      </c>
      <c r="N88" s="67">
        <f>50+1</f>
        <v>51</v>
      </c>
      <c r="O88" s="68" t="s">
        <v>88</v>
      </c>
      <c r="P88" s="64">
        <f t="shared" si="18"/>
        <v>0</v>
      </c>
      <c r="Q88" s="68" t="s">
        <v>88</v>
      </c>
      <c r="R88" s="69">
        <f t="shared" si="19"/>
        <v>0</v>
      </c>
      <c r="S88" s="23">
        <f t="shared" si="20"/>
        <v>0</v>
      </c>
    </row>
    <row r="89" spans="1:19" s="45" customFormat="1">
      <c r="A89" s="44" t="s">
        <v>90</v>
      </c>
      <c r="B89" s="45" t="s">
        <v>19</v>
      </c>
      <c r="C89" s="46">
        <v>28</v>
      </c>
      <c r="D89" s="47" t="s">
        <v>88</v>
      </c>
      <c r="E89" s="48">
        <v>2</v>
      </c>
      <c r="F89" s="49">
        <v>1</v>
      </c>
      <c r="G89" s="50" t="s">
        <v>21</v>
      </c>
      <c r="H89" s="49">
        <v>30</v>
      </c>
      <c r="I89" s="50" t="s">
        <v>88</v>
      </c>
      <c r="J89" s="51">
        <v>48600</v>
      </c>
      <c r="K89" s="47" t="s">
        <v>88</v>
      </c>
      <c r="L89" s="52">
        <v>0.125</v>
      </c>
      <c r="M89" s="52">
        <v>0.05</v>
      </c>
      <c r="N89" s="49">
        <f>30+1</f>
        <v>31</v>
      </c>
      <c r="O89" s="50" t="s">
        <v>88</v>
      </c>
      <c r="P89" s="46">
        <f t="shared" si="18"/>
        <v>57</v>
      </c>
      <c r="Q89" s="50" t="s">
        <v>88</v>
      </c>
      <c r="R89" s="51">
        <f t="shared" si="19"/>
        <v>2302728.75</v>
      </c>
      <c r="S89" s="32">
        <f t="shared" si="20"/>
        <v>2074530.4054054052</v>
      </c>
    </row>
    <row r="90" spans="1:19" s="63" customFormat="1">
      <c r="A90" s="72" t="s">
        <v>91</v>
      </c>
      <c r="B90" s="63" t="s">
        <v>19</v>
      </c>
      <c r="C90" s="64">
        <v>1</v>
      </c>
      <c r="D90" s="65" t="s">
        <v>88</v>
      </c>
      <c r="E90" s="66"/>
      <c r="F90" s="67">
        <v>1</v>
      </c>
      <c r="G90" s="68" t="s">
        <v>21</v>
      </c>
      <c r="H90" s="67">
        <v>20</v>
      </c>
      <c r="I90" s="68" t="s">
        <v>88</v>
      </c>
      <c r="J90" s="69">
        <v>67800</v>
      </c>
      <c r="K90" s="65" t="s">
        <v>88</v>
      </c>
      <c r="L90" s="70">
        <v>0.125</v>
      </c>
      <c r="M90" s="70">
        <v>0.05</v>
      </c>
      <c r="N90" s="67">
        <v>1</v>
      </c>
      <c r="O90" s="68" t="s">
        <v>88</v>
      </c>
      <c r="P90" s="64">
        <f t="shared" si="18"/>
        <v>0</v>
      </c>
      <c r="Q90" s="68" t="s">
        <v>88</v>
      </c>
      <c r="R90" s="69">
        <f t="shared" si="19"/>
        <v>0</v>
      </c>
      <c r="S90" s="23">
        <f t="shared" si="20"/>
        <v>0</v>
      </c>
    </row>
    <row r="91" spans="1:19" s="63" customFormat="1">
      <c r="A91" s="72" t="s">
        <v>92</v>
      </c>
      <c r="B91" s="63" t="s">
        <v>19</v>
      </c>
      <c r="C91" s="64"/>
      <c r="D91" s="65" t="s">
        <v>88</v>
      </c>
      <c r="E91" s="66"/>
      <c r="F91" s="67">
        <v>1</v>
      </c>
      <c r="G91" s="68" t="s">
        <v>21</v>
      </c>
      <c r="H91" s="67">
        <v>10</v>
      </c>
      <c r="I91" s="68" t="s">
        <v>88</v>
      </c>
      <c r="J91" s="69">
        <v>113700</v>
      </c>
      <c r="K91" s="65" t="s">
        <v>88</v>
      </c>
      <c r="L91" s="70">
        <v>0.125</v>
      </c>
      <c r="M91" s="70">
        <v>0.05</v>
      </c>
      <c r="N91" s="67"/>
      <c r="O91" s="68" t="s">
        <v>88</v>
      </c>
      <c r="P91" s="64">
        <f t="shared" si="18"/>
        <v>0</v>
      </c>
      <c r="Q91" s="68" t="s">
        <v>88</v>
      </c>
      <c r="R91" s="69">
        <f t="shared" si="19"/>
        <v>0</v>
      </c>
      <c r="S91" s="69">
        <f t="shared" si="20"/>
        <v>0</v>
      </c>
    </row>
    <row r="92" spans="1:19" s="45" customFormat="1">
      <c r="A92" s="44" t="s">
        <v>93</v>
      </c>
      <c r="B92" s="45" t="s">
        <v>19</v>
      </c>
      <c r="C92" s="46">
        <v>11</v>
      </c>
      <c r="D92" s="47" t="s">
        <v>88</v>
      </c>
      <c r="E92" s="48">
        <v>15</v>
      </c>
      <c r="F92" s="49">
        <v>1</v>
      </c>
      <c r="G92" s="50" t="s">
        <v>21</v>
      </c>
      <c r="H92" s="49">
        <v>5</v>
      </c>
      <c r="I92" s="50" t="s">
        <v>88</v>
      </c>
      <c r="J92" s="51">
        <v>177000</v>
      </c>
      <c r="K92" s="47" t="s">
        <v>88</v>
      </c>
      <c r="L92" s="52">
        <v>0.125</v>
      </c>
      <c r="M92" s="52">
        <v>0.05</v>
      </c>
      <c r="N92" s="49">
        <v>1</v>
      </c>
      <c r="O92" s="50" t="s">
        <v>88</v>
      </c>
      <c r="P92" s="46">
        <f t="shared" si="18"/>
        <v>85</v>
      </c>
      <c r="Q92" s="50" t="s">
        <v>88</v>
      </c>
      <c r="R92" s="51">
        <f t="shared" si="19"/>
        <v>12506156.25</v>
      </c>
      <c r="S92" s="51">
        <f t="shared" si="20"/>
        <v>11266807.432432432</v>
      </c>
    </row>
    <row r="93" spans="1:19" s="45" customFormat="1">
      <c r="A93" s="44" t="s">
        <v>94</v>
      </c>
      <c r="B93" s="45" t="s">
        <v>19</v>
      </c>
      <c r="C93" s="46">
        <v>87</v>
      </c>
      <c r="D93" s="47" t="s">
        <v>43</v>
      </c>
      <c r="E93" s="48"/>
      <c r="F93" s="49">
        <v>3</v>
      </c>
      <c r="G93" s="50" t="s">
        <v>88</v>
      </c>
      <c r="H93" s="49">
        <v>12</v>
      </c>
      <c r="I93" s="50" t="s">
        <v>43</v>
      </c>
      <c r="J93" s="51">
        <f>507600/12</f>
        <v>42300</v>
      </c>
      <c r="K93" s="47" t="s">
        <v>43</v>
      </c>
      <c r="L93" s="52">
        <v>0.125</v>
      </c>
      <c r="M93" s="52">
        <v>0.05</v>
      </c>
      <c r="N93" s="49">
        <f>(1*12)+3</f>
        <v>15</v>
      </c>
      <c r="O93" s="50" t="s">
        <v>43</v>
      </c>
      <c r="P93" s="46">
        <f t="shared" si="18"/>
        <v>72</v>
      </c>
      <c r="Q93" s="50" t="s">
        <v>43</v>
      </c>
      <c r="R93" s="51">
        <f t="shared" si="19"/>
        <v>2531655</v>
      </c>
      <c r="S93" s="32">
        <f t="shared" si="20"/>
        <v>2280770.2702702703</v>
      </c>
    </row>
    <row r="94" spans="1:19" s="45" customFormat="1">
      <c r="A94" s="44"/>
      <c r="C94" s="46"/>
      <c r="D94" s="47"/>
      <c r="E94" s="48"/>
      <c r="F94" s="49"/>
      <c r="G94" s="50"/>
      <c r="H94" s="49"/>
      <c r="I94" s="50"/>
      <c r="J94" s="51"/>
      <c r="K94" s="47"/>
      <c r="L94" s="52"/>
      <c r="M94" s="52"/>
      <c r="N94" s="49"/>
      <c r="O94" s="50"/>
      <c r="P94" s="46"/>
      <c r="Q94" s="50"/>
      <c r="R94" s="51"/>
      <c r="S94" s="32"/>
    </row>
    <row r="95" spans="1:19" s="26" customFormat="1">
      <c r="A95" s="25" t="s">
        <v>95</v>
      </c>
      <c r="B95" s="26" t="s">
        <v>26</v>
      </c>
      <c r="C95" s="27">
        <v>42</v>
      </c>
      <c r="D95" s="28" t="s">
        <v>88</v>
      </c>
      <c r="E95" s="29">
        <f>3+2+2</f>
        <v>7</v>
      </c>
      <c r="F95" s="30">
        <v>1</v>
      </c>
      <c r="G95" s="31" t="s">
        <v>21</v>
      </c>
      <c r="H95" s="30">
        <v>50</v>
      </c>
      <c r="I95" s="31" t="s">
        <v>88</v>
      </c>
      <c r="J95" s="32">
        <f>1440000/50</f>
        <v>28800</v>
      </c>
      <c r="K95" s="28" t="s">
        <v>88</v>
      </c>
      <c r="L95" s="33"/>
      <c r="M95" s="33">
        <v>0.17</v>
      </c>
      <c r="N95" s="30">
        <f>2+50+50+1+6+3+50+15+50+5</f>
        <v>232</v>
      </c>
      <c r="O95" s="31" t="s">
        <v>88</v>
      </c>
      <c r="P95" s="27">
        <f t="shared" si="18"/>
        <v>160</v>
      </c>
      <c r="Q95" s="31" t="s">
        <v>88</v>
      </c>
      <c r="R95" s="32">
        <f t="shared" si="19"/>
        <v>3824640</v>
      </c>
      <c r="S95" s="32">
        <f t="shared" si="20"/>
        <v>3445621.6216216213</v>
      </c>
    </row>
    <row r="96" spans="1:19" s="26" customFormat="1">
      <c r="A96" s="25" t="s">
        <v>96</v>
      </c>
      <c r="B96" s="26" t="s">
        <v>26</v>
      </c>
      <c r="C96" s="27">
        <v>104</v>
      </c>
      <c r="D96" s="28" t="s">
        <v>88</v>
      </c>
      <c r="E96" s="29">
        <v>3</v>
      </c>
      <c r="F96" s="30">
        <v>1</v>
      </c>
      <c r="G96" s="31" t="s">
        <v>21</v>
      </c>
      <c r="H96" s="30">
        <v>50</v>
      </c>
      <c r="I96" s="31" t="s">
        <v>88</v>
      </c>
      <c r="J96" s="32">
        <f>1590000/50</f>
        <v>31800</v>
      </c>
      <c r="K96" s="28" t="s">
        <v>88</v>
      </c>
      <c r="L96" s="33"/>
      <c r="M96" s="33">
        <v>0.17</v>
      </c>
      <c r="N96" s="30">
        <f>50+10+3+1+6+1+3+50+15</f>
        <v>139</v>
      </c>
      <c r="O96" s="31" t="s">
        <v>88</v>
      </c>
      <c r="P96" s="27">
        <f t="shared" si="18"/>
        <v>115</v>
      </c>
      <c r="Q96" s="31" t="s">
        <v>88</v>
      </c>
      <c r="R96" s="32">
        <f t="shared" si="19"/>
        <v>3035310</v>
      </c>
      <c r="S96" s="32">
        <f t="shared" si="20"/>
        <v>2734513.5135135134</v>
      </c>
    </row>
    <row r="97" spans="1:19">
      <c r="A97" s="34" t="s">
        <v>97</v>
      </c>
      <c r="B97" s="2" t="s">
        <v>26</v>
      </c>
      <c r="C97" s="3">
        <v>70</v>
      </c>
      <c r="D97" s="4" t="s">
        <v>88</v>
      </c>
      <c r="E97" s="5">
        <v>2</v>
      </c>
      <c r="F97" s="6">
        <v>1</v>
      </c>
      <c r="G97" s="7" t="s">
        <v>21</v>
      </c>
      <c r="H97" s="6">
        <v>30</v>
      </c>
      <c r="I97" s="7" t="s">
        <v>88</v>
      </c>
      <c r="J97" s="8">
        <f>1476000/30</f>
        <v>49200</v>
      </c>
      <c r="K97" s="4" t="s">
        <v>88</v>
      </c>
      <c r="M97" s="9">
        <v>0.17</v>
      </c>
      <c r="N97" s="6">
        <f>30+3+6+3+30+10+30</f>
        <v>112</v>
      </c>
      <c r="O97" s="7" t="s">
        <v>88</v>
      </c>
      <c r="P97" s="3">
        <f t="shared" si="18"/>
        <v>18</v>
      </c>
      <c r="Q97" s="7" t="s">
        <v>88</v>
      </c>
      <c r="R97" s="8">
        <f t="shared" si="19"/>
        <v>735048</v>
      </c>
      <c r="S97" s="32">
        <f t="shared" si="20"/>
        <v>662205.40540540533</v>
      </c>
    </row>
    <row r="98" spans="1:19" s="45" customFormat="1">
      <c r="A98" s="44" t="s">
        <v>98</v>
      </c>
      <c r="B98" s="45" t="s">
        <v>26</v>
      </c>
      <c r="C98" s="46">
        <v>40</v>
      </c>
      <c r="D98" s="47" t="s">
        <v>88</v>
      </c>
      <c r="E98" s="48">
        <f>3+5</f>
        <v>8</v>
      </c>
      <c r="F98" s="49">
        <v>1</v>
      </c>
      <c r="G98" s="50" t="s">
        <v>21</v>
      </c>
      <c r="H98" s="49">
        <v>20</v>
      </c>
      <c r="I98" s="50" t="s">
        <v>88</v>
      </c>
      <c r="J98" s="51">
        <f>1380000/20</f>
        <v>69000</v>
      </c>
      <c r="K98" s="47" t="s">
        <v>88</v>
      </c>
      <c r="L98" s="52"/>
      <c r="M98" s="52">
        <v>0.17</v>
      </c>
      <c r="N98" s="49">
        <f>3+20+2+6+20+1+6+20+20+3+40+16</f>
        <v>157</v>
      </c>
      <c r="O98" s="50" t="s">
        <v>88</v>
      </c>
      <c r="P98" s="46">
        <f t="shared" si="18"/>
        <v>43</v>
      </c>
      <c r="Q98" s="50" t="s">
        <v>88</v>
      </c>
      <c r="R98" s="51">
        <f t="shared" si="19"/>
        <v>2462610</v>
      </c>
      <c r="S98" s="51">
        <f t="shared" si="20"/>
        <v>2218567.5675675673</v>
      </c>
    </row>
    <row r="99" spans="1:19" s="45" customFormat="1">
      <c r="A99" s="44" t="s">
        <v>99</v>
      </c>
      <c r="B99" s="45" t="s">
        <v>26</v>
      </c>
      <c r="C99" s="46">
        <v>18</v>
      </c>
      <c r="D99" s="47" t="s">
        <v>88</v>
      </c>
      <c r="E99" s="48">
        <f>3+2+5</f>
        <v>10</v>
      </c>
      <c r="F99" s="49">
        <v>1</v>
      </c>
      <c r="G99" s="50" t="s">
        <v>21</v>
      </c>
      <c r="H99" s="49">
        <v>10</v>
      </c>
      <c r="I99" s="50" t="s">
        <v>88</v>
      </c>
      <c r="J99" s="51">
        <f>1200000/10</f>
        <v>120000</v>
      </c>
      <c r="K99" s="47" t="s">
        <v>88</v>
      </c>
      <c r="L99" s="52"/>
      <c r="M99" s="52">
        <v>0.17</v>
      </c>
      <c r="N99" s="49">
        <f>10+5+10+6+10+1+10+3+20+10+(56/12)+10</f>
        <v>99.666666666666671</v>
      </c>
      <c r="O99" s="50" t="s">
        <v>88</v>
      </c>
      <c r="P99" s="46">
        <f t="shared" si="18"/>
        <v>18.333333333333329</v>
      </c>
      <c r="Q99" s="50" t="s">
        <v>88</v>
      </c>
      <c r="R99" s="51">
        <f t="shared" si="19"/>
        <v>1825999.9999999995</v>
      </c>
      <c r="S99" s="51">
        <f t="shared" si="20"/>
        <v>1645045.0450450445</v>
      </c>
    </row>
    <row r="100" spans="1:19" s="45" customFormat="1">
      <c r="A100" s="44" t="s">
        <v>100</v>
      </c>
      <c r="B100" s="45" t="s">
        <v>26</v>
      </c>
      <c r="C100" s="46">
        <f>7*12</f>
        <v>84</v>
      </c>
      <c r="D100" s="47" t="s">
        <v>43</v>
      </c>
      <c r="E100" s="48">
        <f>5+2+2+5+2</f>
        <v>16</v>
      </c>
      <c r="F100" s="49">
        <v>5</v>
      </c>
      <c r="G100" s="50" t="s">
        <v>88</v>
      </c>
      <c r="H100" s="49">
        <v>12</v>
      </c>
      <c r="I100" s="50" t="s">
        <v>43</v>
      </c>
      <c r="J100" s="51">
        <f>900000/5/12</f>
        <v>15000</v>
      </c>
      <c r="K100" s="47" t="s">
        <v>43</v>
      </c>
      <c r="L100" s="52"/>
      <c r="M100" s="52">
        <v>0.17</v>
      </c>
      <c r="N100" s="49">
        <f>24+60+60+60+60+120+60+(3*12)+22+(5*12)+(10*12)+(5*12)+(5*12)</f>
        <v>802</v>
      </c>
      <c r="O100" s="50" t="s">
        <v>43</v>
      </c>
      <c r="P100" s="46">
        <f t="shared" si="18"/>
        <v>242</v>
      </c>
      <c r="Q100" s="50" t="s">
        <v>43</v>
      </c>
      <c r="R100" s="51">
        <f t="shared" si="19"/>
        <v>3012900</v>
      </c>
      <c r="S100" s="51">
        <f t="shared" si="20"/>
        <v>2714324.3243243243</v>
      </c>
    </row>
    <row r="101" spans="1:19" s="17" customFormat="1">
      <c r="A101" s="16" t="s">
        <v>787</v>
      </c>
      <c r="B101" s="17" t="s">
        <v>26</v>
      </c>
      <c r="C101" s="18">
        <f>58.5+13.5</f>
        <v>72</v>
      </c>
      <c r="D101" s="19" t="s">
        <v>34</v>
      </c>
      <c r="E101" s="20">
        <v>1</v>
      </c>
      <c r="F101" s="21">
        <v>1</v>
      </c>
      <c r="G101" s="22" t="s">
        <v>21</v>
      </c>
      <c r="H101" s="21">
        <v>72</v>
      </c>
      <c r="I101" s="22" t="s">
        <v>34</v>
      </c>
      <c r="J101" s="23">
        <f>1548000/72</f>
        <v>21500</v>
      </c>
      <c r="K101" s="19" t="s">
        <v>34</v>
      </c>
      <c r="L101" s="24"/>
      <c r="M101" s="24">
        <v>0.17</v>
      </c>
      <c r="N101" s="21">
        <f>72+72</f>
        <v>144</v>
      </c>
      <c r="O101" s="22" t="s">
        <v>34</v>
      </c>
      <c r="P101" s="18">
        <f t="shared" si="18"/>
        <v>0</v>
      </c>
      <c r="Q101" s="22" t="s">
        <v>34</v>
      </c>
      <c r="R101" s="23">
        <f t="shared" si="19"/>
        <v>0</v>
      </c>
      <c r="S101" s="23">
        <f t="shared" si="20"/>
        <v>0</v>
      </c>
    </row>
    <row r="102" spans="1:19" s="26" customFormat="1">
      <c r="A102" s="25"/>
      <c r="C102" s="27"/>
      <c r="D102" s="28"/>
      <c r="E102" s="29"/>
      <c r="F102" s="30"/>
      <c r="G102" s="31"/>
      <c r="H102" s="30"/>
      <c r="I102" s="31"/>
      <c r="J102" s="32"/>
      <c r="K102" s="28"/>
      <c r="L102" s="33"/>
      <c r="M102" s="33"/>
      <c r="N102" s="30"/>
      <c r="O102" s="31"/>
      <c r="P102" s="27"/>
      <c r="Q102" s="31"/>
      <c r="R102" s="32"/>
      <c r="S102" s="32"/>
    </row>
    <row r="103" spans="1:19">
      <c r="A103" s="15" t="s">
        <v>102</v>
      </c>
      <c r="S103" s="23"/>
    </row>
    <row r="104" spans="1:19" s="17" customFormat="1">
      <c r="A104" s="16" t="s">
        <v>103</v>
      </c>
      <c r="B104" s="17" t="s">
        <v>19</v>
      </c>
      <c r="C104" s="18"/>
      <c r="D104" s="19" t="s">
        <v>34</v>
      </c>
      <c r="E104" s="20"/>
      <c r="F104" s="21">
        <v>50</v>
      </c>
      <c r="G104" s="22" t="s">
        <v>104</v>
      </c>
      <c r="H104" s="21">
        <v>10</v>
      </c>
      <c r="I104" s="22" t="s">
        <v>34</v>
      </c>
      <c r="J104" s="23">
        <v>1850</v>
      </c>
      <c r="K104" s="19" t="s">
        <v>34</v>
      </c>
      <c r="L104" s="24">
        <v>0.125</v>
      </c>
      <c r="M104" s="24">
        <v>0.05</v>
      </c>
      <c r="N104" s="21"/>
      <c r="O104" s="22" t="s">
        <v>34</v>
      </c>
      <c r="P104" s="18">
        <f t="shared" ref="P104:P112" si="21">(C104+(E104*F104*H104))-N104</f>
        <v>0</v>
      </c>
      <c r="Q104" s="22" t="s">
        <v>34</v>
      </c>
      <c r="R104" s="23">
        <f t="shared" ref="R104:R112" si="22">P104*(J104-(J104*L104)-((J104-(J104*L104))*M104))</f>
        <v>0</v>
      </c>
      <c r="S104" s="23">
        <f t="shared" si="20"/>
        <v>0</v>
      </c>
    </row>
    <row r="105" spans="1:19" s="63" customFormat="1">
      <c r="A105" s="72" t="s">
        <v>105</v>
      </c>
      <c r="B105" s="63" t="s">
        <v>19</v>
      </c>
      <c r="C105" s="64"/>
      <c r="D105" s="65" t="s">
        <v>34</v>
      </c>
      <c r="E105" s="66"/>
      <c r="F105" s="67">
        <v>50</v>
      </c>
      <c r="G105" s="68" t="s">
        <v>104</v>
      </c>
      <c r="H105" s="67">
        <v>10</v>
      </c>
      <c r="I105" s="68" t="s">
        <v>34</v>
      </c>
      <c r="J105" s="69">
        <v>1625</v>
      </c>
      <c r="K105" s="65" t="s">
        <v>34</v>
      </c>
      <c r="L105" s="70">
        <v>0.125</v>
      </c>
      <c r="M105" s="70">
        <v>0.05</v>
      </c>
      <c r="N105" s="67"/>
      <c r="O105" s="68" t="s">
        <v>34</v>
      </c>
      <c r="P105" s="64">
        <f t="shared" si="21"/>
        <v>0</v>
      </c>
      <c r="Q105" s="68" t="s">
        <v>34</v>
      </c>
      <c r="R105" s="69">
        <f t="shared" si="22"/>
        <v>0</v>
      </c>
      <c r="S105" s="23">
        <f t="shared" si="20"/>
        <v>0</v>
      </c>
    </row>
    <row r="106" spans="1:19" s="17" customFormat="1">
      <c r="A106" s="16" t="s">
        <v>106</v>
      </c>
      <c r="B106" s="17" t="s">
        <v>19</v>
      </c>
      <c r="C106" s="18"/>
      <c r="D106" s="19" t="s">
        <v>34</v>
      </c>
      <c r="E106" s="20"/>
      <c r="F106" s="21">
        <v>20</v>
      </c>
      <c r="G106" s="22" t="s">
        <v>104</v>
      </c>
      <c r="H106" s="21">
        <v>10</v>
      </c>
      <c r="I106" s="22" t="s">
        <v>34</v>
      </c>
      <c r="J106" s="23">
        <v>4400</v>
      </c>
      <c r="K106" s="19" t="s">
        <v>34</v>
      </c>
      <c r="L106" s="24">
        <v>0.125</v>
      </c>
      <c r="M106" s="24">
        <v>0.05</v>
      </c>
      <c r="N106" s="21"/>
      <c r="O106" s="22" t="s">
        <v>34</v>
      </c>
      <c r="P106" s="18">
        <f t="shared" si="21"/>
        <v>0</v>
      </c>
      <c r="Q106" s="22" t="s">
        <v>34</v>
      </c>
      <c r="R106" s="23">
        <f t="shared" si="22"/>
        <v>0</v>
      </c>
      <c r="S106" s="23">
        <f t="shared" si="20"/>
        <v>0</v>
      </c>
    </row>
    <row r="107" spans="1:19" s="45" customFormat="1">
      <c r="A107" s="44" t="s">
        <v>107</v>
      </c>
      <c r="B107" s="45" t="s">
        <v>19</v>
      </c>
      <c r="C107" s="46">
        <v>288</v>
      </c>
      <c r="D107" s="47" t="s">
        <v>108</v>
      </c>
      <c r="E107" s="48">
        <v>1</v>
      </c>
      <c r="F107" s="49">
        <v>24</v>
      </c>
      <c r="G107" s="50" t="s">
        <v>34</v>
      </c>
      <c r="H107" s="49">
        <v>12</v>
      </c>
      <c r="I107" s="50" t="s">
        <v>108</v>
      </c>
      <c r="J107" s="51">
        <v>3100</v>
      </c>
      <c r="K107" s="47" t="s">
        <v>108</v>
      </c>
      <c r="L107" s="52">
        <v>0.125</v>
      </c>
      <c r="M107" s="52">
        <v>0.05</v>
      </c>
      <c r="N107" s="49">
        <f>(24*12)+24</f>
        <v>312</v>
      </c>
      <c r="O107" s="50" t="s">
        <v>108</v>
      </c>
      <c r="P107" s="46">
        <f t="shared" si="21"/>
        <v>264</v>
      </c>
      <c r="Q107" s="50" t="s">
        <v>108</v>
      </c>
      <c r="R107" s="51">
        <f t="shared" si="22"/>
        <v>680295</v>
      </c>
      <c r="S107" s="51">
        <f t="shared" si="20"/>
        <v>612878.37837837834</v>
      </c>
    </row>
    <row r="108" spans="1:19" s="45" customFormat="1">
      <c r="A108" s="44"/>
      <c r="C108" s="46"/>
      <c r="D108" s="47"/>
      <c r="E108" s="48"/>
      <c r="F108" s="49"/>
      <c r="G108" s="50"/>
      <c r="H108" s="49"/>
      <c r="I108" s="50"/>
      <c r="J108" s="51"/>
      <c r="K108" s="47"/>
      <c r="L108" s="52"/>
      <c r="M108" s="52"/>
      <c r="N108" s="49"/>
      <c r="O108" s="50"/>
      <c r="P108" s="46"/>
      <c r="Q108" s="50"/>
      <c r="R108" s="51"/>
      <c r="S108" s="51"/>
    </row>
    <row r="109" spans="1:19" s="45" customFormat="1">
      <c r="A109" s="44" t="s">
        <v>109</v>
      </c>
      <c r="B109" s="45" t="s">
        <v>26</v>
      </c>
      <c r="C109" s="46">
        <v>50</v>
      </c>
      <c r="D109" s="47" t="s">
        <v>34</v>
      </c>
      <c r="E109" s="48"/>
      <c r="F109" s="49">
        <v>50</v>
      </c>
      <c r="G109" s="50" t="s">
        <v>104</v>
      </c>
      <c r="H109" s="49">
        <v>10</v>
      </c>
      <c r="I109" s="50" t="s">
        <v>34</v>
      </c>
      <c r="J109" s="51">
        <f>850000/50/10</f>
        <v>1700</v>
      </c>
      <c r="K109" s="47" t="s">
        <v>34</v>
      </c>
      <c r="L109" s="52"/>
      <c r="M109" s="52">
        <v>0.17</v>
      </c>
      <c r="N109" s="49"/>
      <c r="O109" s="50" t="s">
        <v>34</v>
      </c>
      <c r="P109" s="46">
        <f t="shared" si="21"/>
        <v>50</v>
      </c>
      <c r="Q109" s="50" t="s">
        <v>34</v>
      </c>
      <c r="R109" s="51">
        <f t="shared" si="22"/>
        <v>70550</v>
      </c>
      <c r="S109" s="51">
        <f t="shared" si="20"/>
        <v>63558.55855855855</v>
      </c>
    </row>
    <row r="110" spans="1:19" s="45" customFormat="1">
      <c r="A110" s="44" t="s">
        <v>110</v>
      </c>
      <c r="B110" s="45" t="s">
        <v>26</v>
      </c>
      <c r="C110" s="46">
        <v>1000</v>
      </c>
      <c r="D110" s="47" t="s">
        <v>34</v>
      </c>
      <c r="E110" s="48"/>
      <c r="F110" s="49">
        <v>50</v>
      </c>
      <c r="G110" s="50" t="s">
        <v>104</v>
      </c>
      <c r="H110" s="49">
        <v>10</v>
      </c>
      <c r="I110" s="50" t="s">
        <v>34</v>
      </c>
      <c r="J110" s="51">
        <f>800000/50/10</f>
        <v>1600</v>
      </c>
      <c r="K110" s="47" t="s">
        <v>34</v>
      </c>
      <c r="L110" s="52"/>
      <c r="M110" s="52">
        <v>0.17</v>
      </c>
      <c r="N110" s="49"/>
      <c r="O110" s="50" t="s">
        <v>34</v>
      </c>
      <c r="P110" s="46">
        <f t="shared" si="21"/>
        <v>1000</v>
      </c>
      <c r="Q110" s="50" t="s">
        <v>34</v>
      </c>
      <c r="R110" s="51">
        <f t="shared" si="22"/>
        <v>1328000</v>
      </c>
      <c r="S110" s="51">
        <f t="shared" si="20"/>
        <v>1196396.3963963962</v>
      </c>
    </row>
    <row r="111" spans="1:19" s="45" customFormat="1">
      <c r="A111" s="44" t="s">
        <v>111</v>
      </c>
      <c r="B111" s="45" t="s">
        <v>26</v>
      </c>
      <c r="C111" s="46">
        <v>600</v>
      </c>
      <c r="D111" s="47" t="s">
        <v>34</v>
      </c>
      <c r="E111" s="48">
        <f>2+2</f>
        <v>4</v>
      </c>
      <c r="F111" s="49">
        <v>20</v>
      </c>
      <c r="G111" s="50" t="s">
        <v>104</v>
      </c>
      <c r="H111" s="49">
        <v>10</v>
      </c>
      <c r="I111" s="50" t="s">
        <v>34</v>
      </c>
      <c r="J111" s="51">
        <f>860000/20/10</f>
        <v>4300</v>
      </c>
      <c r="K111" s="47" t="s">
        <v>34</v>
      </c>
      <c r="L111" s="52"/>
      <c r="M111" s="52">
        <v>0.17</v>
      </c>
      <c r="N111" s="49">
        <f>200+400+(12*10)+(20*10)</f>
        <v>920</v>
      </c>
      <c r="O111" s="50" t="s">
        <v>34</v>
      </c>
      <c r="P111" s="46">
        <f t="shared" si="21"/>
        <v>480</v>
      </c>
      <c r="Q111" s="50" t="s">
        <v>34</v>
      </c>
      <c r="R111" s="51">
        <f t="shared" si="22"/>
        <v>1713120</v>
      </c>
      <c r="S111" s="51">
        <f t="shared" si="20"/>
        <v>1543351.3513513512</v>
      </c>
    </row>
    <row r="112" spans="1:19" s="45" customFormat="1">
      <c r="A112" s="44" t="s">
        <v>112</v>
      </c>
      <c r="B112" s="45" t="s">
        <v>26</v>
      </c>
      <c r="C112" s="46">
        <v>82</v>
      </c>
      <c r="D112" s="47" t="s">
        <v>43</v>
      </c>
      <c r="E112" s="48">
        <f>2+1</f>
        <v>3</v>
      </c>
      <c r="F112" s="49">
        <v>1</v>
      </c>
      <c r="G112" s="50" t="s">
        <v>21</v>
      </c>
      <c r="H112" s="49">
        <v>48</v>
      </c>
      <c r="I112" s="50" t="s">
        <v>43</v>
      </c>
      <c r="J112" s="51">
        <f>1987200/48</f>
        <v>41400</v>
      </c>
      <c r="K112" s="47" t="s">
        <v>43</v>
      </c>
      <c r="L112" s="52"/>
      <c r="M112" s="52">
        <v>0.17</v>
      </c>
      <c r="N112" s="49">
        <f>2+48+34+2</f>
        <v>86</v>
      </c>
      <c r="O112" s="50" t="s">
        <v>43</v>
      </c>
      <c r="P112" s="46">
        <f t="shared" si="21"/>
        <v>140</v>
      </c>
      <c r="Q112" s="50" t="s">
        <v>43</v>
      </c>
      <c r="R112" s="51">
        <f t="shared" si="22"/>
        <v>4810680</v>
      </c>
      <c r="S112" s="51">
        <f t="shared" si="20"/>
        <v>4333945.9459459456</v>
      </c>
    </row>
    <row r="113" spans="1:19">
      <c r="S113" s="23"/>
    </row>
    <row r="114" spans="1:19" s="85" customFormat="1" ht="15.75">
      <c r="A114" s="248" t="s">
        <v>113</v>
      </c>
      <c r="C114" s="86"/>
      <c r="D114" s="87"/>
      <c r="E114" s="92"/>
      <c r="F114" s="88"/>
      <c r="G114" s="89"/>
      <c r="H114" s="88"/>
      <c r="I114" s="89"/>
      <c r="J114" s="90"/>
      <c r="K114" s="87"/>
      <c r="L114" s="91"/>
      <c r="M114" s="91"/>
      <c r="N114" s="88"/>
      <c r="O114" s="89"/>
      <c r="P114" s="86"/>
      <c r="Q114" s="89"/>
      <c r="R114" s="90"/>
      <c r="S114" s="69"/>
    </row>
    <row r="115" spans="1:19">
      <c r="A115" s="15" t="s">
        <v>114</v>
      </c>
      <c r="S115" s="23"/>
    </row>
    <row r="116" spans="1:19" s="45" customFormat="1">
      <c r="A116" s="44" t="s">
        <v>115</v>
      </c>
      <c r="B116" s="45" t="s">
        <v>19</v>
      </c>
      <c r="C116" s="46">
        <v>422</v>
      </c>
      <c r="D116" s="47" t="s">
        <v>43</v>
      </c>
      <c r="E116" s="48">
        <v>2</v>
      </c>
      <c r="F116" s="49">
        <v>1</v>
      </c>
      <c r="G116" s="50" t="s">
        <v>21</v>
      </c>
      <c r="H116" s="49">
        <v>48</v>
      </c>
      <c r="I116" s="50" t="s">
        <v>43</v>
      </c>
      <c r="J116" s="51">
        <v>36000</v>
      </c>
      <c r="K116" s="47" t="s">
        <v>43</v>
      </c>
      <c r="L116" s="52">
        <v>0.125</v>
      </c>
      <c r="M116" s="52">
        <v>0.05</v>
      </c>
      <c r="N116" s="49">
        <f>240+96</f>
        <v>336</v>
      </c>
      <c r="O116" s="50" t="s">
        <v>43</v>
      </c>
      <c r="P116" s="46">
        <f t="shared" ref="P116:P141" si="23">(C116+(E116*F116*H116))-N116</f>
        <v>182</v>
      </c>
      <c r="Q116" s="50" t="s">
        <v>43</v>
      </c>
      <c r="R116" s="51">
        <f t="shared" ref="R116:R141" si="24">P116*(J116-(J116*L116)-((J116-(J116*L116))*M116))</f>
        <v>5446350</v>
      </c>
      <c r="S116" s="51">
        <f t="shared" si="20"/>
        <v>4906621.6216216208</v>
      </c>
    </row>
    <row r="117" spans="1:19" s="45" customFormat="1">
      <c r="A117" s="44" t="s">
        <v>116</v>
      </c>
      <c r="B117" s="45" t="s">
        <v>19</v>
      </c>
      <c r="C117" s="46">
        <v>47</v>
      </c>
      <c r="D117" s="47" t="s">
        <v>43</v>
      </c>
      <c r="E117" s="48"/>
      <c r="F117" s="49">
        <v>1</v>
      </c>
      <c r="G117" s="50" t="s">
        <v>21</v>
      </c>
      <c r="H117" s="49">
        <v>48</v>
      </c>
      <c r="I117" s="50" t="s">
        <v>43</v>
      </c>
      <c r="J117" s="51">
        <v>36000</v>
      </c>
      <c r="K117" s="47" t="s">
        <v>43</v>
      </c>
      <c r="L117" s="52">
        <v>0.125</v>
      </c>
      <c r="M117" s="52">
        <v>0.05</v>
      </c>
      <c r="N117" s="49"/>
      <c r="O117" s="50" t="s">
        <v>43</v>
      </c>
      <c r="P117" s="46">
        <f t="shared" si="23"/>
        <v>47</v>
      </c>
      <c r="Q117" s="50" t="s">
        <v>43</v>
      </c>
      <c r="R117" s="51">
        <f t="shared" si="24"/>
        <v>1406475</v>
      </c>
      <c r="S117" s="32">
        <f t="shared" si="20"/>
        <v>1267094.5945945946</v>
      </c>
    </row>
    <row r="118" spans="1:19" s="45" customFormat="1">
      <c r="A118" s="44" t="s">
        <v>830</v>
      </c>
      <c r="B118" s="45" t="s">
        <v>19</v>
      </c>
      <c r="C118" s="46"/>
      <c r="D118" s="47" t="s">
        <v>43</v>
      </c>
      <c r="E118" s="48">
        <v>4</v>
      </c>
      <c r="F118" s="49">
        <v>1</v>
      </c>
      <c r="G118" s="50" t="s">
        <v>21</v>
      </c>
      <c r="H118" s="49">
        <v>48</v>
      </c>
      <c r="I118" s="50" t="s">
        <v>43</v>
      </c>
      <c r="J118" s="51">
        <v>36000</v>
      </c>
      <c r="K118" s="47" t="s">
        <v>43</v>
      </c>
      <c r="L118" s="52">
        <v>0.125</v>
      </c>
      <c r="M118" s="52">
        <v>0.05</v>
      </c>
      <c r="N118" s="49">
        <v>96</v>
      </c>
      <c r="O118" s="50" t="s">
        <v>43</v>
      </c>
      <c r="P118" s="46">
        <f t="shared" si="23"/>
        <v>96</v>
      </c>
      <c r="Q118" s="50" t="s">
        <v>43</v>
      </c>
      <c r="R118" s="51">
        <f t="shared" si="24"/>
        <v>2872800</v>
      </c>
      <c r="S118" s="32">
        <f t="shared" si="20"/>
        <v>2588108.1081081079</v>
      </c>
    </row>
    <row r="119" spans="1:19" s="63" customFormat="1">
      <c r="A119" s="72" t="s">
        <v>118</v>
      </c>
      <c r="B119" s="63" t="s">
        <v>19</v>
      </c>
      <c r="C119" s="64">
        <v>1</v>
      </c>
      <c r="D119" s="65" t="s">
        <v>43</v>
      </c>
      <c r="E119" s="66"/>
      <c r="F119" s="67">
        <v>1</v>
      </c>
      <c r="G119" s="68" t="s">
        <v>21</v>
      </c>
      <c r="H119" s="67">
        <v>48</v>
      </c>
      <c r="I119" s="68" t="s">
        <v>43</v>
      </c>
      <c r="J119" s="69">
        <v>39000</v>
      </c>
      <c r="K119" s="65" t="s">
        <v>43</v>
      </c>
      <c r="L119" s="70">
        <v>0.125</v>
      </c>
      <c r="M119" s="70">
        <v>0.05</v>
      </c>
      <c r="N119" s="67">
        <v>1</v>
      </c>
      <c r="O119" s="68" t="s">
        <v>43</v>
      </c>
      <c r="P119" s="64">
        <f t="shared" si="23"/>
        <v>0</v>
      </c>
      <c r="Q119" s="68" t="s">
        <v>43</v>
      </c>
      <c r="R119" s="69">
        <f t="shared" si="24"/>
        <v>0</v>
      </c>
      <c r="S119" s="23">
        <f t="shared" si="20"/>
        <v>0</v>
      </c>
    </row>
    <row r="120" spans="1:19" s="63" customFormat="1">
      <c r="A120" s="72" t="s">
        <v>119</v>
      </c>
      <c r="B120" s="63" t="s">
        <v>19</v>
      </c>
      <c r="C120" s="64"/>
      <c r="D120" s="65" t="s">
        <v>43</v>
      </c>
      <c r="E120" s="66"/>
      <c r="F120" s="67">
        <v>1</v>
      </c>
      <c r="G120" s="68" t="s">
        <v>21</v>
      </c>
      <c r="H120" s="67">
        <v>48</v>
      </c>
      <c r="I120" s="68" t="s">
        <v>43</v>
      </c>
      <c r="J120" s="69">
        <v>54600</v>
      </c>
      <c r="K120" s="65" t="s">
        <v>43</v>
      </c>
      <c r="L120" s="70">
        <v>0.125</v>
      </c>
      <c r="M120" s="70">
        <v>0.05</v>
      </c>
      <c r="N120" s="67"/>
      <c r="O120" s="68" t="s">
        <v>43</v>
      </c>
      <c r="P120" s="64">
        <f t="shared" si="23"/>
        <v>0</v>
      </c>
      <c r="Q120" s="68" t="s">
        <v>43</v>
      </c>
      <c r="R120" s="69">
        <f t="shared" si="24"/>
        <v>0</v>
      </c>
      <c r="S120" s="23">
        <f t="shared" si="20"/>
        <v>0</v>
      </c>
    </row>
    <row r="121" spans="1:19" s="63" customFormat="1">
      <c r="A121" s="72" t="s">
        <v>120</v>
      </c>
      <c r="B121" s="63" t="s">
        <v>19</v>
      </c>
      <c r="C121" s="64"/>
      <c r="D121" s="65" t="s">
        <v>43</v>
      </c>
      <c r="E121" s="66">
        <v>2</v>
      </c>
      <c r="F121" s="67">
        <v>1</v>
      </c>
      <c r="G121" s="68" t="s">
        <v>21</v>
      </c>
      <c r="H121" s="67">
        <v>48</v>
      </c>
      <c r="I121" s="68" t="s">
        <v>43</v>
      </c>
      <c r="J121" s="69">
        <v>30000</v>
      </c>
      <c r="K121" s="65" t="s">
        <v>43</v>
      </c>
      <c r="L121" s="70">
        <v>0.125</v>
      </c>
      <c r="M121" s="70">
        <v>0.05</v>
      </c>
      <c r="N121" s="67">
        <v>96</v>
      </c>
      <c r="O121" s="68" t="s">
        <v>43</v>
      </c>
      <c r="P121" s="64">
        <f t="shared" si="23"/>
        <v>0</v>
      </c>
      <c r="Q121" s="68" t="s">
        <v>43</v>
      </c>
      <c r="R121" s="69">
        <f t="shared" si="24"/>
        <v>0</v>
      </c>
      <c r="S121" s="23">
        <f t="shared" si="20"/>
        <v>0</v>
      </c>
    </row>
    <row r="122" spans="1:19" s="63" customFormat="1">
      <c r="A122" s="72" t="s">
        <v>770</v>
      </c>
      <c r="B122" s="63" t="s">
        <v>19</v>
      </c>
      <c r="C122" s="64"/>
      <c r="D122" s="65" t="s">
        <v>43</v>
      </c>
      <c r="E122" s="66"/>
      <c r="F122" s="67">
        <v>1</v>
      </c>
      <c r="G122" s="68" t="s">
        <v>21</v>
      </c>
      <c r="H122" s="67">
        <v>48</v>
      </c>
      <c r="I122" s="68" t="s">
        <v>43</v>
      </c>
      <c r="J122" s="69">
        <v>48000</v>
      </c>
      <c r="K122" s="65" t="s">
        <v>43</v>
      </c>
      <c r="L122" s="70">
        <v>0.125</v>
      </c>
      <c r="M122" s="70">
        <v>0.05</v>
      </c>
      <c r="N122" s="67"/>
      <c r="O122" s="68" t="s">
        <v>43</v>
      </c>
      <c r="P122" s="64">
        <f t="shared" si="23"/>
        <v>0</v>
      </c>
      <c r="Q122" s="68" t="s">
        <v>43</v>
      </c>
      <c r="R122" s="69">
        <f t="shared" si="24"/>
        <v>0</v>
      </c>
      <c r="S122" s="23">
        <f t="shared" si="20"/>
        <v>0</v>
      </c>
    </row>
    <row r="123" spans="1:19" s="63" customFormat="1">
      <c r="A123" s="72" t="s">
        <v>121</v>
      </c>
      <c r="B123" s="63" t="s">
        <v>19</v>
      </c>
      <c r="C123" s="64"/>
      <c r="D123" s="65" t="s">
        <v>43</v>
      </c>
      <c r="E123" s="66"/>
      <c r="F123" s="67">
        <v>1</v>
      </c>
      <c r="G123" s="68" t="s">
        <v>21</v>
      </c>
      <c r="H123" s="67">
        <v>36</v>
      </c>
      <c r="I123" s="68" t="s">
        <v>43</v>
      </c>
      <c r="J123" s="69">
        <v>41400</v>
      </c>
      <c r="K123" s="65" t="s">
        <v>43</v>
      </c>
      <c r="L123" s="70">
        <v>0.125</v>
      </c>
      <c r="M123" s="70">
        <v>0.05</v>
      </c>
      <c r="N123" s="67"/>
      <c r="O123" s="68" t="s">
        <v>43</v>
      </c>
      <c r="P123" s="64">
        <f t="shared" si="23"/>
        <v>0</v>
      </c>
      <c r="Q123" s="68" t="s">
        <v>43</v>
      </c>
      <c r="R123" s="69">
        <f t="shared" si="24"/>
        <v>0</v>
      </c>
      <c r="S123" s="23">
        <f t="shared" si="20"/>
        <v>0</v>
      </c>
    </row>
    <row r="124" spans="1:19" s="63" customFormat="1">
      <c r="A124" s="72" t="s">
        <v>122</v>
      </c>
      <c r="B124" s="63" t="s">
        <v>19</v>
      </c>
      <c r="C124" s="64"/>
      <c r="D124" s="65" t="s">
        <v>43</v>
      </c>
      <c r="E124" s="66"/>
      <c r="F124" s="67">
        <v>1</v>
      </c>
      <c r="G124" s="68" t="s">
        <v>21</v>
      </c>
      <c r="H124" s="67">
        <v>36</v>
      </c>
      <c r="I124" s="68" t="s">
        <v>43</v>
      </c>
      <c r="J124" s="69">
        <v>41400</v>
      </c>
      <c r="K124" s="65" t="s">
        <v>43</v>
      </c>
      <c r="L124" s="70">
        <v>0.125</v>
      </c>
      <c r="M124" s="70">
        <v>0.05</v>
      </c>
      <c r="N124" s="67"/>
      <c r="O124" s="68" t="s">
        <v>43</v>
      </c>
      <c r="P124" s="64">
        <f t="shared" si="23"/>
        <v>0</v>
      </c>
      <c r="Q124" s="68" t="s">
        <v>43</v>
      </c>
      <c r="R124" s="69">
        <f t="shared" si="24"/>
        <v>0</v>
      </c>
      <c r="S124" s="23">
        <f t="shared" si="20"/>
        <v>0</v>
      </c>
    </row>
    <row r="125" spans="1:19" s="45" customFormat="1">
      <c r="A125" s="44" t="s">
        <v>123</v>
      </c>
      <c r="B125" s="45" t="s">
        <v>19</v>
      </c>
      <c r="C125" s="46">
        <v>480</v>
      </c>
      <c r="D125" s="47" t="s">
        <v>43</v>
      </c>
      <c r="E125" s="48"/>
      <c r="F125" s="49">
        <v>24</v>
      </c>
      <c r="G125" s="50" t="s">
        <v>34</v>
      </c>
      <c r="H125" s="49">
        <v>2</v>
      </c>
      <c r="I125" s="50" t="s">
        <v>43</v>
      </c>
      <c r="J125" s="51">
        <f>70800/2</f>
        <v>35400</v>
      </c>
      <c r="K125" s="47" t="s">
        <v>43</v>
      </c>
      <c r="L125" s="52">
        <v>0.125</v>
      </c>
      <c r="M125" s="52">
        <v>0.05</v>
      </c>
      <c r="N125" s="49"/>
      <c r="O125" s="50" t="s">
        <v>43</v>
      </c>
      <c r="P125" s="46">
        <f t="shared" si="23"/>
        <v>480</v>
      </c>
      <c r="Q125" s="50" t="s">
        <v>43</v>
      </c>
      <c r="R125" s="51">
        <f t="shared" si="24"/>
        <v>14124600</v>
      </c>
      <c r="S125" s="51">
        <f t="shared" si="20"/>
        <v>12724864.864864863</v>
      </c>
    </row>
    <row r="126" spans="1:19" s="45" customFormat="1">
      <c r="A126" s="44" t="s">
        <v>124</v>
      </c>
      <c r="B126" s="45" t="s">
        <v>19</v>
      </c>
      <c r="C126" s="46">
        <v>240</v>
      </c>
      <c r="D126" s="47" t="s">
        <v>43</v>
      </c>
      <c r="E126" s="48"/>
      <c r="F126" s="49">
        <v>24</v>
      </c>
      <c r="G126" s="50" t="s">
        <v>34</v>
      </c>
      <c r="H126" s="49">
        <v>2</v>
      </c>
      <c r="I126" s="50" t="s">
        <v>43</v>
      </c>
      <c r="J126" s="51">
        <f>70800/2</f>
        <v>35400</v>
      </c>
      <c r="K126" s="47" t="s">
        <v>43</v>
      </c>
      <c r="L126" s="52">
        <v>0.125</v>
      </c>
      <c r="M126" s="52">
        <v>0.05</v>
      </c>
      <c r="N126" s="49"/>
      <c r="O126" s="50" t="s">
        <v>43</v>
      </c>
      <c r="P126" s="46">
        <f t="shared" si="23"/>
        <v>240</v>
      </c>
      <c r="Q126" s="50" t="s">
        <v>43</v>
      </c>
      <c r="R126" s="51">
        <f t="shared" si="24"/>
        <v>7062300</v>
      </c>
      <c r="S126" s="32">
        <f t="shared" si="20"/>
        <v>6362432.4324324317</v>
      </c>
    </row>
    <row r="127" spans="1:19" s="45" customFormat="1">
      <c r="A127" s="44" t="s">
        <v>125</v>
      </c>
      <c r="B127" s="45" t="s">
        <v>19</v>
      </c>
      <c r="C127" s="46">
        <v>89</v>
      </c>
      <c r="D127" s="47" t="s">
        <v>43</v>
      </c>
      <c r="E127" s="48"/>
      <c r="F127" s="49">
        <v>1</v>
      </c>
      <c r="G127" s="50" t="s">
        <v>21</v>
      </c>
      <c r="H127" s="49">
        <v>36</v>
      </c>
      <c r="I127" s="50" t="s">
        <v>43</v>
      </c>
      <c r="J127" s="51">
        <v>34200</v>
      </c>
      <c r="K127" s="47" t="s">
        <v>43</v>
      </c>
      <c r="L127" s="52">
        <v>0.125</v>
      </c>
      <c r="M127" s="52">
        <v>0.05</v>
      </c>
      <c r="N127" s="49">
        <f>6+36+5+6</f>
        <v>53</v>
      </c>
      <c r="O127" s="50" t="s">
        <v>43</v>
      </c>
      <c r="P127" s="46">
        <f t="shared" si="23"/>
        <v>36</v>
      </c>
      <c r="Q127" s="50" t="s">
        <v>43</v>
      </c>
      <c r="R127" s="51">
        <f t="shared" si="24"/>
        <v>1023435</v>
      </c>
      <c r="S127" s="32">
        <f t="shared" si="20"/>
        <v>922013.51351351338</v>
      </c>
    </row>
    <row r="128" spans="1:19" s="45" customFormat="1">
      <c r="A128" s="44" t="s">
        <v>126</v>
      </c>
      <c r="B128" s="45" t="s">
        <v>19</v>
      </c>
      <c r="C128" s="46">
        <v>48</v>
      </c>
      <c r="D128" s="47" t="s">
        <v>43</v>
      </c>
      <c r="E128" s="48"/>
      <c r="F128" s="49">
        <v>24</v>
      </c>
      <c r="G128" s="50" t="s">
        <v>34</v>
      </c>
      <c r="H128" s="49">
        <v>2</v>
      </c>
      <c r="I128" s="50" t="s">
        <v>43</v>
      </c>
      <c r="J128" s="51">
        <f>46800/2</f>
        <v>23400</v>
      </c>
      <c r="K128" s="47" t="s">
        <v>43</v>
      </c>
      <c r="L128" s="52">
        <v>0.125</v>
      </c>
      <c r="M128" s="52">
        <v>0.05</v>
      </c>
      <c r="N128" s="49"/>
      <c r="O128" s="50" t="s">
        <v>43</v>
      </c>
      <c r="P128" s="46">
        <f t="shared" si="23"/>
        <v>48</v>
      </c>
      <c r="Q128" s="50" t="s">
        <v>43</v>
      </c>
      <c r="R128" s="51">
        <f t="shared" si="24"/>
        <v>933660</v>
      </c>
      <c r="S128" s="32">
        <f t="shared" si="20"/>
        <v>841135.13513513503</v>
      </c>
    </row>
    <row r="129" spans="1:19" s="63" customFormat="1">
      <c r="A129" s="72" t="s">
        <v>127</v>
      </c>
      <c r="B129" s="63" t="s">
        <v>19</v>
      </c>
      <c r="C129" s="64"/>
      <c r="D129" s="65" t="s">
        <v>43</v>
      </c>
      <c r="E129" s="66"/>
      <c r="F129" s="67">
        <v>60</v>
      </c>
      <c r="G129" s="68" t="s">
        <v>34</v>
      </c>
      <c r="H129" s="67">
        <v>1</v>
      </c>
      <c r="I129" s="68" t="s">
        <v>43</v>
      </c>
      <c r="J129" s="69">
        <v>43200</v>
      </c>
      <c r="K129" s="65" t="s">
        <v>43</v>
      </c>
      <c r="L129" s="70">
        <v>0.125</v>
      </c>
      <c r="M129" s="70">
        <v>0.05</v>
      </c>
      <c r="N129" s="67"/>
      <c r="O129" s="68" t="s">
        <v>43</v>
      </c>
      <c r="P129" s="64">
        <f t="shared" si="23"/>
        <v>0</v>
      </c>
      <c r="Q129" s="68" t="s">
        <v>43</v>
      </c>
      <c r="R129" s="69">
        <f t="shared" si="24"/>
        <v>0</v>
      </c>
      <c r="S129" s="23">
        <f t="shared" si="20"/>
        <v>0</v>
      </c>
    </row>
    <row r="130" spans="1:19" s="45" customFormat="1">
      <c r="A130" s="44" t="s">
        <v>764</v>
      </c>
      <c r="B130" s="45" t="s">
        <v>19</v>
      </c>
      <c r="C130" s="46">
        <v>212</v>
      </c>
      <c r="D130" s="47" t="s">
        <v>43</v>
      </c>
      <c r="E130" s="48"/>
      <c r="F130" s="49">
        <v>120</v>
      </c>
      <c r="G130" s="50" t="s">
        <v>34</v>
      </c>
      <c r="H130" s="49">
        <v>1</v>
      </c>
      <c r="I130" s="50" t="s">
        <v>43</v>
      </c>
      <c r="J130" s="51">
        <v>17400</v>
      </c>
      <c r="K130" s="47" t="s">
        <v>43</v>
      </c>
      <c r="L130" s="52">
        <v>0.125</v>
      </c>
      <c r="M130" s="52">
        <v>0.05</v>
      </c>
      <c r="N130" s="49">
        <v>2</v>
      </c>
      <c r="O130" s="50" t="s">
        <v>43</v>
      </c>
      <c r="P130" s="46">
        <f t="shared" si="23"/>
        <v>210</v>
      </c>
      <c r="Q130" s="50" t="s">
        <v>43</v>
      </c>
      <c r="R130" s="51">
        <f t="shared" si="24"/>
        <v>3037387.5</v>
      </c>
      <c r="S130" s="32">
        <f t="shared" si="20"/>
        <v>2736385.1351351347</v>
      </c>
    </row>
    <row r="131" spans="1:19" s="45" customFormat="1">
      <c r="A131" s="44"/>
      <c r="C131" s="46"/>
      <c r="D131" s="47"/>
      <c r="E131" s="48"/>
      <c r="F131" s="49"/>
      <c r="G131" s="50"/>
      <c r="H131" s="49"/>
      <c r="I131" s="50"/>
      <c r="J131" s="51"/>
      <c r="K131" s="47"/>
      <c r="L131" s="52"/>
      <c r="M131" s="52"/>
      <c r="N131" s="49"/>
      <c r="O131" s="50"/>
      <c r="P131" s="46"/>
      <c r="Q131" s="50"/>
      <c r="R131" s="51"/>
      <c r="S131" s="32"/>
    </row>
    <row r="132" spans="1:19" s="63" customFormat="1">
      <c r="A132" s="72" t="s">
        <v>128</v>
      </c>
      <c r="B132" s="63" t="s">
        <v>26</v>
      </c>
      <c r="C132" s="64">
        <v>18</v>
      </c>
      <c r="D132" s="65" t="s">
        <v>43</v>
      </c>
      <c r="E132" s="66"/>
      <c r="F132" s="67">
        <v>1</v>
      </c>
      <c r="G132" s="68" t="s">
        <v>21</v>
      </c>
      <c r="H132" s="67">
        <v>36</v>
      </c>
      <c r="I132" s="68" t="s">
        <v>43</v>
      </c>
      <c r="J132" s="69">
        <f>1954800/36</f>
        <v>54300</v>
      </c>
      <c r="K132" s="65" t="s">
        <v>43</v>
      </c>
      <c r="L132" s="70"/>
      <c r="M132" s="70">
        <v>0.17</v>
      </c>
      <c r="N132" s="67">
        <v>18</v>
      </c>
      <c r="O132" s="68" t="s">
        <v>43</v>
      </c>
      <c r="P132" s="64">
        <f t="shared" si="23"/>
        <v>0</v>
      </c>
      <c r="Q132" s="68" t="s">
        <v>43</v>
      </c>
      <c r="R132" s="69">
        <f t="shared" si="24"/>
        <v>0</v>
      </c>
      <c r="S132" s="23">
        <f t="shared" si="20"/>
        <v>0</v>
      </c>
    </row>
    <row r="133" spans="1:19" s="63" customFormat="1">
      <c r="A133" s="95" t="s">
        <v>129</v>
      </c>
      <c r="B133" s="96" t="s">
        <v>26</v>
      </c>
      <c r="C133" s="97">
        <v>144</v>
      </c>
      <c r="D133" s="98" t="s">
        <v>43</v>
      </c>
      <c r="E133" s="105"/>
      <c r="F133" s="100">
        <v>1</v>
      </c>
      <c r="G133" s="101" t="s">
        <v>21</v>
      </c>
      <c r="H133" s="100">
        <v>36</v>
      </c>
      <c r="I133" s="101" t="s">
        <v>43</v>
      </c>
      <c r="J133" s="102">
        <f>1792800/36</f>
        <v>49800</v>
      </c>
      <c r="K133" s="98" t="s">
        <v>43</v>
      </c>
      <c r="L133" s="103"/>
      <c r="M133" s="103">
        <v>0.17</v>
      </c>
      <c r="N133" s="100">
        <v>144</v>
      </c>
      <c r="O133" s="101" t="s">
        <v>43</v>
      </c>
      <c r="P133" s="97">
        <f t="shared" si="23"/>
        <v>0</v>
      </c>
      <c r="Q133" s="101" t="s">
        <v>43</v>
      </c>
      <c r="R133" s="102">
        <f t="shared" si="24"/>
        <v>0</v>
      </c>
      <c r="S133" s="102">
        <f t="shared" si="20"/>
        <v>0</v>
      </c>
    </row>
    <row r="134" spans="1:19" s="63" customFormat="1">
      <c r="A134" s="95" t="s">
        <v>129</v>
      </c>
      <c r="B134" s="96" t="s">
        <v>26</v>
      </c>
      <c r="C134" s="97">
        <v>36</v>
      </c>
      <c r="D134" s="98" t="s">
        <v>43</v>
      </c>
      <c r="E134" s="105"/>
      <c r="F134" s="100">
        <v>1</v>
      </c>
      <c r="G134" s="101" t="s">
        <v>21</v>
      </c>
      <c r="H134" s="100">
        <v>36</v>
      </c>
      <c r="I134" s="101" t="s">
        <v>43</v>
      </c>
      <c r="J134" s="102">
        <f>1900800/36</f>
        <v>52800</v>
      </c>
      <c r="K134" s="98" t="s">
        <v>43</v>
      </c>
      <c r="L134" s="103"/>
      <c r="M134" s="103">
        <v>0.17</v>
      </c>
      <c r="N134" s="100">
        <v>36</v>
      </c>
      <c r="O134" s="101" t="s">
        <v>43</v>
      </c>
      <c r="P134" s="97">
        <f t="shared" si="23"/>
        <v>0</v>
      </c>
      <c r="Q134" s="101" t="s">
        <v>43</v>
      </c>
      <c r="R134" s="102">
        <f t="shared" si="24"/>
        <v>0</v>
      </c>
      <c r="S134" s="102">
        <f t="shared" si="20"/>
        <v>0</v>
      </c>
    </row>
    <row r="135" spans="1:19" s="45" customFormat="1">
      <c r="A135" s="35" t="s">
        <v>129</v>
      </c>
      <c r="B135" s="36" t="s">
        <v>26</v>
      </c>
      <c r="C135" s="37"/>
      <c r="D135" s="38" t="s">
        <v>43</v>
      </c>
      <c r="E135" s="39">
        <f>1+(1+1+1+1+1)+1</f>
        <v>7</v>
      </c>
      <c r="F135" s="40">
        <v>1</v>
      </c>
      <c r="G135" s="41" t="s">
        <v>21</v>
      </c>
      <c r="H135" s="40">
        <v>36</v>
      </c>
      <c r="I135" s="41" t="s">
        <v>43</v>
      </c>
      <c r="J135" s="42">
        <f>1954800/36</f>
        <v>54300</v>
      </c>
      <c r="K135" s="38" t="s">
        <v>43</v>
      </c>
      <c r="L135" s="43"/>
      <c r="M135" s="43">
        <v>0.17</v>
      </c>
      <c r="N135" s="40">
        <v>36</v>
      </c>
      <c r="O135" s="41" t="s">
        <v>43</v>
      </c>
      <c r="P135" s="37">
        <f t="shared" ref="P135" si="25">(C135+(E135*F135*H135))-N135</f>
        <v>216</v>
      </c>
      <c r="Q135" s="41" t="s">
        <v>43</v>
      </c>
      <c r="R135" s="42">
        <f t="shared" ref="R135" si="26">P135*(J135-(J135*L135)-((J135-(J135*L135))*M135))</f>
        <v>9734904</v>
      </c>
      <c r="S135" s="42">
        <f t="shared" ref="S135" si="27">R135/1.11</f>
        <v>8770183.7837837823</v>
      </c>
    </row>
    <row r="136" spans="1:19" s="45" customFormat="1">
      <c r="A136" s="44" t="s">
        <v>130</v>
      </c>
      <c r="B136" s="45" t="s">
        <v>26</v>
      </c>
      <c r="C136" s="46">
        <v>105</v>
      </c>
      <c r="D136" s="47" t="s">
        <v>43</v>
      </c>
      <c r="E136" s="48">
        <f>4+5+(4+10)+5+5+10+5+10+10+4+5+5+5+5+10</f>
        <v>102</v>
      </c>
      <c r="F136" s="49">
        <v>1</v>
      </c>
      <c r="G136" s="50" t="s">
        <v>21</v>
      </c>
      <c r="H136" s="49">
        <v>36</v>
      </c>
      <c r="I136" s="50" t="s">
        <v>43</v>
      </c>
      <c r="J136" s="51">
        <f>1954800/36</f>
        <v>54300</v>
      </c>
      <c r="K136" s="47" t="s">
        <v>43</v>
      </c>
      <c r="L136" s="52"/>
      <c r="M136" s="52">
        <v>0.17</v>
      </c>
      <c r="N136" s="49">
        <f>36+72+72+72+72+72+72+72+72+144+72+72+36+72+72+30+72+36+72+72+72+72+36+36+36+2+2+36+72+72+72+72+36+6+36+72+36+72+15+10+72+72+72+72+36+72+72+144+72+72+72+10+36+36+72+36+36+144+144</f>
        <v>3567</v>
      </c>
      <c r="O136" s="50" t="s">
        <v>43</v>
      </c>
      <c r="P136" s="46">
        <f t="shared" si="23"/>
        <v>210</v>
      </c>
      <c r="Q136" s="50" t="s">
        <v>43</v>
      </c>
      <c r="R136" s="51">
        <f t="shared" si="24"/>
        <v>9464490</v>
      </c>
      <c r="S136" s="51">
        <f t="shared" si="20"/>
        <v>8526567.5675675664</v>
      </c>
    </row>
    <row r="137" spans="1:19" s="45" customFormat="1">
      <c r="A137" s="44" t="s">
        <v>131</v>
      </c>
      <c r="B137" s="45" t="s">
        <v>26</v>
      </c>
      <c r="C137" s="46">
        <v>11</v>
      </c>
      <c r="D137" s="47" t="s">
        <v>43</v>
      </c>
      <c r="E137" s="48">
        <v>4</v>
      </c>
      <c r="F137" s="49">
        <v>1</v>
      </c>
      <c r="G137" s="50" t="s">
        <v>21</v>
      </c>
      <c r="H137" s="49">
        <v>36</v>
      </c>
      <c r="I137" s="50" t="s">
        <v>43</v>
      </c>
      <c r="J137" s="51">
        <f>1954800/36</f>
        <v>54300</v>
      </c>
      <c r="K137" s="47" t="s">
        <v>43</v>
      </c>
      <c r="L137" s="52"/>
      <c r="M137" s="52">
        <v>0.17</v>
      </c>
      <c r="N137" s="49">
        <f>6+72+8</f>
        <v>86</v>
      </c>
      <c r="O137" s="50" t="s">
        <v>43</v>
      </c>
      <c r="P137" s="46">
        <f t="shared" si="23"/>
        <v>69</v>
      </c>
      <c r="Q137" s="50" t="s">
        <v>43</v>
      </c>
      <c r="R137" s="51">
        <f t="shared" si="24"/>
        <v>3109761</v>
      </c>
      <c r="S137" s="51">
        <f t="shared" si="20"/>
        <v>2801586.4864864862</v>
      </c>
    </row>
    <row r="138" spans="1:19" s="63" customFormat="1">
      <c r="A138" s="72" t="s">
        <v>132</v>
      </c>
      <c r="B138" s="63" t="s">
        <v>26</v>
      </c>
      <c r="C138" s="64">
        <v>36</v>
      </c>
      <c r="D138" s="65" t="s">
        <v>43</v>
      </c>
      <c r="E138" s="66">
        <f>2+4</f>
        <v>6</v>
      </c>
      <c r="F138" s="67">
        <v>1</v>
      </c>
      <c r="G138" s="68" t="s">
        <v>21</v>
      </c>
      <c r="H138" s="67">
        <v>36</v>
      </c>
      <c r="I138" s="68" t="s">
        <v>43</v>
      </c>
      <c r="J138" s="69">
        <f>1695600/36</f>
        <v>47100</v>
      </c>
      <c r="K138" s="65" t="s">
        <v>43</v>
      </c>
      <c r="L138" s="70"/>
      <c r="M138" s="70">
        <v>0.17</v>
      </c>
      <c r="N138" s="67">
        <f>72+36+72+72</f>
        <v>252</v>
      </c>
      <c r="O138" s="68" t="s">
        <v>43</v>
      </c>
      <c r="P138" s="64">
        <f t="shared" si="23"/>
        <v>0</v>
      </c>
      <c r="Q138" s="68" t="s">
        <v>43</v>
      </c>
      <c r="R138" s="69">
        <f t="shared" si="24"/>
        <v>0</v>
      </c>
      <c r="S138" s="69">
        <f t="shared" si="20"/>
        <v>0</v>
      </c>
    </row>
    <row r="139" spans="1:19" s="63" customFormat="1">
      <c r="A139" s="72" t="s">
        <v>133</v>
      </c>
      <c r="B139" s="63" t="s">
        <v>26</v>
      </c>
      <c r="C139" s="64"/>
      <c r="D139" s="65" t="s">
        <v>43</v>
      </c>
      <c r="E139" s="66"/>
      <c r="F139" s="67">
        <v>1</v>
      </c>
      <c r="G139" s="68" t="s">
        <v>21</v>
      </c>
      <c r="H139" s="67">
        <v>36</v>
      </c>
      <c r="I139" s="68" t="s">
        <v>43</v>
      </c>
      <c r="J139" s="69">
        <f>1760400/36</f>
        <v>48900</v>
      </c>
      <c r="K139" s="65" t="s">
        <v>43</v>
      </c>
      <c r="L139" s="70"/>
      <c r="M139" s="70">
        <v>0.17</v>
      </c>
      <c r="N139" s="67"/>
      <c r="O139" s="68" t="s">
        <v>43</v>
      </c>
      <c r="P139" s="64">
        <f t="shared" si="23"/>
        <v>0</v>
      </c>
      <c r="Q139" s="68" t="s">
        <v>43</v>
      </c>
      <c r="R139" s="69">
        <f t="shared" si="24"/>
        <v>0</v>
      </c>
      <c r="S139" s="69">
        <f t="shared" si="20"/>
        <v>0</v>
      </c>
    </row>
    <row r="140" spans="1:19" s="45" customFormat="1">
      <c r="A140" s="44" t="s">
        <v>134</v>
      </c>
      <c r="B140" s="45" t="s">
        <v>26</v>
      </c>
      <c r="C140" s="46">
        <v>244</v>
      </c>
      <c r="D140" s="47" t="s">
        <v>43</v>
      </c>
      <c r="E140" s="48"/>
      <c r="F140" s="49">
        <v>1</v>
      </c>
      <c r="G140" s="50" t="s">
        <v>21</v>
      </c>
      <c r="H140" s="49">
        <v>36</v>
      </c>
      <c r="I140" s="50" t="s">
        <v>43</v>
      </c>
      <c r="J140" s="51">
        <f>1998000/36</f>
        <v>55500</v>
      </c>
      <c r="K140" s="47" t="s">
        <v>43</v>
      </c>
      <c r="L140" s="52"/>
      <c r="M140" s="52">
        <v>0.17</v>
      </c>
      <c r="N140" s="49">
        <v>36</v>
      </c>
      <c r="O140" s="50" t="s">
        <v>43</v>
      </c>
      <c r="P140" s="46">
        <f t="shared" si="23"/>
        <v>208</v>
      </c>
      <c r="Q140" s="50" t="s">
        <v>43</v>
      </c>
      <c r="R140" s="51">
        <f t="shared" si="24"/>
        <v>9581520</v>
      </c>
      <c r="S140" s="51">
        <f t="shared" si="20"/>
        <v>8632000</v>
      </c>
    </row>
    <row r="141" spans="1:19" s="17" customFormat="1">
      <c r="A141" s="16" t="s">
        <v>135</v>
      </c>
      <c r="B141" s="17" t="s">
        <v>26</v>
      </c>
      <c r="C141" s="18">
        <v>2</v>
      </c>
      <c r="D141" s="19" t="s">
        <v>43</v>
      </c>
      <c r="E141" s="20">
        <v>2</v>
      </c>
      <c r="F141" s="21">
        <v>1</v>
      </c>
      <c r="G141" s="22" t="s">
        <v>21</v>
      </c>
      <c r="H141" s="21">
        <v>36</v>
      </c>
      <c r="I141" s="22" t="s">
        <v>43</v>
      </c>
      <c r="J141" s="23">
        <f>2170800/36</f>
        <v>60300</v>
      </c>
      <c r="K141" s="19" t="s">
        <v>43</v>
      </c>
      <c r="L141" s="24"/>
      <c r="M141" s="24">
        <v>0.17</v>
      </c>
      <c r="N141" s="21">
        <f>36+36+2</f>
        <v>74</v>
      </c>
      <c r="O141" s="22" t="s">
        <v>43</v>
      </c>
      <c r="P141" s="18">
        <f t="shared" si="23"/>
        <v>0</v>
      </c>
      <c r="Q141" s="22" t="s">
        <v>43</v>
      </c>
      <c r="R141" s="23">
        <f t="shared" si="24"/>
        <v>0</v>
      </c>
      <c r="S141" s="23">
        <f t="shared" si="20"/>
        <v>0</v>
      </c>
    </row>
    <row r="142" spans="1:19" s="26" customFormat="1">
      <c r="A142" s="25"/>
      <c r="C142" s="27"/>
      <c r="D142" s="28"/>
      <c r="E142" s="29"/>
      <c r="F142" s="30"/>
      <c r="G142" s="31"/>
      <c r="H142" s="30"/>
      <c r="I142" s="31"/>
      <c r="J142" s="32"/>
      <c r="K142" s="28"/>
      <c r="L142" s="33"/>
      <c r="M142" s="33"/>
      <c r="N142" s="30"/>
      <c r="O142" s="31"/>
      <c r="P142" s="27"/>
      <c r="Q142" s="31"/>
      <c r="R142" s="32"/>
      <c r="S142" s="32"/>
    </row>
    <row r="143" spans="1:19">
      <c r="A143" s="15" t="s">
        <v>136</v>
      </c>
      <c r="S143" s="23"/>
    </row>
    <row r="144" spans="1:19" s="26" customFormat="1">
      <c r="A144" s="25" t="s">
        <v>137</v>
      </c>
      <c r="B144" s="26" t="s">
        <v>19</v>
      </c>
      <c r="C144" s="27"/>
      <c r="D144" s="28" t="s">
        <v>43</v>
      </c>
      <c r="E144" s="29">
        <f>1+1+1+1+1</f>
        <v>5</v>
      </c>
      <c r="F144" s="30">
        <v>60</v>
      </c>
      <c r="G144" s="31" t="s">
        <v>34</v>
      </c>
      <c r="H144" s="30">
        <v>1</v>
      </c>
      <c r="I144" s="31" t="s">
        <v>43</v>
      </c>
      <c r="J144" s="32">
        <f>4600*12</f>
        <v>55200</v>
      </c>
      <c r="K144" s="28" t="s">
        <v>43</v>
      </c>
      <c r="L144" s="33">
        <v>0.125</v>
      </c>
      <c r="M144" s="33">
        <v>0.05</v>
      </c>
      <c r="N144" s="30">
        <f>60+12+60+60+24+60</f>
        <v>276</v>
      </c>
      <c r="O144" s="31" t="s">
        <v>43</v>
      </c>
      <c r="P144" s="27">
        <f t="shared" ref="P144:P169" si="28">(C144+(E144*F144*H144))-N144</f>
        <v>24</v>
      </c>
      <c r="Q144" s="31" t="s">
        <v>43</v>
      </c>
      <c r="R144" s="32">
        <f t="shared" ref="R144:R169" si="29">P144*(J144-(J144*L144)-((J144-(J144*L144))*M144))</f>
        <v>1101240</v>
      </c>
      <c r="S144" s="32">
        <f t="shared" si="20"/>
        <v>992108.10810810805</v>
      </c>
    </row>
    <row r="145" spans="1:20" s="17" customFormat="1">
      <c r="A145" s="16" t="s">
        <v>138</v>
      </c>
      <c r="B145" s="17" t="s">
        <v>19</v>
      </c>
      <c r="C145" s="18"/>
      <c r="D145" s="19" t="s">
        <v>43</v>
      </c>
      <c r="E145" s="20"/>
      <c r="F145" s="21">
        <v>60</v>
      </c>
      <c r="G145" s="22" t="s">
        <v>34</v>
      </c>
      <c r="H145" s="21">
        <v>1</v>
      </c>
      <c r="I145" s="22" t="s">
        <v>43</v>
      </c>
      <c r="J145" s="23">
        <f>4500*12</f>
        <v>54000</v>
      </c>
      <c r="K145" s="19" t="s">
        <v>43</v>
      </c>
      <c r="L145" s="24">
        <v>0.125</v>
      </c>
      <c r="M145" s="24">
        <v>0.05</v>
      </c>
      <c r="N145" s="21"/>
      <c r="O145" s="22" t="s">
        <v>43</v>
      </c>
      <c r="P145" s="18">
        <f t="shared" si="28"/>
        <v>0</v>
      </c>
      <c r="Q145" s="22" t="s">
        <v>43</v>
      </c>
      <c r="R145" s="23">
        <f t="shared" si="29"/>
        <v>0</v>
      </c>
      <c r="S145" s="23">
        <f t="shared" si="20"/>
        <v>0</v>
      </c>
    </row>
    <row r="146" spans="1:20" s="17" customFormat="1">
      <c r="A146" s="16" t="s">
        <v>771</v>
      </c>
      <c r="B146" s="17" t="s">
        <v>19</v>
      </c>
      <c r="C146" s="18"/>
      <c r="D146" s="19" t="s">
        <v>43</v>
      </c>
      <c r="E146" s="20"/>
      <c r="F146" s="21">
        <v>60</v>
      </c>
      <c r="G146" s="22" t="s">
        <v>34</v>
      </c>
      <c r="H146" s="21">
        <v>1</v>
      </c>
      <c r="I146" s="22" t="s">
        <v>43</v>
      </c>
      <c r="J146" s="23">
        <f>4500*12</f>
        <v>54000</v>
      </c>
      <c r="K146" s="19" t="s">
        <v>43</v>
      </c>
      <c r="L146" s="24">
        <v>0.125</v>
      </c>
      <c r="M146" s="24">
        <v>0.05</v>
      </c>
      <c r="N146" s="21"/>
      <c r="O146" s="22" t="s">
        <v>43</v>
      </c>
      <c r="P146" s="18">
        <f t="shared" si="28"/>
        <v>0</v>
      </c>
      <c r="Q146" s="22" t="s">
        <v>43</v>
      </c>
      <c r="R146" s="23">
        <f t="shared" si="29"/>
        <v>0</v>
      </c>
      <c r="S146" s="23">
        <f t="shared" si="20"/>
        <v>0</v>
      </c>
    </row>
    <row r="147" spans="1:20" s="17" customFormat="1">
      <c r="A147" s="16" t="s">
        <v>139</v>
      </c>
      <c r="B147" s="17" t="s">
        <v>19</v>
      </c>
      <c r="C147" s="18"/>
      <c r="D147" s="19" t="s">
        <v>43</v>
      </c>
      <c r="E147" s="20"/>
      <c r="F147" s="21">
        <v>30</v>
      </c>
      <c r="G147" s="22" t="s">
        <v>34</v>
      </c>
      <c r="H147" s="21">
        <v>1</v>
      </c>
      <c r="I147" s="22" t="s">
        <v>43</v>
      </c>
      <c r="J147" s="23">
        <f>5500*12</f>
        <v>66000</v>
      </c>
      <c r="K147" s="19" t="s">
        <v>43</v>
      </c>
      <c r="L147" s="24">
        <v>0.125</v>
      </c>
      <c r="M147" s="24">
        <v>0.05</v>
      </c>
      <c r="N147" s="21"/>
      <c r="O147" s="22" t="s">
        <v>43</v>
      </c>
      <c r="P147" s="18">
        <f t="shared" si="28"/>
        <v>0</v>
      </c>
      <c r="Q147" s="22" t="s">
        <v>43</v>
      </c>
      <c r="R147" s="23">
        <f t="shared" si="29"/>
        <v>0</v>
      </c>
      <c r="S147" s="23">
        <f t="shared" si="20"/>
        <v>0</v>
      </c>
    </row>
    <row r="148" spans="1:20" s="45" customFormat="1">
      <c r="A148" s="44" t="s">
        <v>824</v>
      </c>
      <c r="B148" s="45" t="s">
        <v>19</v>
      </c>
      <c r="C148" s="46"/>
      <c r="D148" s="47" t="s">
        <v>43</v>
      </c>
      <c r="E148" s="48">
        <v>1</v>
      </c>
      <c r="F148" s="49">
        <v>30</v>
      </c>
      <c r="G148" s="50" t="s">
        <v>34</v>
      </c>
      <c r="H148" s="49">
        <v>1</v>
      </c>
      <c r="I148" s="50" t="s">
        <v>43</v>
      </c>
      <c r="J148" s="51">
        <f>10500*12</f>
        <v>126000</v>
      </c>
      <c r="K148" s="47" t="s">
        <v>43</v>
      </c>
      <c r="L148" s="52">
        <v>0.125</v>
      </c>
      <c r="M148" s="52">
        <v>0.05</v>
      </c>
      <c r="N148" s="49">
        <v>24</v>
      </c>
      <c r="O148" s="50" t="s">
        <v>43</v>
      </c>
      <c r="P148" s="46">
        <f t="shared" si="28"/>
        <v>6</v>
      </c>
      <c r="Q148" s="50" t="s">
        <v>43</v>
      </c>
      <c r="R148" s="51">
        <f t="shared" si="29"/>
        <v>628425</v>
      </c>
      <c r="S148" s="51">
        <f t="shared" si="20"/>
        <v>566148.64864864864</v>
      </c>
    </row>
    <row r="149" spans="1:20" s="45" customFormat="1">
      <c r="A149" s="44" t="s">
        <v>140</v>
      </c>
      <c r="B149" s="45" t="s">
        <v>19</v>
      </c>
      <c r="C149" s="46">
        <v>110</v>
      </c>
      <c r="D149" s="47" t="s">
        <v>43</v>
      </c>
      <c r="E149" s="48">
        <f>5+5</f>
        <v>10</v>
      </c>
      <c r="F149" s="49">
        <v>60</v>
      </c>
      <c r="G149" s="50" t="s">
        <v>34</v>
      </c>
      <c r="H149" s="49">
        <v>1</v>
      </c>
      <c r="I149" s="50" t="s">
        <v>43</v>
      </c>
      <c r="J149" s="51">
        <f>4800*12</f>
        <v>57600</v>
      </c>
      <c r="K149" s="47" t="s">
        <v>43</v>
      </c>
      <c r="L149" s="52">
        <v>0.125</v>
      </c>
      <c r="M149" s="52">
        <v>0.05</v>
      </c>
      <c r="N149" s="49">
        <f>60+60+60+60+60+60+60+1</f>
        <v>421</v>
      </c>
      <c r="O149" s="50" t="s">
        <v>43</v>
      </c>
      <c r="P149" s="46">
        <f t="shared" si="28"/>
        <v>289</v>
      </c>
      <c r="Q149" s="50" t="s">
        <v>43</v>
      </c>
      <c r="R149" s="51">
        <f t="shared" si="29"/>
        <v>13837320</v>
      </c>
      <c r="S149" s="51">
        <f t="shared" si="20"/>
        <v>12466054.054054054</v>
      </c>
    </row>
    <row r="150" spans="1:20" s="63" customFormat="1">
      <c r="A150" s="72" t="s">
        <v>141</v>
      </c>
      <c r="B150" s="63" t="s">
        <v>19</v>
      </c>
      <c r="C150" s="64">
        <v>5</v>
      </c>
      <c r="D150" s="65" t="s">
        <v>43</v>
      </c>
      <c r="E150" s="66"/>
      <c r="F150" s="67">
        <v>60</v>
      </c>
      <c r="G150" s="68" t="s">
        <v>34</v>
      </c>
      <c r="H150" s="67">
        <v>1</v>
      </c>
      <c r="I150" s="68" t="s">
        <v>43</v>
      </c>
      <c r="J150" s="69">
        <f>5800*12</f>
        <v>69600</v>
      </c>
      <c r="K150" s="65" t="s">
        <v>43</v>
      </c>
      <c r="L150" s="70">
        <v>0.125</v>
      </c>
      <c r="M150" s="70">
        <v>0.05</v>
      </c>
      <c r="N150" s="67">
        <v>5</v>
      </c>
      <c r="O150" s="68" t="s">
        <v>43</v>
      </c>
      <c r="P150" s="64">
        <f t="shared" si="28"/>
        <v>0</v>
      </c>
      <c r="Q150" s="68" t="s">
        <v>43</v>
      </c>
      <c r="R150" s="69">
        <f t="shared" si="29"/>
        <v>0</v>
      </c>
      <c r="S150" s="23">
        <f t="shared" si="20"/>
        <v>0</v>
      </c>
    </row>
    <row r="151" spans="1:20" s="63" customFormat="1">
      <c r="A151" s="72" t="s">
        <v>142</v>
      </c>
      <c r="B151" s="63" t="s">
        <v>19</v>
      </c>
      <c r="C151" s="64"/>
      <c r="D151" s="65" t="s">
        <v>43</v>
      </c>
      <c r="E151" s="66"/>
      <c r="F151" s="67">
        <v>40</v>
      </c>
      <c r="G151" s="68" t="s">
        <v>34</v>
      </c>
      <c r="H151" s="67">
        <v>1</v>
      </c>
      <c r="I151" s="68" t="s">
        <v>43</v>
      </c>
      <c r="J151" s="69">
        <f>8500*12</f>
        <v>102000</v>
      </c>
      <c r="K151" s="65" t="s">
        <v>43</v>
      </c>
      <c r="L151" s="70">
        <v>0.125</v>
      </c>
      <c r="M151" s="70">
        <v>0.05</v>
      </c>
      <c r="N151" s="67"/>
      <c r="O151" s="68" t="s">
        <v>43</v>
      </c>
      <c r="P151" s="64">
        <f t="shared" si="28"/>
        <v>0</v>
      </c>
      <c r="Q151" s="68" t="s">
        <v>43</v>
      </c>
      <c r="R151" s="69">
        <f t="shared" si="29"/>
        <v>0</v>
      </c>
      <c r="S151" s="23">
        <f t="shared" si="20"/>
        <v>0</v>
      </c>
    </row>
    <row r="152" spans="1:20" s="63" customFormat="1">
      <c r="A152" s="72" t="s">
        <v>143</v>
      </c>
      <c r="B152" s="63" t="s">
        <v>19</v>
      </c>
      <c r="C152" s="64"/>
      <c r="D152" s="65" t="s">
        <v>43</v>
      </c>
      <c r="E152" s="66"/>
      <c r="F152" s="67">
        <v>40</v>
      </c>
      <c r="G152" s="68" t="s">
        <v>34</v>
      </c>
      <c r="H152" s="67">
        <v>1</v>
      </c>
      <c r="I152" s="68" t="s">
        <v>43</v>
      </c>
      <c r="J152" s="69">
        <f>8800*12</f>
        <v>105600</v>
      </c>
      <c r="K152" s="65" t="s">
        <v>43</v>
      </c>
      <c r="L152" s="70">
        <v>0.125</v>
      </c>
      <c r="M152" s="70">
        <v>0.05</v>
      </c>
      <c r="N152" s="67"/>
      <c r="O152" s="68" t="s">
        <v>43</v>
      </c>
      <c r="P152" s="64">
        <f t="shared" si="28"/>
        <v>0</v>
      </c>
      <c r="Q152" s="68" t="s">
        <v>43</v>
      </c>
      <c r="R152" s="69">
        <f t="shared" si="29"/>
        <v>0</v>
      </c>
      <c r="S152" s="23">
        <f t="shared" si="20"/>
        <v>0</v>
      </c>
    </row>
    <row r="153" spans="1:20" s="63" customFormat="1">
      <c r="A153" s="72"/>
      <c r="C153" s="64"/>
      <c r="D153" s="65"/>
      <c r="E153" s="66"/>
      <c r="F153" s="67"/>
      <c r="G153" s="68"/>
      <c r="H153" s="67"/>
      <c r="I153" s="68"/>
      <c r="J153" s="69"/>
      <c r="K153" s="65"/>
      <c r="L153" s="70"/>
      <c r="M153" s="70"/>
      <c r="N153" s="67"/>
      <c r="O153" s="68"/>
      <c r="P153" s="64"/>
      <c r="Q153" s="68"/>
      <c r="R153" s="69"/>
      <c r="S153" s="23"/>
    </row>
    <row r="154" spans="1:20" s="63" customFormat="1">
      <c r="A154" s="72" t="s">
        <v>144</v>
      </c>
      <c r="B154" s="63" t="s">
        <v>26</v>
      </c>
      <c r="C154" s="64"/>
      <c r="D154" s="65" t="s">
        <v>43</v>
      </c>
      <c r="E154" s="66"/>
      <c r="F154" s="67">
        <v>1</v>
      </c>
      <c r="G154" s="68" t="s">
        <v>21</v>
      </c>
      <c r="H154" s="67">
        <v>36</v>
      </c>
      <c r="I154" s="68" t="s">
        <v>43</v>
      </c>
      <c r="J154" s="69">
        <f>2095200/36</f>
        <v>58200</v>
      </c>
      <c r="K154" s="65" t="s">
        <v>43</v>
      </c>
      <c r="L154" s="70"/>
      <c r="M154" s="70">
        <v>0.17</v>
      </c>
      <c r="N154" s="67"/>
      <c r="O154" s="68" t="s">
        <v>43</v>
      </c>
      <c r="P154" s="64">
        <f t="shared" si="28"/>
        <v>0</v>
      </c>
      <c r="Q154" s="68" t="s">
        <v>43</v>
      </c>
      <c r="R154" s="69">
        <f t="shared" si="29"/>
        <v>0</v>
      </c>
      <c r="S154" s="69">
        <f t="shared" si="20"/>
        <v>0</v>
      </c>
    </row>
    <row r="155" spans="1:20" s="17" customFormat="1">
      <c r="A155" s="72" t="s">
        <v>145</v>
      </c>
      <c r="B155" s="63" t="s">
        <v>26</v>
      </c>
      <c r="C155" s="64">
        <f>3+2</f>
        <v>5</v>
      </c>
      <c r="D155" s="65" t="s">
        <v>43</v>
      </c>
      <c r="E155" s="66"/>
      <c r="F155" s="67">
        <v>1</v>
      </c>
      <c r="G155" s="68" t="s">
        <v>21</v>
      </c>
      <c r="H155" s="67">
        <v>48</v>
      </c>
      <c r="I155" s="68" t="s">
        <v>43</v>
      </c>
      <c r="J155" s="69">
        <f>2793600/48</f>
        <v>58200</v>
      </c>
      <c r="K155" s="65" t="s">
        <v>43</v>
      </c>
      <c r="L155" s="70"/>
      <c r="M155" s="70">
        <v>0.17</v>
      </c>
      <c r="N155" s="67">
        <v>5</v>
      </c>
      <c r="O155" s="68" t="s">
        <v>43</v>
      </c>
      <c r="P155" s="64">
        <f t="shared" si="28"/>
        <v>0</v>
      </c>
      <c r="Q155" s="68" t="s">
        <v>43</v>
      </c>
      <c r="R155" s="69">
        <f t="shared" si="29"/>
        <v>0</v>
      </c>
      <c r="S155" s="23">
        <f t="shared" si="20"/>
        <v>0</v>
      </c>
      <c r="T155" s="63"/>
    </row>
    <row r="156" spans="1:20" s="17" customFormat="1">
      <c r="A156" s="72" t="s">
        <v>146</v>
      </c>
      <c r="B156" s="63" t="s">
        <v>26</v>
      </c>
      <c r="C156" s="64"/>
      <c r="D156" s="65" t="s">
        <v>43</v>
      </c>
      <c r="E156" s="66"/>
      <c r="F156" s="67">
        <v>1</v>
      </c>
      <c r="G156" s="68" t="s">
        <v>21</v>
      </c>
      <c r="H156" s="67">
        <v>48</v>
      </c>
      <c r="I156" s="68" t="s">
        <v>43</v>
      </c>
      <c r="J156" s="69">
        <f>3916800/48</f>
        <v>81600</v>
      </c>
      <c r="K156" s="65" t="s">
        <v>43</v>
      </c>
      <c r="L156" s="70"/>
      <c r="M156" s="70">
        <v>0.17</v>
      </c>
      <c r="N156" s="67"/>
      <c r="O156" s="68" t="s">
        <v>43</v>
      </c>
      <c r="P156" s="64">
        <f t="shared" si="28"/>
        <v>0</v>
      </c>
      <c r="Q156" s="68" t="s">
        <v>43</v>
      </c>
      <c r="R156" s="69">
        <f t="shared" si="29"/>
        <v>0</v>
      </c>
      <c r="S156" s="23">
        <f t="shared" si="20"/>
        <v>0</v>
      </c>
      <c r="T156" s="63"/>
    </row>
    <row r="157" spans="1:20" s="26" customFormat="1">
      <c r="A157" s="16" t="s">
        <v>147</v>
      </c>
      <c r="B157" s="17" t="s">
        <v>26</v>
      </c>
      <c r="C157" s="18"/>
      <c r="D157" s="19" t="s">
        <v>43</v>
      </c>
      <c r="E157" s="20"/>
      <c r="F157" s="21">
        <v>1</v>
      </c>
      <c r="G157" s="22" t="s">
        <v>21</v>
      </c>
      <c r="H157" s="21">
        <v>48</v>
      </c>
      <c r="I157" s="22" t="s">
        <v>43</v>
      </c>
      <c r="J157" s="23">
        <f>5100*12</f>
        <v>61200</v>
      </c>
      <c r="K157" s="19" t="s">
        <v>43</v>
      </c>
      <c r="L157" s="24"/>
      <c r="M157" s="24">
        <v>0.17</v>
      </c>
      <c r="N157" s="21"/>
      <c r="O157" s="22" t="s">
        <v>43</v>
      </c>
      <c r="P157" s="18">
        <f t="shared" si="28"/>
        <v>0</v>
      </c>
      <c r="Q157" s="22" t="s">
        <v>43</v>
      </c>
      <c r="R157" s="23">
        <f t="shared" si="29"/>
        <v>0</v>
      </c>
      <c r="S157" s="23">
        <f t="shared" si="20"/>
        <v>0</v>
      </c>
      <c r="T157" s="17"/>
    </row>
    <row r="158" spans="1:20">
      <c r="A158" s="16" t="s">
        <v>148</v>
      </c>
      <c r="B158" s="17" t="s">
        <v>26</v>
      </c>
      <c r="C158" s="18"/>
      <c r="D158" s="19" t="s">
        <v>43</v>
      </c>
      <c r="E158" s="20"/>
      <c r="F158" s="21">
        <v>1</v>
      </c>
      <c r="G158" s="22" t="s">
        <v>21</v>
      </c>
      <c r="H158" s="21">
        <v>48</v>
      </c>
      <c r="I158" s="22" t="s">
        <v>43</v>
      </c>
      <c r="J158" s="23">
        <f>4250*12</f>
        <v>51000</v>
      </c>
      <c r="K158" s="19" t="s">
        <v>43</v>
      </c>
      <c r="L158" s="24"/>
      <c r="M158" s="24">
        <v>0.17</v>
      </c>
      <c r="N158" s="21"/>
      <c r="O158" s="22" t="s">
        <v>43</v>
      </c>
      <c r="P158" s="18">
        <f t="shared" si="28"/>
        <v>0</v>
      </c>
      <c r="Q158" s="22" t="s">
        <v>43</v>
      </c>
      <c r="R158" s="23">
        <f t="shared" si="29"/>
        <v>0</v>
      </c>
      <c r="S158" s="23">
        <f t="shared" si="20"/>
        <v>0</v>
      </c>
      <c r="T158" s="17"/>
    </row>
    <row r="159" spans="1:20" s="63" customFormat="1">
      <c r="A159" s="72" t="s">
        <v>149</v>
      </c>
      <c r="B159" s="63" t="s">
        <v>26</v>
      </c>
      <c r="C159" s="64">
        <v>48</v>
      </c>
      <c r="D159" s="65" t="s">
        <v>43</v>
      </c>
      <c r="E159" s="66">
        <v>2</v>
      </c>
      <c r="F159" s="67">
        <v>1</v>
      </c>
      <c r="G159" s="68" t="s">
        <v>21</v>
      </c>
      <c r="H159" s="67">
        <v>48</v>
      </c>
      <c r="I159" s="68" t="s">
        <v>43</v>
      </c>
      <c r="J159" s="69">
        <f>2592000/48</f>
        <v>54000</v>
      </c>
      <c r="K159" s="65" t="s">
        <v>43</v>
      </c>
      <c r="L159" s="70"/>
      <c r="M159" s="70">
        <v>0.17</v>
      </c>
      <c r="N159" s="67">
        <f>15+28+5+48+48</f>
        <v>144</v>
      </c>
      <c r="O159" s="68" t="s">
        <v>43</v>
      </c>
      <c r="P159" s="64">
        <f t="shared" si="28"/>
        <v>0</v>
      </c>
      <c r="Q159" s="68" t="s">
        <v>43</v>
      </c>
      <c r="R159" s="69">
        <f t="shared" si="29"/>
        <v>0</v>
      </c>
      <c r="S159" s="69">
        <f t="shared" si="20"/>
        <v>0</v>
      </c>
    </row>
    <row r="160" spans="1:20" s="45" customFormat="1">
      <c r="A160" s="25" t="s">
        <v>150</v>
      </c>
      <c r="B160" s="26" t="s">
        <v>26</v>
      </c>
      <c r="C160" s="27">
        <v>18</v>
      </c>
      <c r="D160" s="28" t="s">
        <v>43</v>
      </c>
      <c r="E160" s="29">
        <v>1</v>
      </c>
      <c r="F160" s="30">
        <v>1</v>
      </c>
      <c r="G160" s="31" t="s">
        <v>21</v>
      </c>
      <c r="H160" s="30">
        <v>48</v>
      </c>
      <c r="I160" s="31" t="s">
        <v>43</v>
      </c>
      <c r="J160" s="32">
        <f>2448000/48</f>
        <v>51000</v>
      </c>
      <c r="K160" s="28" t="s">
        <v>43</v>
      </c>
      <c r="L160" s="33"/>
      <c r="M160" s="33">
        <v>0.17</v>
      </c>
      <c r="N160" s="30">
        <v>48</v>
      </c>
      <c r="O160" s="31" t="s">
        <v>43</v>
      </c>
      <c r="P160" s="27">
        <f t="shared" si="28"/>
        <v>18</v>
      </c>
      <c r="Q160" s="31" t="s">
        <v>43</v>
      </c>
      <c r="R160" s="32">
        <f t="shared" si="29"/>
        <v>761940</v>
      </c>
      <c r="S160" s="32">
        <f t="shared" si="20"/>
        <v>686432.43243243243</v>
      </c>
      <c r="T160" s="26"/>
    </row>
    <row r="161" spans="1:20" s="17" customFormat="1">
      <c r="A161" s="16" t="s">
        <v>151</v>
      </c>
      <c r="B161" s="17" t="s">
        <v>26</v>
      </c>
      <c r="C161" s="18"/>
      <c r="D161" s="19" t="s">
        <v>43</v>
      </c>
      <c r="E161" s="20"/>
      <c r="F161" s="21">
        <v>1</v>
      </c>
      <c r="G161" s="22" t="s">
        <v>21</v>
      </c>
      <c r="H161" s="21">
        <v>24</v>
      </c>
      <c r="I161" s="22" t="s">
        <v>43</v>
      </c>
      <c r="J161" s="23">
        <f>2491200/24</f>
        <v>103800</v>
      </c>
      <c r="K161" s="19" t="s">
        <v>43</v>
      </c>
      <c r="L161" s="24"/>
      <c r="M161" s="24">
        <v>0.17</v>
      </c>
      <c r="N161" s="21"/>
      <c r="O161" s="22" t="s">
        <v>43</v>
      </c>
      <c r="P161" s="18">
        <f t="shared" si="28"/>
        <v>0</v>
      </c>
      <c r="Q161" s="22" t="s">
        <v>43</v>
      </c>
      <c r="R161" s="23">
        <f t="shared" si="29"/>
        <v>0</v>
      </c>
      <c r="S161" s="23">
        <f t="shared" ref="S161:S243" si="30">R161/1.11</f>
        <v>0</v>
      </c>
    </row>
    <row r="162" spans="1:20" s="17" customFormat="1">
      <c r="A162" s="16" t="s">
        <v>152</v>
      </c>
      <c r="B162" s="17" t="s">
        <v>26</v>
      </c>
      <c r="C162" s="18">
        <f>3+2</f>
        <v>5</v>
      </c>
      <c r="D162" s="19" t="s">
        <v>43</v>
      </c>
      <c r="E162" s="20"/>
      <c r="F162" s="21">
        <v>1</v>
      </c>
      <c r="G162" s="22" t="s">
        <v>21</v>
      </c>
      <c r="H162" s="21">
        <v>36</v>
      </c>
      <c r="I162" s="22" t="s">
        <v>43</v>
      </c>
      <c r="J162" s="23">
        <f>3736800/36</f>
        <v>103800</v>
      </c>
      <c r="K162" s="19" t="s">
        <v>43</v>
      </c>
      <c r="L162" s="24"/>
      <c r="M162" s="24">
        <v>0.17</v>
      </c>
      <c r="N162" s="21">
        <v>5</v>
      </c>
      <c r="O162" s="22" t="s">
        <v>43</v>
      </c>
      <c r="P162" s="18">
        <f t="shared" si="28"/>
        <v>0</v>
      </c>
      <c r="Q162" s="22" t="s">
        <v>43</v>
      </c>
      <c r="R162" s="23">
        <f t="shared" si="29"/>
        <v>0</v>
      </c>
      <c r="S162" s="23">
        <f t="shared" si="30"/>
        <v>0</v>
      </c>
    </row>
    <row r="163" spans="1:20" s="26" customFormat="1">
      <c r="A163" s="34" t="s">
        <v>153</v>
      </c>
      <c r="B163" s="2" t="s">
        <v>26</v>
      </c>
      <c r="C163" s="3">
        <v>5</v>
      </c>
      <c r="D163" s="4" t="s">
        <v>43</v>
      </c>
      <c r="E163" s="5"/>
      <c r="F163" s="6">
        <v>1</v>
      </c>
      <c r="G163" s="7" t="s">
        <v>21</v>
      </c>
      <c r="H163" s="6">
        <v>48</v>
      </c>
      <c r="I163" s="7" t="s">
        <v>43</v>
      </c>
      <c r="J163" s="8">
        <f>2592000/48</f>
        <v>54000</v>
      </c>
      <c r="K163" s="4" t="s">
        <v>43</v>
      </c>
      <c r="L163" s="9"/>
      <c r="M163" s="9">
        <v>0.17</v>
      </c>
      <c r="N163" s="6"/>
      <c r="O163" s="7" t="s">
        <v>43</v>
      </c>
      <c r="P163" s="3">
        <f t="shared" si="28"/>
        <v>5</v>
      </c>
      <c r="Q163" s="7" t="s">
        <v>43</v>
      </c>
      <c r="R163" s="8">
        <f t="shared" si="29"/>
        <v>224100</v>
      </c>
      <c r="S163" s="32">
        <f t="shared" si="30"/>
        <v>201891.89189189186</v>
      </c>
      <c r="T163" s="2"/>
    </row>
    <row r="164" spans="1:20" s="17" customFormat="1">
      <c r="A164" s="16" t="s">
        <v>154</v>
      </c>
      <c r="B164" s="17" t="s">
        <v>26</v>
      </c>
      <c r="C164" s="18"/>
      <c r="D164" s="19" t="s">
        <v>43</v>
      </c>
      <c r="E164" s="20"/>
      <c r="F164" s="21">
        <v>1</v>
      </c>
      <c r="G164" s="22" t="s">
        <v>21</v>
      </c>
      <c r="H164" s="21">
        <v>48</v>
      </c>
      <c r="I164" s="22" t="s">
        <v>43</v>
      </c>
      <c r="J164" s="23">
        <f>2880000/48</f>
        <v>60000</v>
      </c>
      <c r="K164" s="19" t="s">
        <v>43</v>
      </c>
      <c r="L164" s="24"/>
      <c r="M164" s="24">
        <v>0.17</v>
      </c>
      <c r="N164" s="21"/>
      <c r="O164" s="22" t="s">
        <v>43</v>
      </c>
      <c r="P164" s="18">
        <f t="shared" si="28"/>
        <v>0</v>
      </c>
      <c r="Q164" s="22" t="s">
        <v>43</v>
      </c>
      <c r="R164" s="23">
        <f t="shared" si="29"/>
        <v>0</v>
      </c>
      <c r="S164" s="23">
        <f t="shared" si="30"/>
        <v>0</v>
      </c>
    </row>
    <row r="165" spans="1:20" s="45" customFormat="1">
      <c r="A165" s="44" t="s">
        <v>155</v>
      </c>
      <c r="B165" s="45" t="s">
        <v>26</v>
      </c>
      <c r="C165" s="46">
        <v>102</v>
      </c>
      <c r="D165" s="47" t="s">
        <v>43</v>
      </c>
      <c r="E165" s="48"/>
      <c r="F165" s="49">
        <v>1</v>
      </c>
      <c r="G165" s="50" t="s">
        <v>21</v>
      </c>
      <c r="H165" s="49">
        <v>48</v>
      </c>
      <c r="I165" s="50" t="s">
        <v>43</v>
      </c>
      <c r="J165" s="51">
        <f>2736000/48</f>
        <v>57000</v>
      </c>
      <c r="K165" s="47" t="s">
        <v>43</v>
      </c>
      <c r="L165" s="52"/>
      <c r="M165" s="52">
        <v>0.17</v>
      </c>
      <c r="N165" s="49">
        <f>(48-11)+1</f>
        <v>38</v>
      </c>
      <c r="O165" s="50" t="s">
        <v>43</v>
      </c>
      <c r="P165" s="46">
        <f t="shared" si="28"/>
        <v>64</v>
      </c>
      <c r="Q165" s="50" t="s">
        <v>43</v>
      </c>
      <c r="R165" s="51">
        <f t="shared" si="29"/>
        <v>3027840</v>
      </c>
      <c r="S165" s="51">
        <f t="shared" si="30"/>
        <v>2727783.7837837837</v>
      </c>
    </row>
    <row r="166" spans="1:20" s="17" customFormat="1">
      <c r="A166" s="16" t="s">
        <v>156</v>
      </c>
      <c r="B166" s="17" t="s">
        <v>26</v>
      </c>
      <c r="C166" s="18">
        <v>11</v>
      </c>
      <c r="D166" s="19" t="s">
        <v>43</v>
      </c>
      <c r="E166" s="20"/>
      <c r="F166" s="21">
        <v>1</v>
      </c>
      <c r="G166" s="22" t="s">
        <v>21</v>
      </c>
      <c r="H166" s="21">
        <v>48</v>
      </c>
      <c r="I166" s="22" t="s">
        <v>43</v>
      </c>
      <c r="J166" s="23">
        <f>2736000/48</f>
        <v>57000</v>
      </c>
      <c r="K166" s="19" t="s">
        <v>43</v>
      </c>
      <c r="L166" s="24"/>
      <c r="M166" s="24">
        <v>0.17</v>
      </c>
      <c r="N166" s="21">
        <f>48-37</f>
        <v>11</v>
      </c>
      <c r="O166" s="22" t="s">
        <v>43</v>
      </c>
      <c r="P166" s="18">
        <f t="shared" si="28"/>
        <v>0</v>
      </c>
      <c r="Q166" s="22" t="s">
        <v>43</v>
      </c>
      <c r="R166" s="23">
        <f t="shared" si="29"/>
        <v>0</v>
      </c>
      <c r="S166" s="23">
        <f t="shared" si="30"/>
        <v>0</v>
      </c>
    </row>
    <row r="167" spans="1:20" s="17" customFormat="1">
      <c r="A167" s="16" t="s">
        <v>157</v>
      </c>
      <c r="B167" s="17" t="s">
        <v>26</v>
      </c>
      <c r="C167" s="18"/>
      <c r="D167" s="19" t="s">
        <v>43</v>
      </c>
      <c r="E167" s="20"/>
      <c r="F167" s="21">
        <v>1</v>
      </c>
      <c r="G167" s="22" t="s">
        <v>21</v>
      </c>
      <c r="H167" s="21">
        <v>48</v>
      </c>
      <c r="I167" s="22" t="s">
        <v>43</v>
      </c>
      <c r="J167" s="23">
        <f>3024000/48</f>
        <v>63000</v>
      </c>
      <c r="K167" s="19" t="s">
        <v>43</v>
      </c>
      <c r="L167" s="24"/>
      <c r="M167" s="24">
        <v>0.17</v>
      </c>
      <c r="N167" s="21"/>
      <c r="O167" s="22" t="s">
        <v>43</v>
      </c>
      <c r="P167" s="18">
        <f t="shared" si="28"/>
        <v>0</v>
      </c>
      <c r="Q167" s="22" t="s">
        <v>43</v>
      </c>
      <c r="R167" s="23">
        <f t="shared" si="29"/>
        <v>0</v>
      </c>
      <c r="S167" s="23">
        <f t="shared" si="30"/>
        <v>0</v>
      </c>
    </row>
    <row r="168" spans="1:20" s="17" customFormat="1">
      <c r="A168" s="16" t="s">
        <v>158</v>
      </c>
      <c r="B168" s="17" t="s">
        <v>26</v>
      </c>
      <c r="C168" s="18"/>
      <c r="D168" s="19" t="s">
        <v>43</v>
      </c>
      <c r="E168" s="20"/>
      <c r="F168" s="21">
        <v>1</v>
      </c>
      <c r="G168" s="22" t="s">
        <v>21</v>
      </c>
      <c r="H168" s="21">
        <v>48</v>
      </c>
      <c r="I168" s="22" t="s">
        <v>43</v>
      </c>
      <c r="J168" s="23">
        <f>2995200/48</f>
        <v>62400</v>
      </c>
      <c r="K168" s="19" t="s">
        <v>43</v>
      </c>
      <c r="L168" s="24"/>
      <c r="M168" s="24">
        <v>0.17</v>
      </c>
      <c r="N168" s="21"/>
      <c r="O168" s="22" t="s">
        <v>43</v>
      </c>
      <c r="P168" s="18">
        <f t="shared" si="28"/>
        <v>0</v>
      </c>
      <c r="Q168" s="22" t="s">
        <v>43</v>
      </c>
      <c r="R168" s="23">
        <f t="shared" si="29"/>
        <v>0</v>
      </c>
      <c r="S168" s="23">
        <f t="shared" si="30"/>
        <v>0</v>
      </c>
    </row>
    <row r="169" spans="1:20" s="17" customFormat="1">
      <c r="A169" s="16" t="s">
        <v>159</v>
      </c>
      <c r="B169" s="17" t="s">
        <v>26</v>
      </c>
      <c r="C169" s="18"/>
      <c r="D169" s="19" t="s">
        <v>43</v>
      </c>
      <c r="E169" s="20"/>
      <c r="F169" s="21">
        <v>1</v>
      </c>
      <c r="G169" s="22" t="s">
        <v>21</v>
      </c>
      <c r="H169" s="21">
        <v>48</v>
      </c>
      <c r="I169" s="22" t="s">
        <v>43</v>
      </c>
      <c r="J169" s="23">
        <f>2995200/48</f>
        <v>62400</v>
      </c>
      <c r="K169" s="19" t="s">
        <v>43</v>
      </c>
      <c r="L169" s="24"/>
      <c r="M169" s="24">
        <v>0.17</v>
      </c>
      <c r="N169" s="21"/>
      <c r="O169" s="22" t="s">
        <v>43</v>
      </c>
      <c r="P169" s="18">
        <f t="shared" si="28"/>
        <v>0</v>
      </c>
      <c r="Q169" s="22" t="s">
        <v>43</v>
      </c>
      <c r="R169" s="23">
        <f t="shared" si="29"/>
        <v>0</v>
      </c>
      <c r="S169" s="23">
        <f t="shared" si="30"/>
        <v>0</v>
      </c>
    </row>
    <row r="170" spans="1:20" s="17" customFormat="1">
      <c r="A170" s="16" t="s">
        <v>832</v>
      </c>
      <c r="B170" s="17" t="s">
        <v>26</v>
      </c>
      <c r="C170" s="18"/>
      <c r="D170" s="19" t="s">
        <v>43</v>
      </c>
      <c r="E170" s="20">
        <v>2</v>
      </c>
      <c r="F170" s="21">
        <v>1</v>
      </c>
      <c r="G170" s="22" t="s">
        <v>21</v>
      </c>
      <c r="H170" s="21">
        <v>36</v>
      </c>
      <c r="I170" s="22" t="s">
        <v>43</v>
      </c>
      <c r="J170" s="23">
        <f>3240000/36</f>
        <v>90000</v>
      </c>
      <c r="K170" s="19" t="s">
        <v>43</v>
      </c>
      <c r="L170" s="24"/>
      <c r="M170" s="24">
        <v>0.17</v>
      </c>
      <c r="N170" s="21">
        <f>36+36</f>
        <v>72</v>
      </c>
      <c r="O170" s="22" t="s">
        <v>43</v>
      </c>
      <c r="P170" s="18">
        <f>(C170+(E170*F170*H170))-N170</f>
        <v>0</v>
      </c>
      <c r="Q170" s="22" t="s">
        <v>43</v>
      </c>
      <c r="R170" s="23">
        <f>P170*(J170-(J170*L170)-((J170-(J170*L170))*M170))</f>
        <v>0</v>
      </c>
      <c r="S170" s="23">
        <f>R170/1.11</f>
        <v>0</v>
      </c>
    </row>
    <row r="171" spans="1:20">
      <c r="S171" s="23"/>
    </row>
    <row r="172" spans="1:20" ht="15.75">
      <c r="A172" s="14" t="s">
        <v>160</v>
      </c>
      <c r="S172" s="23"/>
    </row>
    <row r="173" spans="1:20" s="63" customFormat="1">
      <c r="A173" s="93" t="s">
        <v>781</v>
      </c>
      <c r="B173" s="63" t="s">
        <v>19</v>
      </c>
      <c r="C173" s="64"/>
      <c r="D173" s="65" t="s">
        <v>162</v>
      </c>
      <c r="E173" s="66">
        <v>4</v>
      </c>
      <c r="F173" s="67">
        <v>12</v>
      </c>
      <c r="G173" s="68" t="s">
        <v>34</v>
      </c>
      <c r="H173" s="67">
        <v>12</v>
      </c>
      <c r="I173" s="68" t="s">
        <v>162</v>
      </c>
      <c r="J173" s="69">
        <v>11000</v>
      </c>
      <c r="K173" s="65" t="s">
        <v>162</v>
      </c>
      <c r="L173" s="70">
        <v>0.125</v>
      </c>
      <c r="M173" s="70">
        <v>0.05</v>
      </c>
      <c r="N173" s="67">
        <f>288+144+144</f>
        <v>576</v>
      </c>
      <c r="O173" s="68" t="s">
        <v>162</v>
      </c>
      <c r="P173" s="64">
        <f t="shared" ref="P173:P194" si="31">(C173+(E173*F173*H173))-N173</f>
        <v>0</v>
      </c>
      <c r="Q173" s="68" t="s">
        <v>162</v>
      </c>
      <c r="R173" s="69">
        <f t="shared" ref="R173:R194" si="32">P173*(J173-(J173*L173)-((J173-(J173*L173))*M173))</f>
        <v>0</v>
      </c>
      <c r="S173" s="23">
        <f t="shared" si="30"/>
        <v>0</v>
      </c>
    </row>
    <row r="174" spans="1:20" s="45" customFormat="1">
      <c r="A174" s="94" t="s">
        <v>161</v>
      </c>
      <c r="B174" s="45" t="s">
        <v>19</v>
      </c>
      <c r="C174" s="46"/>
      <c r="D174" s="47" t="s">
        <v>162</v>
      </c>
      <c r="E174" s="48">
        <v>5</v>
      </c>
      <c r="F174" s="49">
        <v>12</v>
      </c>
      <c r="G174" s="50" t="s">
        <v>34</v>
      </c>
      <c r="H174" s="49">
        <v>12</v>
      </c>
      <c r="I174" s="50" t="s">
        <v>162</v>
      </c>
      <c r="J174" s="51">
        <v>11600</v>
      </c>
      <c r="K174" s="47" t="s">
        <v>162</v>
      </c>
      <c r="L174" s="52">
        <v>0.125</v>
      </c>
      <c r="M174" s="52">
        <v>0.05</v>
      </c>
      <c r="N174" s="49">
        <f>432+144</f>
        <v>576</v>
      </c>
      <c r="O174" s="50" t="s">
        <v>162</v>
      </c>
      <c r="P174" s="46">
        <f t="shared" si="31"/>
        <v>144</v>
      </c>
      <c r="Q174" s="50" t="s">
        <v>162</v>
      </c>
      <c r="R174" s="51">
        <f t="shared" si="32"/>
        <v>1388520</v>
      </c>
      <c r="S174" s="32">
        <f t="shared" si="30"/>
        <v>1250918.9189189188</v>
      </c>
    </row>
    <row r="175" spans="1:20" s="63" customFormat="1">
      <c r="A175" s="93" t="s">
        <v>163</v>
      </c>
      <c r="B175" s="63" t="s">
        <v>19</v>
      </c>
      <c r="C175" s="64">
        <v>444</v>
      </c>
      <c r="D175" s="65" t="s">
        <v>162</v>
      </c>
      <c r="E175" s="66">
        <v>4</v>
      </c>
      <c r="F175" s="67">
        <v>6</v>
      </c>
      <c r="G175" s="68" t="s">
        <v>34</v>
      </c>
      <c r="H175" s="67">
        <v>24</v>
      </c>
      <c r="I175" s="68" t="s">
        <v>162</v>
      </c>
      <c r="J175" s="69">
        <v>9000</v>
      </c>
      <c r="K175" s="65" t="s">
        <v>162</v>
      </c>
      <c r="L175" s="70">
        <v>0.125</v>
      </c>
      <c r="M175" s="70">
        <v>0.05</v>
      </c>
      <c r="N175" s="67">
        <f>12+144+288+288+144+144</f>
        <v>1020</v>
      </c>
      <c r="O175" s="68" t="s">
        <v>162</v>
      </c>
      <c r="P175" s="64">
        <f t="shared" si="31"/>
        <v>0</v>
      </c>
      <c r="Q175" s="68" t="s">
        <v>162</v>
      </c>
      <c r="R175" s="69">
        <f t="shared" si="32"/>
        <v>0</v>
      </c>
      <c r="S175" s="23">
        <f t="shared" si="30"/>
        <v>0</v>
      </c>
    </row>
    <row r="176" spans="1:20" s="45" customFormat="1">
      <c r="A176" s="44" t="s">
        <v>164</v>
      </c>
      <c r="B176" s="45" t="s">
        <v>19</v>
      </c>
      <c r="C176" s="46">
        <v>2161</v>
      </c>
      <c r="D176" s="47" t="s">
        <v>162</v>
      </c>
      <c r="E176" s="48">
        <f>10+10+5+10</f>
        <v>35</v>
      </c>
      <c r="F176" s="49">
        <v>1</v>
      </c>
      <c r="G176" s="50" t="s">
        <v>21</v>
      </c>
      <c r="H176" s="49">
        <v>144</v>
      </c>
      <c r="I176" s="50" t="s">
        <v>162</v>
      </c>
      <c r="J176" s="51">
        <v>11900</v>
      </c>
      <c r="K176" s="47" t="s">
        <v>162</v>
      </c>
      <c r="L176" s="52">
        <v>0.125</v>
      </c>
      <c r="M176" s="52">
        <v>0.05</v>
      </c>
      <c r="N176" s="49">
        <f>432+288+288+288+144+144+288+144+288+144+288+144+720+720+144+144+576+(36*12)</f>
        <v>5616</v>
      </c>
      <c r="O176" s="50" t="s">
        <v>162</v>
      </c>
      <c r="P176" s="46">
        <f t="shared" si="31"/>
        <v>1585</v>
      </c>
      <c r="Q176" s="50" t="s">
        <v>162</v>
      </c>
      <c r="R176" s="51">
        <f t="shared" si="32"/>
        <v>15678621.875</v>
      </c>
      <c r="S176" s="51">
        <f t="shared" si="30"/>
        <v>14124884.57207207</v>
      </c>
    </row>
    <row r="177" spans="1:19" s="63" customFormat="1">
      <c r="A177" s="72" t="s">
        <v>165</v>
      </c>
      <c r="B177" s="63" t="s">
        <v>19</v>
      </c>
      <c r="C177" s="64">
        <f>139+5</f>
        <v>144</v>
      </c>
      <c r="D177" s="65" t="s">
        <v>162</v>
      </c>
      <c r="E177" s="66">
        <f>10+5+2</f>
        <v>17</v>
      </c>
      <c r="F177" s="67">
        <v>6</v>
      </c>
      <c r="G177" s="68" t="s">
        <v>34</v>
      </c>
      <c r="H177" s="67">
        <v>12</v>
      </c>
      <c r="I177" s="68" t="s">
        <v>162</v>
      </c>
      <c r="J177" s="69">
        <v>23000</v>
      </c>
      <c r="K177" s="65" t="s">
        <v>162</v>
      </c>
      <c r="L177" s="70">
        <v>0.125</v>
      </c>
      <c r="M177" s="70">
        <v>0.05</v>
      </c>
      <c r="N177" s="67">
        <f>144+144+144+144+72+144+360+144+72</f>
        <v>1368</v>
      </c>
      <c r="O177" s="68" t="s">
        <v>162</v>
      </c>
      <c r="P177" s="64">
        <f t="shared" si="31"/>
        <v>0</v>
      </c>
      <c r="Q177" s="68" t="s">
        <v>162</v>
      </c>
      <c r="R177" s="69">
        <f t="shared" si="32"/>
        <v>0</v>
      </c>
      <c r="S177" s="69">
        <f t="shared" si="30"/>
        <v>0</v>
      </c>
    </row>
    <row r="178" spans="1:19" s="63" customFormat="1">
      <c r="A178" s="72" t="s">
        <v>166</v>
      </c>
      <c r="B178" s="63" t="s">
        <v>19</v>
      </c>
      <c r="C178" s="64">
        <v>192</v>
      </c>
      <c r="D178" s="65" t="s">
        <v>162</v>
      </c>
      <c r="E178" s="66">
        <f>5+10+3+10+5</f>
        <v>33</v>
      </c>
      <c r="F178" s="67">
        <v>8</v>
      </c>
      <c r="G178" s="68" t="s">
        <v>34</v>
      </c>
      <c r="H178" s="67">
        <v>6</v>
      </c>
      <c r="I178" s="68" t="s">
        <v>162</v>
      </c>
      <c r="J178" s="69">
        <v>28700</v>
      </c>
      <c r="K178" s="65" t="s">
        <v>162</v>
      </c>
      <c r="L178" s="70">
        <v>0.125</v>
      </c>
      <c r="M178" s="70">
        <v>0.05</v>
      </c>
      <c r="N178" s="67">
        <f>48+(2*12)+48+24+96+48+48+48+48+48+96+192+48+144+144+48+48+96+96+144+240</f>
        <v>1776</v>
      </c>
      <c r="O178" s="68" t="s">
        <v>162</v>
      </c>
      <c r="P178" s="64">
        <f>(C178+(E178*F178*H178))-N178</f>
        <v>0</v>
      </c>
      <c r="Q178" s="68" t="s">
        <v>162</v>
      </c>
      <c r="R178" s="69">
        <f>P178*(J178-(J178*L178)-((J178-(J178*L178))*M178))</f>
        <v>0</v>
      </c>
      <c r="S178" s="69">
        <f t="shared" si="30"/>
        <v>0</v>
      </c>
    </row>
    <row r="179" spans="1:19" s="45" customFormat="1">
      <c r="A179" s="44" t="s">
        <v>167</v>
      </c>
      <c r="B179" s="45" t="s">
        <v>19</v>
      </c>
      <c r="C179" s="46">
        <v>110</v>
      </c>
      <c r="D179" s="47" t="s">
        <v>162</v>
      </c>
      <c r="E179" s="48">
        <f>5+3+10+2</f>
        <v>20</v>
      </c>
      <c r="F179" s="49">
        <v>6</v>
      </c>
      <c r="G179" s="50" t="s">
        <v>34</v>
      </c>
      <c r="H179" s="49">
        <v>6</v>
      </c>
      <c r="I179" s="50" t="s">
        <v>162</v>
      </c>
      <c r="J179" s="51">
        <v>41500</v>
      </c>
      <c r="K179" s="47" t="s">
        <v>162</v>
      </c>
      <c r="L179" s="52">
        <v>0.125</v>
      </c>
      <c r="M179" s="52">
        <v>0.05</v>
      </c>
      <c r="N179" s="49">
        <f>36+72+72+36+72+36+36+36+36+36+108+72+36</f>
        <v>684</v>
      </c>
      <c r="O179" s="50" t="s">
        <v>162</v>
      </c>
      <c r="P179" s="46">
        <f t="shared" si="31"/>
        <v>146</v>
      </c>
      <c r="Q179" s="50" t="s">
        <v>162</v>
      </c>
      <c r="R179" s="51">
        <f t="shared" si="32"/>
        <v>5036543.75</v>
      </c>
      <c r="S179" s="51">
        <f>R179/1.11</f>
        <v>4537426.8018018017</v>
      </c>
    </row>
    <row r="180" spans="1:19" s="45" customFormat="1">
      <c r="A180" s="44" t="s">
        <v>168</v>
      </c>
      <c r="B180" s="45" t="s">
        <v>19</v>
      </c>
      <c r="C180" s="46">
        <v>72</v>
      </c>
      <c r="D180" s="47" t="s">
        <v>162</v>
      </c>
      <c r="E180" s="48">
        <f>5+2</f>
        <v>7</v>
      </c>
      <c r="F180" s="49">
        <v>4</v>
      </c>
      <c r="G180" s="50" t="s">
        <v>34</v>
      </c>
      <c r="H180" s="49">
        <v>6</v>
      </c>
      <c r="I180" s="50" t="s">
        <v>162</v>
      </c>
      <c r="J180" s="51">
        <v>58900</v>
      </c>
      <c r="K180" s="47" t="s">
        <v>162</v>
      </c>
      <c r="L180" s="52">
        <v>0.125</v>
      </c>
      <c r="M180" s="52">
        <v>0.05</v>
      </c>
      <c r="N180" s="49">
        <f>24+24+24+24+24</f>
        <v>120</v>
      </c>
      <c r="O180" s="50" t="s">
        <v>162</v>
      </c>
      <c r="P180" s="46">
        <f t="shared" si="31"/>
        <v>120</v>
      </c>
      <c r="Q180" s="50" t="s">
        <v>162</v>
      </c>
      <c r="R180" s="51">
        <f t="shared" si="32"/>
        <v>5875275</v>
      </c>
      <c r="S180" s="51">
        <f t="shared" si="30"/>
        <v>5293040.5405405397</v>
      </c>
    </row>
    <row r="181" spans="1:19" s="45" customFormat="1">
      <c r="A181" s="44" t="s">
        <v>169</v>
      </c>
      <c r="B181" s="45" t="s">
        <v>19</v>
      </c>
      <c r="C181" s="46">
        <v>188</v>
      </c>
      <c r="D181" s="47" t="s">
        <v>162</v>
      </c>
      <c r="E181" s="48">
        <f>2+2+3</f>
        <v>7</v>
      </c>
      <c r="F181" s="49">
        <v>4</v>
      </c>
      <c r="G181" s="50" t="s">
        <v>34</v>
      </c>
      <c r="H181" s="49">
        <v>6</v>
      </c>
      <c r="I181" s="50" t="s">
        <v>162</v>
      </c>
      <c r="J181" s="51">
        <v>66900</v>
      </c>
      <c r="K181" s="47" t="s">
        <v>162</v>
      </c>
      <c r="L181" s="52">
        <v>0.125</v>
      </c>
      <c r="M181" s="52">
        <v>0.05</v>
      </c>
      <c r="N181" s="49">
        <f>24+24+24+24+24+48+24</f>
        <v>192</v>
      </c>
      <c r="O181" s="50" t="s">
        <v>162</v>
      </c>
      <c r="P181" s="46">
        <f t="shared" si="31"/>
        <v>164</v>
      </c>
      <c r="Q181" s="50" t="s">
        <v>162</v>
      </c>
      <c r="R181" s="51">
        <f t="shared" si="32"/>
        <v>9120142.5</v>
      </c>
      <c r="S181" s="51">
        <f t="shared" si="30"/>
        <v>8216344.5945945941</v>
      </c>
    </row>
    <row r="182" spans="1:19" s="63" customFormat="1">
      <c r="A182" s="72" t="s">
        <v>775</v>
      </c>
      <c r="B182" s="63" t="s">
        <v>19</v>
      </c>
      <c r="C182" s="64"/>
      <c r="D182" s="65" t="s">
        <v>162</v>
      </c>
      <c r="E182" s="66">
        <v>2</v>
      </c>
      <c r="F182" s="67">
        <v>1</v>
      </c>
      <c r="G182" s="68" t="s">
        <v>21</v>
      </c>
      <c r="H182" s="67">
        <v>24</v>
      </c>
      <c r="I182" s="68" t="s">
        <v>162</v>
      </c>
      <c r="J182" s="69">
        <v>96000</v>
      </c>
      <c r="K182" s="65" t="s">
        <v>162</v>
      </c>
      <c r="L182" s="70">
        <v>0.125</v>
      </c>
      <c r="M182" s="70">
        <v>0.05</v>
      </c>
      <c r="N182" s="67">
        <f>24+24</f>
        <v>48</v>
      </c>
      <c r="O182" s="68" t="s">
        <v>162</v>
      </c>
      <c r="P182" s="64">
        <f t="shared" si="31"/>
        <v>0</v>
      </c>
      <c r="Q182" s="68" t="s">
        <v>162</v>
      </c>
      <c r="R182" s="69">
        <f t="shared" si="32"/>
        <v>0</v>
      </c>
      <c r="S182" s="69">
        <f t="shared" si="30"/>
        <v>0</v>
      </c>
    </row>
    <row r="183" spans="1:19" s="63" customFormat="1">
      <c r="A183" s="72"/>
      <c r="C183" s="64"/>
      <c r="D183" s="65"/>
      <c r="E183" s="66"/>
      <c r="F183" s="67"/>
      <c r="G183" s="68"/>
      <c r="H183" s="67"/>
      <c r="I183" s="68"/>
      <c r="J183" s="69"/>
      <c r="K183" s="65"/>
      <c r="L183" s="70"/>
      <c r="M183" s="70"/>
      <c r="N183" s="67"/>
      <c r="O183" s="68"/>
      <c r="P183" s="64"/>
      <c r="Q183" s="68"/>
      <c r="R183" s="69"/>
      <c r="S183" s="69"/>
    </row>
    <row r="184" spans="1:19" s="17" customFormat="1">
      <c r="A184" s="93" t="s">
        <v>170</v>
      </c>
      <c r="B184" s="17" t="s">
        <v>26</v>
      </c>
      <c r="C184" s="18"/>
      <c r="D184" s="19" t="s">
        <v>162</v>
      </c>
      <c r="E184" s="20"/>
      <c r="F184" s="21">
        <v>12</v>
      </c>
      <c r="G184" s="22" t="s">
        <v>43</v>
      </c>
      <c r="H184" s="21">
        <v>12</v>
      </c>
      <c r="I184" s="22" t="s">
        <v>162</v>
      </c>
      <c r="J184" s="23">
        <f>1512000/12/12</f>
        <v>10500</v>
      </c>
      <c r="K184" s="19" t="s">
        <v>162</v>
      </c>
      <c r="L184" s="24"/>
      <c r="M184" s="24">
        <v>0.17</v>
      </c>
      <c r="N184" s="21"/>
      <c r="O184" s="22" t="s">
        <v>162</v>
      </c>
      <c r="P184" s="18">
        <f t="shared" si="31"/>
        <v>0</v>
      </c>
      <c r="Q184" s="22" t="s">
        <v>162</v>
      </c>
      <c r="R184" s="23">
        <f t="shared" si="32"/>
        <v>0</v>
      </c>
      <c r="S184" s="23">
        <f t="shared" si="30"/>
        <v>0</v>
      </c>
    </row>
    <row r="185" spans="1:19" s="26" customFormat="1">
      <c r="A185" s="94" t="s">
        <v>171</v>
      </c>
      <c r="B185" s="26" t="s">
        <v>26</v>
      </c>
      <c r="C185" s="27">
        <v>144</v>
      </c>
      <c r="D185" s="28" t="s">
        <v>162</v>
      </c>
      <c r="E185" s="29"/>
      <c r="F185" s="30">
        <v>6</v>
      </c>
      <c r="G185" s="31" t="s">
        <v>43</v>
      </c>
      <c r="H185" s="30">
        <v>12</v>
      </c>
      <c r="I185" s="31" t="s">
        <v>162</v>
      </c>
      <c r="J185" s="32">
        <f>1548000/6/12</f>
        <v>21500</v>
      </c>
      <c r="K185" s="28" t="s">
        <v>162</v>
      </c>
      <c r="L185" s="33"/>
      <c r="M185" s="33">
        <v>0.17</v>
      </c>
      <c r="N185" s="30">
        <v>12</v>
      </c>
      <c r="O185" s="31" t="s">
        <v>162</v>
      </c>
      <c r="P185" s="27">
        <f t="shared" si="31"/>
        <v>132</v>
      </c>
      <c r="Q185" s="31" t="s">
        <v>162</v>
      </c>
      <c r="R185" s="32">
        <f t="shared" si="32"/>
        <v>2355540</v>
      </c>
      <c r="S185" s="32">
        <f t="shared" si="30"/>
        <v>2122108.1081081079</v>
      </c>
    </row>
    <row r="186" spans="1:19" s="26" customFormat="1">
      <c r="A186" s="94"/>
      <c r="C186" s="27"/>
      <c r="D186" s="28"/>
      <c r="E186" s="29"/>
      <c r="F186" s="30"/>
      <c r="G186" s="31"/>
      <c r="H186" s="30"/>
      <c r="I186" s="31"/>
      <c r="J186" s="32"/>
      <c r="K186" s="28"/>
      <c r="L186" s="33"/>
      <c r="M186" s="33"/>
      <c r="N186" s="30"/>
      <c r="O186" s="31"/>
      <c r="P186" s="27"/>
      <c r="Q186" s="31"/>
      <c r="R186" s="32"/>
      <c r="S186" s="32"/>
    </row>
    <row r="187" spans="1:19" s="17" customFormat="1">
      <c r="A187" s="93" t="s">
        <v>172</v>
      </c>
      <c r="B187" s="17" t="s">
        <v>26</v>
      </c>
      <c r="C187" s="18"/>
      <c r="D187" s="19" t="s">
        <v>162</v>
      </c>
      <c r="E187" s="20"/>
      <c r="F187" s="21">
        <v>8</v>
      </c>
      <c r="G187" s="22" t="s">
        <v>34</v>
      </c>
      <c r="H187" s="21">
        <v>12</v>
      </c>
      <c r="I187" s="22" t="s">
        <v>162</v>
      </c>
      <c r="J187" s="23">
        <v>12500</v>
      </c>
      <c r="K187" s="19" t="s">
        <v>162</v>
      </c>
      <c r="L187" s="24">
        <v>0.125</v>
      </c>
      <c r="M187" s="24">
        <v>0.05</v>
      </c>
      <c r="N187" s="21"/>
      <c r="O187" s="22" t="s">
        <v>162</v>
      </c>
      <c r="P187" s="18">
        <f t="shared" si="31"/>
        <v>0</v>
      </c>
      <c r="Q187" s="22" t="s">
        <v>162</v>
      </c>
      <c r="R187" s="23">
        <f t="shared" si="32"/>
        <v>0</v>
      </c>
      <c r="S187" s="23">
        <f t="shared" si="30"/>
        <v>0</v>
      </c>
    </row>
    <row r="188" spans="1:19" s="63" customFormat="1">
      <c r="A188" s="93" t="s">
        <v>173</v>
      </c>
      <c r="B188" s="17" t="s">
        <v>26</v>
      </c>
      <c r="C188" s="64"/>
      <c r="D188" s="65" t="s">
        <v>162</v>
      </c>
      <c r="E188" s="66"/>
      <c r="F188" s="67">
        <v>1</v>
      </c>
      <c r="G188" s="68" t="s">
        <v>21</v>
      </c>
      <c r="H188" s="67">
        <v>144</v>
      </c>
      <c r="I188" s="68" t="s">
        <v>162</v>
      </c>
      <c r="J188" s="69">
        <v>11600</v>
      </c>
      <c r="K188" s="65" t="s">
        <v>162</v>
      </c>
      <c r="L188" s="70">
        <v>0.125</v>
      </c>
      <c r="M188" s="70">
        <v>0.05</v>
      </c>
      <c r="N188" s="67"/>
      <c r="O188" s="68" t="s">
        <v>162</v>
      </c>
      <c r="P188" s="64">
        <f t="shared" si="31"/>
        <v>0</v>
      </c>
      <c r="Q188" s="68" t="s">
        <v>162</v>
      </c>
      <c r="R188" s="69">
        <f t="shared" si="32"/>
        <v>0</v>
      </c>
      <c r="S188" s="69">
        <f t="shared" si="30"/>
        <v>0</v>
      </c>
    </row>
    <row r="189" spans="1:19" s="63" customFormat="1">
      <c r="A189" s="72" t="s">
        <v>174</v>
      </c>
      <c r="B189" s="63" t="s">
        <v>26</v>
      </c>
      <c r="C189" s="64"/>
      <c r="D189" s="65" t="s">
        <v>162</v>
      </c>
      <c r="E189" s="66">
        <f>4+1</f>
        <v>5</v>
      </c>
      <c r="F189" s="67">
        <v>12</v>
      </c>
      <c r="G189" s="68" t="s">
        <v>43</v>
      </c>
      <c r="H189" s="67">
        <v>12</v>
      </c>
      <c r="I189" s="68" t="s">
        <v>162</v>
      </c>
      <c r="J189" s="69">
        <f>2088000/144</f>
        <v>14500</v>
      </c>
      <c r="K189" s="65" t="s">
        <v>162</v>
      </c>
      <c r="L189" s="70">
        <v>2.5000000000000001E-2</v>
      </c>
      <c r="M189" s="70">
        <v>0.17</v>
      </c>
      <c r="N189" s="67">
        <f>576+144</f>
        <v>720</v>
      </c>
      <c r="O189" s="68" t="s">
        <v>162</v>
      </c>
      <c r="P189" s="64">
        <f t="shared" si="31"/>
        <v>0</v>
      </c>
      <c r="Q189" s="68" t="s">
        <v>162</v>
      </c>
      <c r="R189" s="69">
        <f t="shared" si="32"/>
        <v>0</v>
      </c>
      <c r="S189" s="69">
        <f t="shared" si="30"/>
        <v>0</v>
      </c>
    </row>
    <row r="190" spans="1:19" s="63" customFormat="1">
      <c r="A190" s="72" t="s">
        <v>175</v>
      </c>
      <c r="B190" s="63" t="s">
        <v>26</v>
      </c>
      <c r="C190" s="64"/>
      <c r="D190" s="65" t="s">
        <v>162</v>
      </c>
      <c r="E190" s="66">
        <v>2</v>
      </c>
      <c r="F190" s="67">
        <v>6</v>
      </c>
      <c r="G190" s="68" t="s">
        <v>43</v>
      </c>
      <c r="H190" s="67">
        <v>12</v>
      </c>
      <c r="I190" s="68" t="s">
        <v>162</v>
      </c>
      <c r="J190" s="69">
        <f>1944000/72</f>
        <v>27000</v>
      </c>
      <c r="K190" s="65" t="s">
        <v>162</v>
      </c>
      <c r="L190" s="70">
        <v>2.5000000000000001E-2</v>
      </c>
      <c r="M190" s="70">
        <v>0.17</v>
      </c>
      <c r="N190" s="67">
        <v>144</v>
      </c>
      <c r="O190" s="68" t="s">
        <v>162</v>
      </c>
      <c r="P190" s="64">
        <f t="shared" si="31"/>
        <v>0</v>
      </c>
      <c r="Q190" s="68" t="s">
        <v>162</v>
      </c>
      <c r="R190" s="69">
        <f t="shared" si="32"/>
        <v>0</v>
      </c>
      <c r="S190" s="69">
        <f t="shared" si="30"/>
        <v>0</v>
      </c>
    </row>
    <row r="191" spans="1:19" s="63" customFormat="1">
      <c r="A191" s="72" t="s">
        <v>176</v>
      </c>
      <c r="B191" s="63" t="s">
        <v>26</v>
      </c>
      <c r="C191" s="64"/>
      <c r="D191" s="65" t="s">
        <v>162</v>
      </c>
      <c r="E191" s="66">
        <v>2</v>
      </c>
      <c r="F191" s="67">
        <v>8</v>
      </c>
      <c r="G191" s="68" t="s">
        <v>34</v>
      </c>
      <c r="H191" s="67">
        <v>6</v>
      </c>
      <c r="I191" s="68" t="s">
        <v>162</v>
      </c>
      <c r="J191" s="69">
        <f>1632000/8/6</f>
        <v>34000</v>
      </c>
      <c r="K191" s="65" t="s">
        <v>162</v>
      </c>
      <c r="L191" s="70">
        <v>2.5000000000000001E-2</v>
      </c>
      <c r="M191" s="70">
        <v>0.17</v>
      </c>
      <c r="N191" s="67">
        <v>96</v>
      </c>
      <c r="O191" s="68" t="s">
        <v>162</v>
      </c>
      <c r="P191" s="64">
        <f t="shared" si="31"/>
        <v>0</v>
      </c>
      <c r="Q191" s="68" t="s">
        <v>162</v>
      </c>
      <c r="R191" s="69">
        <f t="shared" si="32"/>
        <v>0</v>
      </c>
      <c r="S191" s="69">
        <f t="shared" si="30"/>
        <v>0</v>
      </c>
    </row>
    <row r="192" spans="1:19" s="63" customFormat="1">
      <c r="A192" s="72" t="s">
        <v>177</v>
      </c>
      <c r="B192" s="63" t="s">
        <v>26</v>
      </c>
      <c r="C192" s="64"/>
      <c r="D192" s="65" t="s">
        <v>162</v>
      </c>
      <c r="E192" s="66">
        <v>1</v>
      </c>
      <c r="F192" s="67">
        <v>6</v>
      </c>
      <c r="G192" s="68" t="s">
        <v>34</v>
      </c>
      <c r="H192" s="67">
        <v>6</v>
      </c>
      <c r="I192" s="68" t="s">
        <v>162</v>
      </c>
      <c r="J192" s="69">
        <f>1710000/6/6</f>
        <v>47500</v>
      </c>
      <c r="K192" s="65" t="s">
        <v>162</v>
      </c>
      <c r="L192" s="70">
        <v>2.5000000000000001E-2</v>
      </c>
      <c r="M192" s="70">
        <v>0.17</v>
      </c>
      <c r="N192" s="67">
        <v>36</v>
      </c>
      <c r="O192" s="68" t="s">
        <v>162</v>
      </c>
      <c r="P192" s="64">
        <f t="shared" si="31"/>
        <v>0</v>
      </c>
      <c r="Q192" s="68" t="s">
        <v>162</v>
      </c>
      <c r="R192" s="69">
        <f t="shared" si="32"/>
        <v>0</v>
      </c>
      <c r="S192" s="69">
        <f t="shared" si="30"/>
        <v>0</v>
      </c>
    </row>
    <row r="193" spans="1:19" s="63" customFormat="1">
      <c r="A193" s="72" t="s">
        <v>178</v>
      </c>
      <c r="B193" s="63" t="s">
        <v>26</v>
      </c>
      <c r="C193" s="64"/>
      <c r="D193" s="65" t="s">
        <v>162</v>
      </c>
      <c r="E193" s="66">
        <v>1</v>
      </c>
      <c r="F193" s="67">
        <v>4</v>
      </c>
      <c r="G193" s="68" t="s">
        <v>34</v>
      </c>
      <c r="H193" s="67">
        <v>6</v>
      </c>
      <c r="I193" s="68" t="s">
        <v>162</v>
      </c>
      <c r="J193" s="69">
        <f>1656000/4/6</f>
        <v>69000</v>
      </c>
      <c r="K193" s="65" t="s">
        <v>162</v>
      </c>
      <c r="L193" s="70">
        <v>2.5000000000000001E-2</v>
      </c>
      <c r="M193" s="70">
        <v>0.17</v>
      </c>
      <c r="N193" s="67">
        <v>24</v>
      </c>
      <c r="O193" s="68" t="s">
        <v>162</v>
      </c>
      <c r="P193" s="64">
        <f t="shared" si="31"/>
        <v>0</v>
      </c>
      <c r="Q193" s="68" t="s">
        <v>162</v>
      </c>
      <c r="R193" s="69">
        <f t="shared" si="32"/>
        <v>0</v>
      </c>
      <c r="S193" s="69">
        <f t="shared" si="30"/>
        <v>0</v>
      </c>
    </row>
    <row r="194" spans="1:19" s="63" customFormat="1">
      <c r="A194" s="72" t="s">
        <v>179</v>
      </c>
      <c r="B194" s="63" t="s">
        <v>26</v>
      </c>
      <c r="C194" s="64"/>
      <c r="D194" s="65" t="s">
        <v>162</v>
      </c>
      <c r="E194" s="66">
        <f>1+1</f>
        <v>2</v>
      </c>
      <c r="F194" s="67">
        <v>4</v>
      </c>
      <c r="G194" s="68" t="s">
        <v>34</v>
      </c>
      <c r="H194" s="67">
        <v>6</v>
      </c>
      <c r="I194" s="68" t="s">
        <v>162</v>
      </c>
      <c r="J194" s="69">
        <f>1824000/4/6</f>
        <v>76000</v>
      </c>
      <c r="K194" s="65" t="s">
        <v>162</v>
      </c>
      <c r="L194" s="70">
        <v>2.5000000000000001E-2</v>
      </c>
      <c r="M194" s="70">
        <v>0.17</v>
      </c>
      <c r="N194" s="67">
        <f>24+24</f>
        <v>48</v>
      </c>
      <c r="O194" s="68" t="s">
        <v>162</v>
      </c>
      <c r="P194" s="64">
        <f t="shared" si="31"/>
        <v>0</v>
      </c>
      <c r="Q194" s="68" t="s">
        <v>162</v>
      </c>
      <c r="R194" s="69">
        <f t="shared" si="32"/>
        <v>0</v>
      </c>
      <c r="S194" s="69">
        <f t="shared" si="30"/>
        <v>0</v>
      </c>
    </row>
    <row r="195" spans="1:19" s="63" customFormat="1">
      <c r="A195" s="72"/>
      <c r="C195" s="64"/>
      <c r="D195" s="65"/>
      <c r="E195" s="66"/>
      <c r="F195" s="67"/>
      <c r="G195" s="68"/>
      <c r="H195" s="67"/>
      <c r="I195" s="68"/>
      <c r="J195" s="69"/>
      <c r="K195" s="65"/>
      <c r="L195" s="70"/>
      <c r="M195" s="70"/>
      <c r="N195" s="67"/>
      <c r="O195" s="68"/>
      <c r="P195" s="64"/>
      <c r="Q195" s="68"/>
      <c r="R195" s="69"/>
      <c r="S195" s="69"/>
    </row>
    <row r="196" spans="1:19">
      <c r="A196" s="15" t="s">
        <v>180</v>
      </c>
      <c r="S196" s="23"/>
    </row>
    <row r="197" spans="1:19" s="63" customFormat="1">
      <c r="A197" s="72" t="s">
        <v>181</v>
      </c>
      <c r="B197" s="63" t="s">
        <v>182</v>
      </c>
      <c r="C197" s="64"/>
      <c r="D197" s="65" t="s">
        <v>162</v>
      </c>
      <c r="E197" s="66"/>
      <c r="F197" s="67">
        <v>1</v>
      </c>
      <c r="G197" s="68" t="s">
        <v>21</v>
      </c>
      <c r="H197" s="67">
        <v>144</v>
      </c>
      <c r="I197" s="68" t="s">
        <v>162</v>
      </c>
      <c r="J197" s="69">
        <v>14000</v>
      </c>
      <c r="K197" s="65" t="s">
        <v>162</v>
      </c>
      <c r="L197" s="70">
        <v>0.05</v>
      </c>
      <c r="M197" s="70">
        <v>0.03</v>
      </c>
      <c r="N197" s="67"/>
      <c r="O197" s="68" t="s">
        <v>162</v>
      </c>
      <c r="P197" s="64">
        <f t="shared" ref="P197:P206" si="33">(C197+(E197*F197*H197))-N197</f>
        <v>0</v>
      </c>
      <c r="Q197" s="68" t="s">
        <v>162</v>
      </c>
      <c r="R197" s="69">
        <f t="shared" ref="R197:R206" si="34">P197*(J197-(J197*L197)-((J197-(J197*L197))*M197))</f>
        <v>0</v>
      </c>
      <c r="S197" s="23">
        <f t="shared" si="30"/>
        <v>0</v>
      </c>
    </row>
    <row r="198" spans="1:19" s="63" customFormat="1">
      <c r="A198" s="72"/>
      <c r="C198" s="64"/>
      <c r="D198" s="65"/>
      <c r="E198" s="66"/>
      <c r="F198" s="67"/>
      <c r="G198" s="68"/>
      <c r="H198" s="67"/>
      <c r="I198" s="68"/>
      <c r="J198" s="69"/>
      <c r="K198" s="65"/>
      <c r="L198" s="70"/>
      <c r="M198" s="70"/>
      <c r="N198" s="67"/>
      <c r="O198" s="68"/>
      <c r="P198" s="64"/>
      <c r="Q198" s="68"/>
      <c r="R198" s="69"/>
      <c r="S198" s="23"/>
    </row>
    <row r="199" spans="1:19" s="45" customFormat="1">
      <c r="A199" s="44" t="s">
        <v>183</v>
      </c>
      <c r="B199" s="45" t="s">
        <v>19</v>
      </c>
      <c r="C199" s="46"/>
      <c r="D199" s="47" t="s">
        <v>162</v>
      </c>
      <c r="E199" s="48">
        <f>4+2+3+3</f>
        <v>12</v>
      </c>
      <c r="F199" s="49">
        <v>12</v>
      </c>
      <c r="G199" s="50" t="s">
        <v>34</v>
      </c>
      <c r="H199" s="49">
        <v>12</v>
      </c>
      <c r="I199" s="50" t="s">
        <v>162</v>
      </c>
      <c r="J199" s="51">
        <v>18000</v>
      </c>
      <c r="K199" s="47" t="s">
        <v>162</v>
      </c>
      <c r="L199" s="52">
        <v>0.125</v>
      </c>
      <c r="M199" s="52">
        <v>0.05</v>
      </c>
      <c r="N199" s="49">
        <f>144+288+144+144+144+144</f>
        <v>1008</v>
      </c>
      <c r="O199" s="50" t="s">
        <v>162</v>
      </c>
      <c r="P199" s="46">
        <f t="shared" si="33"/>
        <v>720</v>
      </c>
      <c r="Q199" s="50" t="s">
        <v>162</v>
      </c>
      <c r="R199" s="51">
        <f t="shared" si="34"/>
        <v>10773000</v>
      </c>
      <c r="S199" s="32">
        <f t="shared" si="30"/>
        <v>9705405.405405404</v>
      </c>
    </row>
    <row r="200" spans="1:19" s="63" customFormat="1">
      <c r="A200" s="72" t="s">
        <v>184</v>
      </c>
      <c r="B200" s="63" t="s">
        <v>19</v>
      </c>
      <c r="C200" s="64"/>
      <c r="D200" s="65" t="s">
        <v>162</v>
      </c>
      <c r="E200" s="66">
        <v>3</v>
      </c>
      <c r="F200" s="67">
        <v>12</v>
      </c>
      <c r="G200" s="68" t="s">
        <v>34</v>
      </c>
      <c r="H200" s="67">
        <v>12</v>
      </c>
      <c r="I200" s="68" t="s">
        <v>162</v>
      </c>
      <c r="J200" s="69">
        <v>22750</v>
      </c>
      <c r="K200" s="65" t="s">
        <v>162</v>
      </c>
      <c r="L200" s="70">
        <v>0.125</v>
      </c>
      <c r="M200" s="70">
        <v>0.05</v>
      </c>
      <c r="N200" s="67">
        <f>144+144+144</f>
        <v>432</v>
      </c>
      <c r="O200" s="68" t="s">
        <v>162</v>
      </c>
      <c r="P200" s="64">
        <f t="shared" si="33"/>
        <v>0</v>
      </c>
      <c r="Q200" s="68" t="s">
        <v>162</v>
      </c>
      <c r="R200" s="69">
        <f t="shared" si="34"/>
        <v>0</v>
      </c>
      <c r="S200" s="69">
        <f t="shared" si="30"/>
        <v>0</v>
      </c>
    </row>
    <row r="201" spans="1:19" s="17" customFormat="1">
      <c r="A201" s="16" t="s">
        <v>185</v>
      </c>
      <c r="B201" s="17" t="s">
        <v>19</v>
      </c>
      <c r="C201" s="18"/>
      <c r="D201" s="19" t="s">
        <v>162</v>
      </c>
      <c r="E201" s="20"/>
      <c r="F201" s="21">
        <v>12</v>
      </c>
      <c r="G201" s="22" t="s">
        <v>34</v>
      </c>
      <c r="H201" s="21">
        <v>6</v>
      </c>
      <c r="I201" s="22" t="s">
        <v>162</v>
      </c>
      <c r="J201" s="23">
        <v>48000</v>
      </c>
      <c r="K201" s="19" t="s">
        <v>162</v>
      </c>
      <c r="L201" s="24">
        <v>0.125</v>
      </c>
      <c r="M201" s="24">
        <v>0.05</v>
      </c>
      <c r="N201" s="21"/>
      <c r="O201" s="22" t="s">
        <v>162</v>
      </c>
      <c r="P201" s="18">
        <f t="shared" si="33"/>
        <v>0</v>
      </c>
      <c r="Q201" s="22" t="s">
        <v>162</v>
      </c>
      <c r="R201" s="23">
        <f t="shared" si="34"/>
        <v>0</v>
      </c>
      <c r="S201" s="23">
        <f t="shared" si="30"/>
        <v>0</v>
      </c>
    </row>
    <row r="202" spans="1:19" s="17" customFormat="1">
      <c r="A202" s="16"/>
      <c r="C202" s="18"/>
      <c r="D202" s="19"/>
      <c r="E202" s="20"/>
      <c r="F202" s="21"/>
      <c r="G202" s="22"/>
      <c r="H202" s="21"/>
      <c r="I202" s="22"/>
      <c r="J202" s="23"/>
      <c r="K202" s="19"/>
      <c r="L202" s="24"/>
      <c r="M202" s="24"/>
      <c r="N202" s="21"/>
      <c r="O202" s="22"/>
      <c r="P202" s="18"/>
      <c r="Q202" s="22"/>
      <c r="R202" s="23"/>
      <c r="S202" s="23"/>
    </row>
    <row r="203" spans="1:19" s="17" customFormat="1">
      <c r="A203" s="16" t="s">
        <v>186</v>
      </c>
      <c r="B203" s="17" t="s">
        <v>26</v>
      </c>
      <c r="C203" s="18"/>
      <c r="D203" s="19" t="s">
        <v>162</v>
      </c>
      <c r="E203" s="20"/>
      <c r="F203" s="21">
        <v>12</v>
      </c>
      <c r="G203" s="22" t="s">
        <v>43</v>
      </c>
      <c r="H203" s="21">
        <v>12</v>
      </c>
      <c r="I203" s="22" t="s">
        <v>162</v>
      </c>
      <c r="J203" s="23">
        <f>2592000/12/12</f>
        <v>18000</v>
      </c>
      <c r="K203" s="19" t="s">
        <v>162</v>
      </c>
      <c r="L203" s="24"/>
      <c r="M203" s="24">
        <v>0.17</v>
      </c>
      <c r="N203" s="21"/>
      <c r="O203" s="22" t="s">
        <v>162</v>
      </c>
      <c r="P203" s="18">
        <f t="shared" si="33"/>
        <v>0</v>
      </c>
      <c r="Q203" s="22" t="s">
        <v>162</v>
      </c>
      <c r="R203" s="23">
        <f t="shared" si="34"/>
        <v>0</v>
      </c>
      <c r="S203" s="23">
        <f t="shared" si="30"/>
        <v>0</v>
      </c>
    </row>
    <row r="204" spans="1:19" s="17" customFormat="1">
      <c r="A204" s="16" t="s">
        <v>187</v>
      </c>
      <c r="B204" s="17" t="s">
        <v>26</v>
      </c>
      <c r="C204" s="18"/>
      <c r="D204" s="19" t="s">
        <v>162</v>
      </c>
      <c r="E204" s="20"/>
      <c r="F204" s="21">
        <v>8</v>
      </c>
      <c r="G204" s="22" t="s">
        <v>43</v>
      </c>
      <c r="H204" s="21">
        <v>12</v>
      </c>
      <c r="I204" s="22" t="s">
        <v>162</v>
      </c>
      <c r="J204" s="23">
        <v>24500</v>
      </c>
      <c r="K204" s="19" t="s">
        <v>162</v>
      </c>
      <c r="L204" s="24"/>
      <c r="M204" s="24">
        <v>0.17</v>
      </c>
      <c r="N204" s="21"/>
      <c r="O204" s="22" t="s">
        <v>162</v>
      </c>
      <c r="P204" s="18">
        <f t="shared" si="33"/>
        <v>0</v>
      </c>
      <c r="Q204" s="22" t="s">
        <v>162</v>
      </c>
      <c r="R204" s="23">
        <f t="shared" si="34"/>
        <v>0</v>
      </c>
      <c r="S204" s="23">
        <f t="shared" si="30"/>
        <v>0</v>
      </c>
    </row>
    <row r="205" spans="1:19" s="17" customFormat="1">
      <c r="A205" s="16" t="s">
        <v>188</v>
      </c>
      <c r="B205" s="17" t="s">
        <v>26</v>
      </c>
      <c r="C205" s="18"/>
      <c r="D205" s="19" t="s">
        <v>162</v>
      </c>
      <c r="E205" s="20"/>
      <c r="F205" s="21">
        <v>12</v>
      </c>
      <c r="G205" s="22" t="s">
        <v>43</v>
      </c>
      <c r="H205" s="21">
        <v>12</v>
      </c>
      <c r="I205" s="22" t="s">
        <v>162</v>
      </c>
      <c r="J205" s="23">
        <f>3528000/144</f>
        <v>24500</v>
      </c>
      <c r="K205" s="19" t="s">
        <v>162</v>
      </c>
      <c r="L205" s="24">
        <v>0.05</v>
      </c>
      <c r="M205" s="24">
        <v>0.17</v>
      </c>
      <c r="N205" s="21"/>
      <c r="O205" s="22" t="s">
        <v>162</v>
      </c>
      <c r="P205" s="18">
        <f t="shared" si="33"/>
        <v>0</v>
      </c>
      <c r="Q205" s="22" t="s">
        <v>162</v>
      </c>
      <c r="R205" s="23">
        <f t="shared" si="34"/>
        <v>0</v>
      </c>
      <c r="S205" s="23">
        <f t="shared" si="30"/>
        <v>0</v>
      </c>
    </row>
    <row r="206" spans="1:19" s="17" customFormat="1">
      <c r="A206" s="16" t="s">
        <v>189</v>
      </c>
      <c r="B206" s="17" t="s">
        <v>26</v>
      </c>
      <c r="C206" s="18"/>
      <c r="D206" s="19" t="s">
        <v>162</v>
      </c>
      <c r="E206" s="20"/>
      <c r="F206" s="21">
        <v>6</v>
      </c>
      <c r="G206" s="22" t="s">
        <v>43</v>
      </c>
      <c r="H206" s="21">
        <v>12</v>
      </c>
      <c r="I206" s="22" t="s">
        <v>162</v>
      </c>
      <c r="J206" s="23">
        <v>36000</v>
      </c>
      <c r="K206" s="19" t="s">
        <v>162</v>
      </c>
      <c r="L206" s="24">
        <v>0.05</v>
      </c>
      <c r="M206" s="24">
        <v>0.17</v>
      </c>
      <c r="N206" s="21"/>
      <c r="O206" s="22" t="s">
        <v>162</v>
      </c>
      <c r="P206" s="18">
        <f t="shared" si="33"/>
        <v>0</v>
      </c>
      <c r="Q206" s="22" t="s">
        <v>162</v>
      </c>
      <c r="R206" s="23">
        <f t="shared" si="34"/>
        <v>0</v>
      </c>
      <c r="S206" s="23">
        <f t="shared" si="30"/>
        <v>0</v>
      </c>
    </row>
    <row r="207" spans="1:19" s="17" customFormat="1">
      <c r="A207" s="16"/>
      <c r="C207" s="18"/>
      <c r="D207" s="19"/>
      <c r="E207" s="20"/>
      <c r="F207" s="21"/>
      <c r="G207" s="22"/>
      <c r="H207" s="21"/>
      <c r="I207" s="22"/>
      <c r="J207" s="23"/>
      <c r="K207" s="19"/>
      <c r="L207" s="24"/>
      <c r="M207" s="24"/>
      <c r="N207" s="21"/>
      <c r="O207" s="22"/>
      <c r="P207" s="18"/>
      <c r="Q207" s="22"/>
      <c r="R207" s="23"/>
      <c r="S207" s="23"/>
    </row>
    <row r="208" spans="1:19">
      <c r="A208" s="15" t="s">
        <v>190</v>
      </c>
      <c r="S208" s="23"/>
    </row>
    <row r="209" spans="1:19" s="17" customFormat="1">
      <c r="A209" s="16" t="s">
        <v>191</v>
      </c>
      <c r="B209" s="17" t="s">
        <v>192</v>
      </c>
      <c r="C209" s="18"/>
      <c r="D209" s="19" t="s">
        <v>43</v>
      </c>
      <c r="E209" s="20"/>
      <c r="F209" s="21">
        <v>1</v>
      </c>
      <c r="G209" s="22" t="s">
        <v>21</v>
      </c>
      <c r="H209" s="21">
        <v>5</v>
      </c>
      <c r="I209" s="22" t="s">
        <v>43</v>
      </c>
      <c r="J209" s="23">
        <v>475000</v>
      </c>
      <c r="K209" s="19" t="s">
        <v>43</v>
      </c>
      <c r="L209" s="24"/>
      <c r="M209" s="24"/>
      <c r="N209" s="21"/>
      <c r="O209" s="22" t="s">
        <v>43</v>
      </c>
      <c r="P209" s="18">
        <f>(C209+(E209*F209*H209))-N209</f>
        <v>0</v>
      </c>
      <c r="Q209" s="22" t="s">
        <v>43</v>
      </c>
      <c r="R209" s="23">
        <f>P209*(J209-(J209*L209)-((J209-(J209*L209))*M209))</f>
        <v>0</v>
      </c>
      <c r="S209" s="23">
        <f t="shared" si="30"/>
        <v>0</v>
      </c>
    </row>
    <row r="210" spans="1:19" s="17" customFormat="1">
      <c r="A210" s="16"/>
      <c r="C210" s="18"/>
      <c r="D210" s="19"/>
      <c r="E210" s="20"/>
      <c r="F210" s="21"/>
      <c r="G210" s="22"/>
      <c r="H210" s="21"/>
      <c r="I210" s="22"/>
      <c r="J210" s="23"/>
      <c r="K210" s="19"/>
      <c r="L210" s="24"/>
      <c r="M210" s="24"/>
      <c r="N210" s="21"/>
      <c r="O210" s="22"/>
      <c r="P210" s="18"/>
      <c r="Q210" s="22"/>
      <c r="R210" s="23"/>
      <c r="S210" s="23"/>
    </row>
    <row r="211" spans="1:19" s="63" customFormat="1">
      <c r="A211" s="72" t="s">
        <v>796</v>
      </c>
      <c r="B211" s="63" t="s">
        <v>19</v>
      </c>
      <c r="C211" s="64"/>
      <c r="D211" s="65" t="s">
        <v>162</v>
      </c>
      <c r="E211" s="66"/>
      <c r="F211" s="67">
        <v>8</v>
      </c>
      <c r="G211" s="68" t="s">
        <v>34</v>
      </c>
      <c r="H211" s="67">
        <v>12</v>
      </c>
      <c r="I211" s="68" t="s">
        <v>162</v>
      </c>
      <c r="J211" s="69">
        <v>25700</v>
      </c>
      <c r="K211" s="65" t="s">
        <v>162</v>
      </c>
      <c r="L211" s="70">
        <v>0.125</v>
      </c>
      <c r="M211" s="70">
        <v>0.05</v>
      </c>
      <c r="N211" s="67"/>
      <c r="O211" s="68" t="s">
        <v>162</v>
      </c>
      <c r="P211" s="64">
        <f>(C211+(E211*F211*H211))-N211</f>
        <v>0</v>
      </c>
      <c r="Q211" s="68" t="s">
        <v>162</v>
      </c>
      <c r="R211" s="69">
        <f>P211*(J211-(J211*L211)-((J211-(J211*L211))*M211))</f>
        <v>0</v>
      </c>
      <c r="S211" s="23">
        <f t="shared" si="30"/>
        <v>0</v>
      </c>
    </row>
    <row r="212" spans="1:19" s="63" customFormat="1">
      <c r="A212" s="72" t="s">
        <v>194</v>
      </c>
      <c r="B212" s="63" t="s">
        <v>19</v>
      </c>
      <c r="C212" s="64"/>
      <c r="D212" s="65" t="s">
        <v>162</v>
      </c>
      <c r="E212" s="66"/>
      <c r="F212" s="67">
        <v>6</v>
      </c>
      <c r="G212" s="68" t="s">
        <v>34</v>
      </c>
      <c r="H212" s="67">
        <v>12</v>
      </c>
      <c r="I212" s="68" t="s">
        <v>162</v>
      </c>
      <c r="J212" s="69">
        <v>41500</v>
      </c>
      <c r="K212" s="65" t="s">
        <v>162</v>
      </c>
      <c r="L212" s="70">
        <v>0.125</v>
      </c>
      <c r="M212" s="70">
        <v>0.05</v>
      </c>
      <c r="N212" s="67"/>
      <c r="O212" s="68" t="s">
        <v>162</v>
      </c>
      <c r="P212" s="64">
        <f>(C212+(E212*F212*H212))-N212</f>
        <v>0</v>
      </c>
      <c r="Q212" s="68" t="s">
        <v>162</v>
      </c>
      <c r="R212" s="69">
        <f>P212*(J212-(J212*L212)-((J212-(J212*L212))*M212))</f>
        <v>0</v>
      </c>
      <c r="S212" s="23">
        <f t="shared" si="30"/>
        <v>0</v>
      </c>
    </row>
    <row r="213" spans="1:19">
      <c r="S213" s="23"/>
    </row>
    <row r="214" spans="1:19" ht="15.75">
      <c r="A214" s="14" t="s">
        <v>195</v>
      </c>
      <c r="S214" s="23"/>
    </row>
    <row r="215" spans="1:19">
      <c r="A215" s="15" t="s">
        <v>196</v>
      </c>
      <c r="S215" s="23"/>
    </row>
    <row r="216" spans="1:19" s="17" customFormat="1">
      <c r="A216" s="16" t="s">
        <v>769</v>
      </c>
      <c r="B216" s="17" t="s">
        <v>19</v>
      </c>
      <c r="C216" s="18"/>
      <c r="D216" s="19" t="s">
        <v>43</v>
      </c>
      <c r="E216" s="20">
        <v>1</v>
      </c>
      <c r="F216" s="21">
        <v>1</v>
      </c>
      <c r="G216" s="22" t="s">
        <v>21</v>
      </c>
      <c r="H216" s="21">
        <v>24</v>
      </c>
      <c r="I216" s="22" t="s">
        <v>43</v>
      </c>
      <c r="J216" s="23">
        <v>27600</v>
      </c>
      <c r="K216" s="19" t="s">
        <v>43</v>
      </c>
      <c r="L216" s="24">
        <v>0.125</v>
      </c>
      <c r="M216" s="24">
        <v>0.05</v>
      </c>
      <c r="N216" s="21">
        <v>24</v>
      </c>
      <c r="O216" s="22" t="s">
        <v>43</v>
      </c>
      <c r="P216" s="18">
        <f t="shared" ref="P216:P227" si="35">(C216+(E216*F216*H216))-N216</f>
        <v>0</v>
      </c>
      <c r="Q216" s="22" t="s">
        <v>43</v>
      </c>
      <c r="R216" s="23">
        <f t="shared" ref="R216:R227" si="36">P216*(J216-(J216*L216)-((J216-(J216*L216))*M216))</f>
        <v>0</v>
      </c>
      <c r="S216" s="23">
        <f t="shared" ref="S216" si="37">R216/1.11</f>
        <v>0</v>
      </c>
    </row>
    <row r="217" spans="1:19" s="17" customFormat="1">
      <c r="A217" s="16" t="s">
        <v>197</v>
      </c>
      <c r="B217" s="17" t="s">
        <v>19</v>
      </c>
      <c r="C217" s="18"/>
      <c r="D217" s="19" t="s">
        <v>43</v>
      </c>
      <c r="E217" s="20"/>
      <c r="F217" s="21">
        <v>1</v>
      </c>
      <c r="G217" s="22" t="s">
        <v>21</v>
      </c>
      <c r="H217" s="21">
        <v>24</v>
      </c>
      <c r="I217" s="22" t="s">
        <v>43</v>
      </c>
      <c r="J217" s="23">
        <v>73200</v>
      </c>
      <c r="K217" s="19" t="s">
        <v>43</v>
      </c>
      <c r="L217" s="24">
        <v>0.125</v>
      </c>
      <c r="M217" s="24">
        <v>0.05</v>
      </c>
      <c r="N217" s="21"/>
      <c r="O217" s="22" t="s">
        <v>43</v>
      </c>
      <c r="P217" s="18">
        <f t="shared" si="35"/>
        <v>0</v>
      </c>
      <c r="Q217" s="22" t="s">
        <v>43</v>
      </c>
      <c r="R217" s="23">
        <f t="shared" si="36"/>
        <v>0</v>
      </c>
      <c r="S217" s="23">
        <f t="shared" si="30"/>
        <v>0</v>
      </c>
    </row>
    <row r="218" spans="1:19" s="17" customFormat="1">
      <c r="A218" s="16" t="s">
        <v>198</v>
      </c>
      <c r="B218" s="17" t="s">
        <v>19</v>
      </c>
      <c r="C218" s="18"/>
      <c r="D218" s="19" t="s">
        <v>43</v>
      </c>
      <c r="E218" s="20">
        <v>1</v>
      </c>
      <c r="F218" s="21">
        <v>1</v>
      </c>
      <c r="G218" s="22" t="s">
        <v>21</v>
      </c>
      <c r="H218" s="21">
        <v>48</v>
      </c>
      <c r="I218" s="22" t="s">
        <v>43</v>
      </c>
      <c r="J218" s="23">
        <v>51600</v>
      </c>
      <c r="K218" s="19" t="s">
        <v>43</v>
      </c>
      <c r="L218" s="24">
        <v>0.125</v>
      </c>
      <c r="M218" s="24">
        <v>0.05</v>
      </c>
      <c r="N218" s="21">
        <v>48</v>
      </c>
      <c r="O218" s="22" t="s">
        <v>43</v>
      </c>
      <c r="P218" s="18">
        <f t="shared" si="35"/>
        <v>0</v>
      </c>
      <c r="Q218" s="22" t="s">
        <v>43</v>
      </c>
      <c r="R218" s="23">
        <f t="shared" si="36"/>
        <v>0</v>
      </c>
      <c r="S218" s="23">
        <f t="shared" si="30"/>
        <v>0</v>
      </c>
    </row>
    <row r="219" spans="1:19" s="26" customFormat="1">
      <c r="A219" s="25" t="s">
        <v>199</v>
      </c>
      <c r="B219" s="26" t="s">
        <v>19</v>
      </c>
      <c r="C219" s="27">
        <v>16</v>
      </c>
      <c r="D219" s="28" t="s">
        <v>43</v>
      </c>
      <c r="E219" s="29">
        <f>1+1</f>
        <v>2</v>
      </c>
      <c r="F219" s="30">
        <v>1</v>
      </c>
      <c r="G219" s="31" t="s">
        <v>21</v>
      </c>
      <c r="H219" s="30">
        <v>48</v>
      </c>
      <c r="I219" s="31" t="s">
        <v>43</v>
      </c>
      <c r="J219" s="32">
        <v>55800</v>
      </c>
      <c r="K219" s="28" t="s">
        <v>43</v>
      </c>
      <c r="L219" s="33">
        <v>0.125</v>
      </c>
      <c r="M219" s="33">
        <v>0.05</v>
      </c>
      <c r="N219" s="30">
        <f>48+48</f>
        <v>96</v>
      </c>
      <c r="O219" s="31" t="s">
        <v>43</v>
      </c>
      <c r="P219" s="27">
        <f t="shared" si="35"/>
        <v>16</v>
      </c>
      <c r="Q219" s="31" t="s">
        <v>43</v>
      </c>
      <c r="R219" s="32">
        <f t="shared" si="36"/>
        <v>742140</v>
      </c>
      <c r="S219" s="32">
        <f t="shared" si="30"/>
        <v>668594.59459459456</v>
      </c>
    </row>
    <row r="220" spans="1:19" s="63" customFormat="1">
      <c r="A220" s="72" t="s">
        <v>795</v>
      </c>
      <c r="B220" s="63" t="s">
        <v>19</v>
      </c>
      <c r="C220" s="64"/>
      <c r="D220" s="65" t="s">
        <v>43</v>
      </c>
      <c r="E220" s="66">
        <f>1+1</f>
        <v>2</v>
      </c>
      <c r="F220" s="67">
        <v>1</v>
      </c>
      <c r="G220" s="68" t="s">
        <v>21</v>
      </c>
      <c r="H220" s="67">
        <f>288/12</f>
        <v>24</v>
      </c>
      <c r="I220" s="68" t="s">
        <v>43</v>
      </c>
      <c r="J220" s="69">
        <f>10600*12</f>
        <v>127200</v>
      </c>
      <c r="K220" s="65" t="s">
        <v>43</v>
      </c>
      <c r="L220" s="70">
        <v>0.125</v>
      </c>
      <c r="M220" s="70">
        <v>0.05</v>
      </c>
      <c r="N220" s="67">
        <f>24+24</f>
        <v>48</v>
      </c>
      <c r="O220" s="68" t="s">
        <v>43</v>
      </c>
      <c r="P220" s="64">
        <f t="shared" si="35"/>
        <v>0</v>
      </c>
      <c r="Q220" s="68" t="s">
        <v>43</v>
      </c>
      <c r="R220" s="69">
        <f t="shared" si="36"/>
        <v>0</v>
      </c>
      <c r="S220" s="69">
        <f t="shared" si="30"/>
        <v>0</v>
      </c>
    </row>
    <row r="221" spans="1:19" s="63" customFormat="1">
      <c r="A221" s="72" t="s">
        <v>200</v>
      </c>
      <c r="B221" s="63" t="s">
        <v>19</v>
      </c>
      <c r="C221" s="64"/>
      <c r="D221" s="65" t="s">
        <v>43</v>
      </c>
      <c r="E221" s="66"/>
      <c r="F221" s="67">
        <v>1</v>
      </c>
      <c r="G221" s="68" t="s">
        <v>21</v>
      </c>
      <c r="H221" s="67">
        <v>24</v>
      </c>
      <c r="I221" s="68" t="s">
        <v>43</v>
      </c>
      <c r="J221" s="69">
        <v>162000</v>
      </c>
      <c r="K221" s="65" t="s">
        <v>43</v>
      </c>
      <c r="L221" s="70">
        <v>0.125</v>
      </c>
      <c r="M221" s="70">
        <v>0.05</v>
      </c>
      <c r="N221" s="67"/>
      <c r="O221" s="68" t="s">
        <v>43</v>
      </c>
      <c r="P221" s="64">
        <f t="shared" si="35"/>
        <v>0</v>
      </c>
      <c r="Q221" s="68" t="s">
        <v>43</v>
      </c>
      <c r="R221" s="69">
        <f t="shared" si="36"/>
        <v>0</v>
      </c>
      <c r="S221" s="69">
        <f t="shared" si="30"/>
        <v>0</v>
      </c>
    </row>
    <row r="222" spans="1:19" s="63" customFormat="1">
      <c r="A222" s="72"/>
      <c r="C222" s="64"/>
      <c r="D222" s="65"/>
      <c r="E222" s="66"/>
      <c r="F222" s="67"/>
      <c r="G222" s="68"/>
      <c r="H222" s="67"/>
      <c r="I222" s="68"/>
      <c r="J222" s="69"/>
      <c r="K222" s="65"/>
      <c r="L222" s="70"/>
      <c r="M222" s="70"/>
      <c r="N222" s="67"/>
      <c r="O222" s="68"/>
      <c r="P222" s="64"/>
      <c r="Q222" s="68"/>
      <c r="R222" s="69"/>
      <c r="S222" s="69"/>
    </row>
    <row r="223" spans="1:19" s="63" customFormat="1">
      <c r="A223" s="72" t="s">
        <v>201</v>
      </c>
      <c r="B223" s="63" t="s">
        <v>26</v>
      </c>
      <c r="C223" s="64"/>
      <c r="D223" s="65" t="s">
        <v>43</v>
      </c>
      <c r="E223" s="66"/>
      <c r="F223" s="67">
        <v>1</v>
      </c>
      <c r="G223" s="68" t="s">
        <v>21</v>
      </c>
      <c r="H223" s="67">
        <v>30</v>
      </c>
      <c r="I223" s="68" t="s">
        <v>43</v>
      </c>
      <c r="J223" s="69">
        <f>1566000/30</f>
        <v>52200</v>
      </c>
      <c r="K223" s="65" t="s">
        <v>43</v>
      </c>
      <c r="L223" s="70"/>
      <c r="M223" s="70">
        <v>0.17</v>
      </c>
      <c r="N223" s="67"/>
      <c r="O223" s="68" t="s">
        <v>43</v>
      </c>
      <c r="P223" s="64">
        <f t="shared" si="35"/>
        <v>0</v>
      </c>
      <c r="Q223" s="68" t="s">
        <v>43</v>
      </c>
      <c r="R223" s="69">
        <f t="shared" si="36"/>
        <v>0</v>
      </c>
      <c r="S223" s="23">
        <f t="shared" si="30"/>
        <v>0</v>
      </c>
    </row>
    <row r="224" spans="1:19" s="17" customFormat="1">
      <c r="A224" s="16" t="s">
        <v>202</v>
      </c>
      <c r="B224" s="17" t="s">
        <v>26</v>
      </c>
      <c r="C224" s="18">
        <v>22</v>
      </c>
      <c r="D224" s="19" t="s">
        <v>43</v>
      </c>
      <c r="E224" s="20">
        <v>5</v>
      </c>
      <c r="F224" s="21">
        <v>1</v>
      </c>
      <c r="G224" s="22" t="s">
        <v>21</v>
      </c>
      <c r="H224" s="21">
        <v>30</v>
      </c>
      <c r="I224" s="22" t="s">
        <v>43</v>
      </c>
      <c r="J224" s="23">
        <f>1710000/30</f>
        <v>57000</v>
      </c>
      <c r="K224" s="19" t="s">
        <v>43</v>
      </c>
      <c r="L224" s="24"/>
      <c r="M224" s="24">
        <v>0.17</v>
      </c>
      <c r="N224" s="21">
        <f>1+60+1+3+30+15+4+6+2+19+30+1</f>
        <v>172</v>
      </c>
      <c r="O224" s="22" t="s">
        <v>43</v>
      </c>
      <c r="P224" s="18">
        <f t="shared" si="35"/>
        <v>0</v>
      </c>
      <c r="Q224" s="22" t="s">
        <v>43</v>
      </c>
      <c r="R224" s="23">
        <f t="shared" si="36"/>
        <v>0</v>
      </c>
      <c r="S224" s="23">
        <f t="shared" si="30"/>
        <v>0</v>
      </c>
    </row>
    <row r="225" spans="1:19" s="45" customFormat="1">
      <c r="A225" s="44" t="s">
        <v>203</v>
      </c>
      <c r="B225" s="45" t="s">
        <v>26</v>
      </c>
      <c r="C225" s="46">
        <v>63</v>
      </c>
      <c r="D225" s="47" t="s">
        <v>43</v>
      </c>
      <c r="E225" s="48">
        <f>3+1+3+2</f>
        <v>9</v>
      </c>
      <c r="F225" s="49">
        <v>1</v>
      </c>
      <c r="G225" s="50" t="s">
        <v>21</v>
      </c>
      <c r="H225" s="49">
        <v>20</v>
      </c>
      <c r="I225" s="50" t="s">
        <v>43</v>
      </c>
      <c r="J225" s="51">
        <f>2952000/20</f>
        <v>147600</v>
      </c>
      <c r="K225" s="47" t="s">
        <v>43</v>
      </c>
      <c r="L225" s="52"/>
      <c r="M225" s="52">
        <v>0.17</v>
      </c>
      <c r="N225" s="49">
        <f>20+5+3+20+20+4+5+8+20+2+5+20+8+20+20+20+20</f>
        <v>220</v>
      </c>
      <c r="O225" s="50" t="s">
        <v>43</v>
      </c>
      <c r="P225" s="46">
        <f t="shared" si="35"/>
        <v>23</v>
      </c>
      <c r="Q225" s="50" t="s">
        <v>43</v>
      </c>
      <c r="R225" s="51">
        <f t="shared" si="36"/>
        <v>2817684</v>
      </c>
      <c r="S225" s="51">
        <f t="shared" si="30"/>
        <v>2538454.054054054</v>
      </c>
    </row>
    <row r="226" spans="1:19" s="45" customFormat="1">
      <c r="A226" s="44"/>
      <c r="C226" s="46"/>
      <c r="D226" s="47"/>
      <c r="E226" s="48"/>
      <c r="F226" s="49"/>
      <c r="G226" s="50"/>
      <c r="H226" s="49"/>
      <c r="I226" s="50"/>
      <c r="J226" s="51"/>
      <c r="K226" s="47"/>
      <c r="L226" s="52"/>
      <c r="M226" s="52"/>
      <c r="N226" s="49"/>
      <c r="O226" s="50"/>
      <c r="P226" s="46"/>
      <c r="Q226" s="50"/>
      <c r="R226" s="51"/>
      <c r="S226" s="51"/>
    </row>
    <row r="227" spans="1:19" s="26" customFormat="1">
      <c r="A227" s="25" t="s">
        <v>737</v>
      </c>
      <c r="B227" s="26" t="s">
        <v>659</v>
      </c>
      <c r="C227" s="27">
        <v>31</v>
      </c>
      <c r="D227" s="28" t="s">
        <v>43</v>
      </c>
      <c r="E227" s="29"/>
      <c r="F227" s="30">
        <v>1</v>
      </c>
      <c r="G227" s="31" t="s">
        <v>21</v>
      </c>
      <c r="H227" s="30">
        <v>48</v>
      </c>
      <c r="I227" s="31" t="s">
        <v>43</v>
      </c>
      <c r="J227" s="32">
        <v>60600</v>
      </c>
      <c r="K227" s="28" t="s">
        <v>43</v>
      </c>
      <c r="L227" s="33">
        <v>0.15</v>
      </c>
      <c r="M227" s="33">
        <v>0.03</v>
      </c>
      <c r="N227" s="30">
        <v>5</v>
      </c>
      <c r="O227" s="31" t="s">
        <v>43</v>
      </c>
      <c r="P227" s="27">
        <f t="shared" si="35"/>
        <v>26</v>
      </c>
      <c r="Q227" s="31" t="s">
        <v>43</v>
      </c>
      <c r="R227" s="32">
        <f t="shared" si="36"/>
        <v>1299082.2</v>
      </c>
      <c r="S227" s="32">
        <f t="shared" si="30"/>
        <v>1170344.3243243243</v>
      </c>
    </row>
    <row r="228" spans="1:19" s="26" customFormat="1">
      <c r="A228" s="25"/>
      <c r="C228" s="27"/>
      <c r="D228" s="28"/>
      <c r="E228" s="29"/>
      <c r="F228" s="30"/>
      <c r="G228" s="31"/>
      <c r="H228" s="30"/>
      <c r="I228" s="31"/>
      <c r="J228" s="32"/>
      <c r="K228" s="28"/>
      <c r="L228" s="33"/>
      <c r="M228" s="33"/>
      <c r="N228" s="30"/>
      <c r="O228" s="31"/>
      <c r="P228" s="27"/>
      <c r="Q228" s="31"/>
      <c r="R228" s="32"/>
      <c r="S228" s="32"/>
    </row>
    <row r="229" spans="1:19">
      <c r="A229" s="15" t="s">
        <v>204</v>
      </c>
      <c r="S229" s="23"/>
    </row>
    <row r="230" spans="1:19" s="45" customFormat="1">
      <c r="A230" s="44" t="s">
        <v>205</v>
      </c>
      <c r="B230" s="45" t="s">
        <v>19</v>
      </c>
      <c r="C230" s="46">
        <v>120</v>
      </c>
      <c r="D230" s="47" t="s">
        <v>43</v>
      </c>
      <c r="E230" s="48">
        <v>3</v>
      </c>
      <c r="F230" s="49">
        <v>1</v>
      </c>
      <c r="G230" s="50" t="s">
        <v>21</v>
      </c>
      <c r="H230" s="49">
        <v>120</v>
      </c>
      <c r="I230" s="50" t="s">
        <v>43</v>
      </c>
      <c r="J230" s="51">
        <v>24600</v>
      </c>
      <c r="K230" s="47" t="s">
        <v>43</v>
      </c>
      <c r="L230" s="52">
        <v>0.125</v>
      </c>
      <c r="M230" s="52">
        <v>0.05</v>
      </c>
      <c r="N230" s="49"/>
      <c r="O230" s="50" t="s">
        <v>43</v>
      </c>
      <c r="P230" s="46">
        <f t="shared" ref="P230:P235" si="38">(C230+(E230*F230*H230))-N230</f>
        <v>480</v>
      </c>
      <c r="Q230" s="50" t="s">
        <v>43</v>
      </c>
      <c r="R230" s="51">
        <f t="shared" ref="R230:R235" si="39">P230*(J230-(J230*L230)-((J230-(J230*L230))*M230))</f>
        <v>9815400</v>
      </c>
      <c r="S230" s="32">
        <f t="shared" si="30"/>
        <v>8842702.7027027011</v>
      </c>
    </row>
    <row r="231" spans="1:19" s="45" customFormat="1">
      <c r="A231" s="35" t="s">
        <v>836</v>
      </c>
      <c r="B231" s="36" t="s">
        <v>19</v>
      </c>
      <c r="C231" s="37">
        <v>80</v>
      </c>
      <c r="D231" s="38" t="s">
        <v>43</v>
      </c>
      <c r="E231" s="39">
        <f>1+1+10</f>
        <v>12</v>
      </c>
      <c r="F231" s="40">
        <v>1</v>
      </c>
      <c r="G231" s="41" t="s">
        <v>21</v>
      </c>
      <c r="H231" s="40">
        <v>40</v>
      </c>
      <c r="I231" s="41" t="s">
        <v>43</v>
      </c>
      <c r="J231" s="42">
        <v>49200</v>
      </c>
      <c r="K231" s="38" t="s">
        <v>43</v>
      </c>
      <c r="L231" s="43">
        <v>0.125</v>
      </c>
      <c r="M231" s="43">
        <v>0.05</v>
      </c>
      <c r="N231" s="40">
        <f>40+40+40</f>
        <v>120</v>
      </c>
      <c r="O231" s="41" t="s">
        <v>43</v>
      </c>
      <c r="P231" s="37">
        <f t="shared" si="38"/>
        <v>440</v>
      </c>
      <c r="Q231" s="41" t="s">
        <v>43</v>
      </c>
      <c r="R231" s="42">
        <f t="shared" si="39"/>
        <v>17994900</v>
      </c>
      <c r="S231" s="42">
        <f t="shared" si="30"/>
        <v>16211621.62162162</v>
      </c>
    </row>
    <row r="232" spans="1:19" s="45" customFormat="1">
      <c r="A232" s="35" t="s">
        <v>773</v>
      </c>
      <c r="B232" s="36" t="s">
        <v>19</v>
      </c>
      <c r="C232" s="37">
        <v>7</v>
      </c>
      <c r="D232" s="38" t="s">
        <v>43</v>
      </c>
      <c r="E232" s="39"/>
      <c r="F232" s="40">
        <v>1</v>
      </c>
      <c r="G232" s="41" t="s">
        <v>21</v>
      </c>
      <c r="H232" s="40">
        <v>40</v>
      </c>
      <c r="I232" s="41" t="s">
        <v>43</v>
      </c>
      <c r="J232" s="42">
        <v>0</v>
      </c>
      <c r="K232" s="38" t="s">
        <v>43</v>
      </c>
      <c r="L232" s="43">
        <v>0</v>
      </c>
      <c r="M232" s="43">
        <v>0</v>
      </c>
      <c r="N232" s="40"/>
      <c r="O232" s="41" t="s">
        <v>43</v>
      </c>
      <c r="P232" s="37">
        <f t="shared" si="38"/>
        <v>7</v>
      </c>
      <c r="Q232" s="41" t="s">
        <v>43</v>
      </c>
      <c r="R232" s="42">
        <f t="shared" si="39"/>
        <v>0</v>
      </c>
      <c r="S232" s="42">
        <f t="shared" si="30"/>
        <v>0</v>
      </c>
    </row>
    <row r="233" spans="1:19" s="45" customFormat="1">
      <c r="A233" s="44"/>
      <c r="C233" s="46"/>
      <c r="D233" s="47"/>
      <c r="E233" s="48"/>
      <c r="F233" s="49"/>
      <c r="G233" s="50"/>
      <c r="H233" s="49"/>
      <c r="I233" s="50"/>
      <c r="J233" s="51"/>
      <c r="K233" s="47"/>
      <c r="L233" s="52"/>
      <c r="M233" s="52"/>
      <c r="N233" s="49"/>
      <c r="O233" s="50"/>
      <c r="P233" s="46"/>
      <c r="Q233" s="50"/>
      <c r="R233" s="51"/>
      <c r="S233" s="51"/>
    </row>
    <row r="234" spans="1:19" s="45" customFormat="1">
      <c r="A234" s="44" t="s">
        <v>208</v>
      </c>
      <c r="B234" s="45" t="s">
        <v>26</v>
      </c>
      <c r="C234" s="46">
        <v>1120</v>
      </c>
      <c r="D234" s="47" t="s">
        <v>43</v>
      </c>
      <c r="E234" s="48"/>
      <c r="F234" s="49">
        <v>1</v>
      </c>
      <c r="G234" s="50" t="s">
        <v>21</v>
      </c>
      <c r="H234" s="49">
        <v>120</v>
      </c>
      <c r="I234" s="50" t="s">
        <v>43</v>
      </c>
      <c r="J234" s="51">
        <f>3744000/120</f>
        <v>31200</v>
      </c>
      <c r="K234" s="47" t="s">
        <v>43</v>
      </c>
      <c r="L234" s="52"/>
      <c r="M234" s="52">
        <v>0.17</v>
      </c>
      <c r="N234" s="49">
        <f>120+240+12+240+5+10+60+5</f>
        <v>692</v>
      </c>
      <c r="O234" s="50" t="s">
        <v>43</v>
      </c>
      <c r="P234" s="46">
        <f t="shared" si="38"/>
        <v>428</v>
      </c>
      <c r="Q234" s="50" t="s">
        <v>43</v>
      </c>
      <c r="R234" s="51">
        <f t="shared" si="39"/>
        <v>11083488</v>
      </c>
      <c r="S234" s="51">
        <f t="shared" si="30"/>
        <v>9985124.3243243229</v>
      </c>
    </row>
    <row r="235" spans="1:19" s="45" customFormat="1">
      <c r="A235" s="44" t="s">
        <v>209</v>
      </c>
      <c r="B235" s="45" t="s">
        <v>26</v>
      </c>
      <c r="C235" s="46">
        <v>275</v>
      </c>
      <c r="D235" s="47" t="s">
        <v>43</v>
      </c>
      <c r="E235" s="48">
        <f>15+10+2</f>
        <v>27</v>
      </c>
      <c r="F235" s="49">
        <v>1</v>
      </c>
      <c r="G235" s="50" t="s">
        <v>21</v>
      </c>
      <c r="H235" s="49">
        <v>60</v>
      </c>
      <c r="I235" s="50" t="s">
        <v>43</v>
      </c>
      <c r="J235" s="51">
        <f>3888000/60</f>
        <v>64800</v>
      </c>
      <c r="K235" s="47" t="s">
        <v>43</v>
      </c>
      <c r="L235" s="52"/>
      <c r="M235" s="52">
        <v>0.17</v>
      </c>
      <c r="N235" s="49">
        <f>300+240+60+2+60+120+60+20+10+60+3+180+60+60+60+300+60+60+120+10</f>
        <v>1845</v>
      </c>
      <c r="O235" s="50" t="s">
        <v>43</v>
      </c>
      <c r="P235" s="46">
        <f t="shared" si="38"/>
        <v>50</v>
      </c>
      <c r="Q235" s="50" t="s">
        <v>43</v>
      </c>
      <c r="R235" s="51">
        <f t="shared" si="39"/>
        <v>2689200</v>
      </c>
      <c r="S235" s="51">
        <f t="shared" si="30"/>
        <v>2422702.7027027025</v>
      </c>
    </row>
    <row r="236" spans="1:19" s="45" customFormat="1">
      <c r="A236" s="44"/>
      <c r="C236" s="46"/>
      <c r="D236" s="47"/>
      <c r="E236" s="48"/>
      <c r="F236" s="49"/>
      <c r="G236" s="50"/>
      <c r="H236" s="49"/>
      <c r="I236" s="50"/>
      <c r="J236" s="51"/>
      <c r="K236" s="47"/>
      <c r="L236" s="52"/>
      <c r="M236" s="52"/>
      <c r="N236" s="49"/>
      <c r="O236" s="50"/>
      <c r="P236" s="46"/>
      <c r="Q236" s="50"/>
      <c r="R236" s="51"/>
      <c r="S236" s="51"/>
    </row>
    <row r="237" spans="1:19">
      <c r="A237" s="15" t="s">
        <v>210</v>
      </c>
      <c r="S237" s="23"/>
    </row>
    <row r="238" spans="1:19" s="17" customFormat="1">
      <c r="A238" s="16" t="s">
        <v>211</v>
      </c>
      <c r="B238" s="17" t="s">
        <v>19</v>
      </c>
      <c r="C238" s="18"/>
      <c r="D238" s="19" t="s">
        <v>20</v>
      </c>
      <c r="E238" s="20"/>
      <c r="F238" s="21">
        <v>1</v>
      </c>
      <c r="G238" s="22" t="s">
        <v>21</v>
      </c>
      <c r="H238" s="21">
        <v>5</v>
      </c>
      <c r="I238" s="22" t="s">
        <v>20</v>
      </c>
      <c r="J238" s="23">
        <v>214000</v>
      </c>
      <c r="K238" s="19" t="s">
        <v>20</v>
      </c>
      <c r="L238" s="24">
        <v>0.125</v>
      </c>
      <c r="M238" s="24">
        <v>0.05</v>
      </c>
      <c r="N238" s="21"/>
      <c r="O238" s="22" t="s">
        <v>20</v>
      </c>
      <c r="P238" s="18">
        <f>(C238+(E238*F238*H238))-N238</f>
        <v>0</v>
      </c>
      <c r="Q238" s="22" t="s">
        <v>20</v>
      </c>
      <c r="R238" s="23">
        <f>P238*(J238-(J238*L238)-((J238-(J238*L238))*M238))</f>
        <v>0</v>
      </c>
      <c r="S238" s="23">
        <f t="shared" si="30"/>
        <v>0</v>
      </c>
    </row>
    <row r="239" spans="1:19" s="26" customFormat="1">
      <c r="A239" s="25" t="s">
        <v>212</v>
      </c>
      <c r="B239" s="26" t="s">
        <v>19</v>
      </c>
      <c r="C239" s="27">
        <v>5</v>
      </c>
      <c r="D239" s="28" t="s">
        <v>20</v>
      </c>
      <c r="E239" s="29"/>
      <c r="F239" s="30">
        <v>1</v>
      </c>
      <c r="G239" s="31" t="s">
        <v>21</v>
      </c>
      <c r="H239" s="30">
        <v>5</v>
      </c>
      <c r="I239" s="31" t="s">
        <v>20</v>
      </c>
      <c r="J239" s="32">
        <v>219000</v>
      </c>
      <c r="K239" s="28" t="s">
        <v>20</v>
      </c>
      <c r="L239" s="33">
        <v>0.125</v>
      </c>
      <c r="M239" s="33">
        <v>0.05</v>
      </c>
      <c r="N239" s="30"/>
      <c r="O239" s="31" t="s">
        <v>20</v>
      </c>
      <c r="P239" s="27">
        <f>(C239+(E239*F239*H239))-N239</f>
        <v>5</v>
      </c>
      <c r="Q239" s="31" t="s">
        <v>20</v>
      </c>
      <c r="R239" s="32">
        <f>P239*(J239-(J239*L239)-((J239-(J239*L239))*M239))</f>
        <v>910218.75</v>
      </c>
      <c r="S239" s="32">
        <f t="shared" si="30"/>
        <v>820016.89189189184</v>
      </c>
    </row>
    <row r="240" spans="1:19" s="17" customFormat="1">
      <c r="A240" s="16" t="s">
        <v>213</v>
      </c>
      <c r="B240" s="17" t="s">
        <v>19</v>
      </c>
      <c r="C240" s="18"/>
      <c r="D240" s="19" t="s">
        <v>20</v>
      </c>
      <c r="E240" s="20">
        <v>1</v>
      </c>
      <c r="F240" s="21">
        <v>1</v>
      </c>
      <c r="G240" s="22" t="s">
        <v>21</v>
      </c>
      <c r="H240" s="21">
        <v>4</v>
      </c>
      <c r="I240" s="22" t="s">
        <v>20</v>
      </c>
      <c r="J240" s="23">
        <v>291000</v>
      </c>
      <c r="K240" s="19" t="s">
        <v>20</v>
      </c>
      <c r="L240" s="24">
        <v>0.125</v>
      </c>
      <c r="M240" s="24">
        <v>0.05</v>
      </c>
      <c r="N240" s="21">
        <v>4</v>
      </c>
      <c r="O240" s="22" t="s">
        <v>20</v>
      </c>
      <c r="P240" s="18">
        <f>(C240+(E240*F240*H240))-N240</f>
        <v>0</v>
      </c>
      <c r="Q240" s="22" t="s">
        <v>20</v>
      </c>
      <c r="R240" s="23">
        <f>P240*(J240-(J240*L240)-((J240-(J240*L240))*M240))</f>
        <v>0</v>
      </c>
      <c r="S240" s="23">
        <f t="shared" si="30"/>
        <v>0</v>
      </c>
    </row>
    <row r="241" spans="1:19" s="17" customFormat="1">
      <c r="A241" s="16"/>
      <c r="C241" s="18"/>
      <c r="D241" s="19"/>
      <c r="E241" s="20"/>
      <c r="F241" s="21"/>
      <c r="G241" s="22"/>
      <c r="H241" s="21"/>
      <c r="I241" s="22"/>
      <c r="J241" s="23"/>
      <c r="K241" s="19"/>
      <c r="L241" s="24"/>
      <c r="M241" s="24"/>
      <c r="N241" s="21"/>
      <c r="O241" s="22"/>
      <c r="P241" s="18"/>
      <c r="Q241" s="22"/>
      <c r="R241" s="23"/>
      <c r="S241" s="23"/>
    </row>
    <row r="242" spans="1:19" s="17" customFormat="1">
      <c r="A242" s="16" t="s">
        <v>214</v>
      </c>
      <c r="B242" s="17" t="s">
        <v>26</v>
      </c>
      <c r="C242" s="18"/>
      <c r="D242" s="19" t="s">
        <v>20</v>
      </c>
      <c r="E242" s="20"/>
      <c r="F242" s="21">
        <v>1</v>
      </c>
      <c r="G242" s="22" t="s">
        <v>21</v>
      </c>
      <c r="H242" s="21">
        <v>5</v>
      </c>
      <c r="I242" s="22" t="s">
        <v>20</v>
      </c>
      <c r="J242" s="23">
        <f>1075000/5</f>
        <v>215000</v>
      </c>
      <c r="K242" s="19" t="s">
        <v>20</v>
      </c>
      <c r="L242" s="24"/>
      <c r="M242" s="24">
        <v>0.17</v>
      </c>
      <c r="N242" s="21"/>
      <c r="O242" s="22" t="s">
        <v>20</v>
      </c>
      <c r="P242" s="18">
        <f>(C242+(E242*F242*H242))-N242</f>
        <v>0</v>
      </c>
      <c r="Q242" s="22" t="s">
        <v>20</v>
      </c>
      <c r="R242" s="23">
        <f>P242*(J242-(J242*L242)-((J242-(J242*L242))*M242))</f>
        <v>0</v>
      </c>
      <c r="S242" s="23">
        <f t="shared" si="30"/>
        <v>0</v>
      </c>
    </row>
    <row r="243" spans="1:19" s="17" customFormat="1">
      <c r="A243" s="16" t="s">
        <v>215</v>
      </c>
      <c r="B243" s="17" t="s">
        <v>26</v>
      </c>
      <c r="C243" s="18"/>
      <c r="D243" s="19" t="s">
        <v>20</v>
      </c>
      <c r="E243" s="20"/>
      <c r="F243" s="21">
        <v>1</v>
      </c>
      <c r="G243" s="22" t="s">
        <v>21</v>
      </c>
      <c r="H243" s="21">
        <v>5</v>
      </c>
      <c r="I243" s="22" t="s">
        <v>20</v>
      </c>
      <c r="J243" s="23">
        <f>1125000/5</f>
        <v>225000</v>
      </c>
      <c r="K243" s="19" t="s">
        <v>20</v>
      </c>
      <c r="L243" s="24"/>
      <c r="M243" s="24">
        <v>0.17</v>
      </c>
      <c r="N243" s="21"/>
      <c r="O243" s="22" t="s">
        <v>20</v>
      </c>
      <c r="P243" s="18">
        <f t="shared" ref="P243:P244" si="40">(C243+(E243*F243*H243))-N243</f>
        <v>0</v>
      </c>
      <c r="Q243" s="22" t="s">
        <v>20</v>
      </c>
      <c r="R243" s="23">
        <f t="shared" ref="R243:R244" si="41">P243*(J243-(J243*L243)-((J243-(J243*L243))*M243))</f>
        <v>0</v>
      </c>
      <c r="S243" s="23">
        <f t="shared" si="30"/>
        <v>0</v>
      </c>
    </row>
    <row r="244" spans="1:19" s="17" customFormat="1">
      <c r="A244" s="16" t="s">
        <v>216</v>
      </c>
      <c r="B244" s="17" t="s">
        <v>26</v>
      </c>
      <c r="C244" s="18"/>
      <c r="D244" s="19" t="s">
        <v>20</v>
      </c>
      <c r="E244" s="20"/>
      <c r="F244" s="21">
        <v>1</v>
      </c>
      <c r="G244" s="22" t="s">
        <v>21</v>
      </c>
      <c r="H244" s="21">
        <v>4</v>
      </c>
      <c r="I244" s="22" t="s">
        <v>20</v>
      </c>
      <c r="J244" s="23">
        <f>1100000/4</f>
        <v>275000</v>
      </c>
      <c r="K244" s="19" t="s">
        <v>20</v>
      </c>
      <c r="L244" s="24"/>
      <c r="M244" s="24">
        <v>0.17</v>
      </c>
      <c r="N244" s="21"/>
      <c r="O244" s="22" t="s">
        <v>20</v>
      </c>
      <c r="P244" s="18">
        <f t="shared" si="40"/>
        <v>0</v>
      </c>
      <c r="Q244" s="22" t="s">
        <v>20</v>
      </c>
      <c r="R244" s="23">
        <f t="shared" si="41"/>
        <v>0</v>
      </c>
      <c r="S244" s="23">
        <f t="shared" ref="S244:S322" si="42">R244/1.11</f>
        <v>0</v>
      </c>
    </row>
    <row r="245" spans="1:19" s="45" customFormat="1">
      <c r="A245" s="44"/>
      <c r="C245" s="46"/>
      <c r="D245" s="47"/>
      <c r="E245" s="48"/>
      <c r="F245" s="49"/>
      <c r="G245" s="50"/>
      <c r="H245" s="49"/>
      <c r="I245" s="50"/>
      <c r="J245" s="51"/>
      <c r="K245" s="47"/>
      <c r="L245" s="52"/>
      <c r="M245" s="52"/>
      <c r="N245" s="49"/>
      <c r="O245" s="50"/>
      <c r="P245" s="46"/>
      <c r="Q245" s="50"/>
      <c r="R245" s="51"/>
      <c r="S245" s="51"/>
    </row>
    <row r="246" spans="1:19" ht="15.75">
      <c r="A246" s="14" t="s">
        <v>847</v>
      </c>
      <c r="S246" s="23"/>
    </row>
    <row r="247" spans="1:19" s="26" customFormat="1">
      <c r="A247" s="25" t="s">
        <v>848</v>
      </c>
      <c r="B247" s="26" t="s">
        <v>659</v>
      </c>
      <c r="C247" s="27"/>
      <c r="D247" s="28" t="s">
        <v>20</v>
      </c>
      <c r="E247" s="29">
        <v>1</v>
      </c>
      <c r="F247" s="30">
        <v>1</v>
      </c>
      <c r="G247" s="31" t="s">
        <v>21</v>
      </c>
      <c r="H247" s="30">
        <v>48</v>
      </c>
      <c r="I247" s="31" t="s">
        <v>20</v>
      </c>
      <c r="J247" s="32">
        <v>53000</v>
      </c>
      <c r="K247" s="28" t="s">
        <v>20</v>
      </c>
      <c r="L247" s="33">
        <v>0.17499999999999999</v>
      </c>
      <c r="M247" s="33">
        <v>1.0999999999999999E-2</v>
      </c>
      <c r="N247" s="30"/>
      <c r="O247" s="31" t="s">
        <v>43</v>
      </c>
      <c r="P247" s="27">
        <f t="shared" ref="P247" si="43">(C247+(E247*F247*H247))-N247</f>
        <v>48</v>
      </c>
      <c r="Q247" s="31" t="s">
        <v>43</v>
      </c>
      <c r="R247" s="32">
        <f t="shared" ref="R247" si="44">P247*(J247-(J247*L247)-((J247-(J247*L247))*M247))</f>
        <v>2075713.2000000002</v>
      </c>
      <c r="S247" s="32">
        <f t="shared" ref="S247" si="45">R247/1.11</f>
        <v>1870011.8918918918</v>
      </c>
    </row>
    <row r="248" spans="1:19">
      <c r="S248" s="23"/>
    </row>
    <row r="249" spans="1:19" ht="15.75">
      <c r="A249" s="14" t="s">
        <v>217</v>
      </c>
      <c r="S249" s="23"/>
    </row>
    <row r="250" spans="1:19" s="26" customFormat="1">
      <c r="A250" s="25" t="s">
        <v>218</v>
      </c>
      <c r="B250" s="26" t="s">
        <v>19</v>
      </c>
      <c r="C250" s="27">
        <v>90</v>
      </c>
      <c r="D250" s="28" t="s">
        <v>20</v>
      </c>
      <c r="E250" s="29"/>
      <c r="F250" s="30">
        <v>1</v>
      </c>
      <c r="G250" s="31" t="s">
        <v>21</v>
      </c>
      <c r="H250" s="30">
        <v>90</v>
      </c>
      <c r="I250" s="31" t="s">
        <v>20</v>
      </c>
      <c r="J250" s="32">
        <v>24000</v>
      </c>
      <c r="K250" s="28" t="s">
        <v>20</v>
      </c>
      <c r="L250" s="33">
        <v>0.125</v>
      </c>
      <c r="M250" s="33">
        <v>0.05</v>
      </c>
      <c r="N250" s="30"/>
      <c r="O250" s="31" t="s">
        <v>20</v>
      </c>
      <c r="P250" s="27">
        <f>(C250+(E250*F250*H250))-N250</f>
        <v>90</v>
      </c>
      <c r="Q250" s="31" t="s">
        <v>20</v>
      </c>
      <c r="R250" s="32">
        <f>P250*(J250-(J250*L250)-((J250-(J250*L250))*M250))</f>
        <v>1795500</v>
      </c>
      <c r="S250" s="32">
        <f t="shared" si="42"/>
        <v>1617567.5675675673</v>
      </c>
    </row>
    <row r="251" spans="1:19" s="17" customFormat="1">
      <c r="A251" s="16" t="s">
        <v>219</v>
      </c>
      <c r="B251" s="17" t="s">
        <v>19</v>
      </c>
      <c r="C251" s="18"/>
      <c r="D251" s="19" t="s">
        <v>20</v>
      </c>
      <c r="E251" s="20"/>
      <c r="F251" s="21">
        <v>1</v>
      </c>
      <c r="G251" s="22" t="s">
        <v>21</v>
      </c>
      <c r="H251" s="21">
        <v>48</v>
      </c>
      <c r="I251" s="22" t="s">
        <v>20</v>
      </c>
      <c r="J251" s="23">
        <v>24900</v>
      </c>
      <c r="K251" s="19" t="s">
        <v>20</v>
      </c>
      <c r="L251" s="24">
        <v>0.125</v>
      </c>
      <c r="M251" s="24">
        <v>0.05</v>
      </c>
      <c r="N251" s="21"/>
      <c r="O251" s="22" t="s">
        <v>20</v>
      </c>
      <c r="P251" s="18">
        <f>(C251+(E251*F251*H251))-N251</f>
        <v>0</v>
      </c>
      <c r="Q251" s="22" t="s">
        <v>20</v>
      </c>
      <c r="R251" s="23">
        <f>P251*(J251-(J251*L251)-((J251-(J251*L251))*M251))</f>
        <v>0</v>
      </c>
      <c r="S251" s="23">
        <f t="shared" si="42"/>
        <v>0</v>
      </c>
    </row>
    <row r="252" spans="1:19" s="17" customFormat="1">
      <c r="A252" s="16"/>
      <c r="C252" s="18"/>
      <c r="D252" s="19"/>
      <c r="E252" s="20"/>
      <c r="F252" s="21"/>
      <c r="G252" s="22"/>
      <c r="H252" s="21"/>
      <c r="I252" s="22"/>
      <c r="J252" s="23"/>
      <c r="K252" s="19"/>
      <c r="L252" s="24"/>
      <c r="M252" s="24"/>
      <c r="N252" s="21"/>
      <c r="O252" s="22"/>
      <c r="P252" s="18"/>
      <c r="Q252" s="22"/>
      <c r="R252" s="23"/>
      <c r="S252" s="23"/>
    </row>
    <row r="253" spans="1:19" s="17" customFormat="1">
      <c r="A253" s="16" t="s">
        <v>220</v>
      </c>
      <c r="B253" s="17" t="s">
        <v>26</v>
      </c>
      <c r="C253" s="18"/>
      <c r="D253" s="19" t="s">
        <v>20</v>
      </c>
      <c r="E253" s="20"/>
      <c r="F253" s="21">
        <v>1</v>
      </c>
      <c r="G253" s="22" t="s">
        <v>21</v>
      </c>
      <c r="H253" s="21">
        <v>24</v>
      </c>
      <c r="I253" s="22" t="s">
        <v>20</v>
      </c>
      <c r="J253" s="23">
        <f>720000/24</f>
        <v>30000</v>
      </c>
      <c r="K253" s="19" t="s">
        <v>20</v>
      </c>
      <c r="L253" s="24"/>
      <c r="M253" s="24">
        <v>0.17</v>
      </c>
      <c r="N253" s="21"/>
      <c r="O253" s="22" t="s">
        <v>20</v>
      </c>
      <c r="P253" s="18">
        <f>(C253+(E253*F253*H253))-N253</f>
        <v>0</v>
      </c>
      <c r="Q253" s="22" t="s">
        <v>20</v>
      </c>
      <c r="R253" s="23">
        <f>P253*(J253-(J253*L253)-((J253-(J253*L253))*M253))</f>
        <v>0</v>
      </c>
      <c r="S253" s="23">
        <f t="shared" si="42"/>
        <v>0</v>
      </c>
    </row>
    <row r="254" spans="1:19" s="17" customFormat="1">
      <c r="A254" s="95" t="s">
        <v>221</v>
      </c>
      <c r="B254" s="96" t="s">
        <v>26</v>
      </c>
      <c r="C254" s="97">
        <v>24</v>
      </c>
      <c r="D254" s="98" t="s">
        <v>20</v>
      </c>
      <c r="E254" s="105"/>
      <c r="F254" s="100">
        <v>1</v>
      </c>
      <c r="G254" s="101" t="s">
        <v>21</v>
      </c>
      <c r="H254" s="100">
        <v>48</v>
      </c>
      <c r="I254" s="101" t="s">
        <v>20</v>
      </c>
      <c r="J254" s="102">
        <f>1104000/48</f>
        <v>23000</v>
      </c>
      <c r="K254" s="98" t="s">
        <v>20</v>
      </c>
      <c r="L254" s="103"/>
      <c r="M254" s="103">
        <v>0.17</v>
      </c>
      <c r="N254" s="100">
        <f>12+12</f>
        <v>24</v>
      </c>
      <c r="O254" s="101" t="s">
        <v>20</v>
      </c>
      <c r="P254" s="97">
        <f>(C254+(E254*F254*H254))-N254</f>
        <v>0</v>
      </c>
      <c r="Q254" s="101" t="s">
        <v>20</v>
      </c>
      <c r="R254" s="102">
        <f>P254*(J254-(J254*L254)-((J254-(J254*L254))*M254))</f>
        <v>0</v>
      </c>
      <c r="S254" s="102">
        <f t="shared" si="42"/>
        <v>0</v>
      </c>
    </row>
    <row r="255" spans="1:19">
      <c r="A255" s="159" t="s">
        <v>221</v>
      </c>
      <c r="B255" s="160" t="s">
        <v>26</v>
      </c>
      <c r="C255" s="161">
        <v>240</v>
      </c>
      <c r="D255" s="162" t="s">
        <v>20</v>
      </c>
      <c r="E255" s="163"/>
      <c r="F255" s="164">
        <v>1</v>
      </c>
      <c r="G255" s="165" t="s">
        <v>21</v>
      </c>
      <c r="H255" s="164">
        <v>48</v>
      </c>
      <c r="I255" s="165" t="s">
        <v>20</v>
      </c>
      <c r="J255" s="166">
        <f>1152000/48</f>
        <v>24000</v>
      </c>
      <c r="K255" s="162" t="s">
        <v>20</v>
      </c>
      <c r="L255" s="167"/>
      <c r="M255" s="167">
        <v>0.17</v>
      </c>
      <c r="N255" s="164">
        <f>6+6+6+3+3+9+6</f>
        <v>39</v>
      </c>
      <c r="O255" s="165" t="s">
        <v>20</v>
      </c>
      <c r="P255" s="161">
        <f>(C255+(E255*F255*H255))-N255</f>
        <v>201</v>
      </c>
      <c r="Q255" s="165" t="s">
        <v>20</v>
      </c>
      <c r="R255" s="166">
        <f>P255*(J255-(J255*L255)-((J255-(J255*L255))*M255))</f>
        <v>4003920</v>
      </c>
      <c r="S255" s="42">
        <f t="shared" si="42"/>
        <v>3607135.1351351347</v>
      </c>
    </row>
    <row r="256" spans="1:19">
      <c r="S256" s="23"/>
    </row>
    <row r="257" spans="1:19" ht="15.75">
      <c r="A257" s="14" t="s">
        <v>222</v>
      </c>
      <c r="S257" s="23"/>
    </row>
    <row r="258" spans="1:19">
      <c r="A258" s="15" t="s">
        <v>223</v>
      </c>
      <c r="S258" s="23"/>
    </row>
    <row r="259" spans="1:19" s="17" customFormat="1">
      <c r="A259" s="16" t="s">
        <v>224</v>
      </c>
      <c r="B259" s="17" t="s">
        <v>19</v>
      </c>
      <c r="C259" s="18"/>
      <c r="D259" s="19" t="s">
        <v>20</v>
      </c>
      <c r="E259" s="20"/>
      <c r="F259" s="21">
        <v>1</v>
      </c>
      <c r="G259" s="22" t="s">
        <v>21</v>
      </c>
      <c r="H259" s="21">
        <v>40</v>
      </c>
      <c r="I259" s="22" t="s">
        <v>20</v>
      </c>
      <c r="J259" s="23">
        <v>38500</v>
      </c>
      <c r="K259" s="19" t="s">
        <v>20</v>
      </c>
      <c r="L259" s="24">
        <v>0.125</v>
      </c>
      <c r="M259" s="24">
        <v>0.05</v>
      </c>
      <c r="N259" s="21"/>
      <c r="O259" s="22" t="s">
        <v>20</v>
      </c>
      <c r="P259" s="18">
        <f>(C259+(E259*F259*H259))-N259</f>
        <v>0</v>
      </c>
      <c r="Q259" s="22" t="s">
        <v>20</v>
      </c>
      <c r="R259" s="23">
        <f>P259*(J259-(J259*L259)-((J259-(J259*L259))*M259))</f>
        <v>0</v>
      </c>
      <c r="S259" s="23">
        <f t="shared" si="42"/>
        <v>0</v>
      </c>
    </row>
    <row r="260" spans="1:19" s="17" customFormat="1">
      <c r="A260" s="16"/>
      <c r="C260" s="18"/>
      <c r="D260" s="19"/>
      <c r="E260" s="20"/>
      <c r="F260" s="21"/>
      <c r="G260" s="22"/>
      <c r="H260" s="21"/>
      <c r="I260" s="22"/>
      <c r="J260" s="23"/>
      <c r="K260" s="19"/>
      <c r="L260" s="24"/>
      <c r="M260" s="24"/>
      <c r="N260" s="21"/>
      <c r="O260" s="22"/>
      <c r="P260" s="18"/>
      <c r="Q260" s="22"/>
      <c r="R260" s="23"/>
      <c r="S260" s="23"/>
    </row>
    <row r="261" spans="1:19">
      <c r="A261" s="15" t="s">
        <v>225</v>
      </c>
      <c r="S261" s="23"/>
    </row>
    <row r="262" spans="1:19" s="17" customFormat="1">
      <c r="A262" s="95" t="s">
        <v>226</v>
      </c>
      <c r="B262" s="96" t="s">
        <v>19</v>
      </c>
      <c r="C262" s="97">
        <v>48</v>
      </c>
      <c r="D262" s="98" t="s">
        <v>20</v>
      </c>
      <c r="E262" s="105"/>
      <c r="F262" s="100">
        <v>1</v>
      </c>
      <c r="G262" s="101" t="s">
        <v>21</v>
      </c>
      <c r="H262" s="100">
        <v>48</v>
      </c>
      <c r="I262" s="101" t="s">
        <v>20</v>
      </c>
      <c r="J262" s="102">
        <v>17000</v>
      </c>
      <c r="K262" s="98" t="s">
        <v>20</v>
      </c>
      <c r="L262" s="103">
        <v>0.125</v>
      </c>
      <c r="M262" s="103">
        <v>0.05</v>
      </c>
      <c r="N262" s="100">
        <v>48</v>
      </c>
      <c r="O262" s="101" t="s">
        <v>20</v>
      </c>
      <c r="P262" s="97">
        <f>(C262+(E262*F262*H262))-N262</f>
        <v>0</v>
      </c>
      <c r="Q262" s="101" t="s">
        <v>20</v>
      </c>
      <c r="R262" s="102">
        <f>P262*(J262-(J262*L262)-((J262-(J262*L262))*M262))</f>
        <v>0</v>
      </c>
      <c r="S262" s="102">
        <f t="shared" si="42"/>
        <v>0</v>
      </c>
    </row>
    <row r="263" spans="1:19" s="26" customFormat="1">
      <c r="A263" s="35" t="s">
        <v>837</v>
      </c>
      <c r="B263" s="36" t="s">
        <v>19</v>
      </c>
      <c r="C263" s="37"/>
      <c r="D263" s="38" t="s">
        <v>20</v>
      </c>
      <c r="E263" s="39">
        <v>1</v>
      </c>
      <c r="F263" s="40">
        <v>1</v>
      </c>
      <c r="G263" s="41" t="s">
        <v>21</v>
      </c>
      <c r="H263" s="40">
        <v>48</v>
      </c>
      <c r="I263" s="41" t="s">
        <v>20</v>
      </c>
      <c r="J263" s="42">
        <v>17600</v>
      </c>
      <c r="K263" s="38" t="s">
        <v>20</v>
      </c>
      <c r="L263" s="43">
        <v>0.125</v>
      </c>
      <c r="M263" s="43">
        <v>0.05</v>
      </c>
      <c r="N263" s="40"/>
      <c r="O263" s="41" t="s">
        <v>20</v>
      </c>
      <c r="P263" s="37">
        <f>(C263+(E263*F263*H263))-N263</f>
        <v>48</v>
      </c>
      <c r="Q263" s="41" t="s">
        <v>20</v>
      </c>
      <c r="R263" s="42">
        <f>P263*(J263-(J263*L263)-((J263-(J263*L263))*M263))</f>
        <v>702240</v>
      </c>
      <c r="S263" s="42">
        <f t="shared" ref="S263" si="46">R263/1.11</f>
        <v>632648.64864864864</v>
      </c>
    </row>
    <row r="264" spans="1:19">
      <c r="S264" s="23"/>
    </row>
    <row r="265" spans="1:19" ht="15.75">
      <c r="A265" s="14" t="s">
        <v>227</v>
      </c>
      <c r="S265" s="23"/>
    </row>
    <row r="266" spans="1:19">
      <c r="A266" s="15" t="s">
        <v>228</v>
      </c>
      <c r="S266" s="23"/>
    </row>
    <row r="267" spans="1:19" s="45" customFormat="1">
      <c r="A267" s="44" t="s">
        <v>229</v>
      </c>
      <c r="B267" s="45" t="s">
        <v>26</v>
      </c>
      <c r="C267" s="46">
        <v>40</v>
      </c>
      <c r="D267" s="47" t="s">
        <v>43</v>
      </c>
      <c r="E267" s="48"/>
      <c r="F267" s="49">
        <v>1</v>
      </c>
      <c r="G267" s="50" t="s">
        <v>21</v>
      </c>
      <c r="H267" s="49">
        <v>50</v>
      </c>
      <c r="I267" s="50" t="s">
        <v>43</v>
      </c>
      <c r="J267" s="51">
        <f>1800000/50</f>
        <v>36000</v>
      </c>
      <c r="K267" s="47" t="s">
        <v>43</v>
      </c>
      <c r="L267" s="52"/>
      <c r="M267" s="52">
        <v>0.17</v>
      </c>
      <c r="N267" s="49">
        <v>12</v>
      </c>
      <c r="O267" s="50" t="s">
        <v>43</v>
      </c>
      <c r="P267" s="46">
        <f t="shared" ref="P267:P272" si="47">(C267+(E267*F267*H267))-N267</f>
        <v>28</v>
      </c>
      <c r="Q267" s="50" t="s">
        <v>43</v>
      </c>
      <c r="R267" s="51">
        <f t="shared" ref="R267:R272" si="48">P267*(J267-(J267*L267)-((J267-(J267*L267))*M267))</f>
        <v>836640</v>
      </c>
      <c r="S267" s="32">
        <f t="shared" si="42"/>
        <v>753729.7297297297</v>
      </c>
    </row>
    <row r="268" spans="1:19" s="85" customFormat="1">
      <c r="A268" s="84" t="s">
        <v>230</v>
      </c>
      <c r="B268" s="85" t="s">
        <v>26</v>
      </c>
      <c r="C268" s="86">
        <v>28</v>
      </c>
      <c r="D268" s="87" t="s">
        <v>43</v>
      </c>
      <c r="E268" s="92"/>
      <c r="F268" s="88">
        <v>1</v>
      </c>
      <c r="G268" s="89" t="s">
        <v>21</v>
      </c>
      <c r="H268" s="88">
        <v>25</v>
      </c>
      <c r="I268" s="89" t="s">
        <v>43</v>
      </c>
      <c r="J268" s="90">
        <f>1860000/25</f>
        <v>74400</v>
      </c>
      <c r="K268" s="87" t="s">
        <v>43</v>
      </c>
      <c r="L268" s="91"/>
      <c r="M268" s="91">
        <v>0.17</v>
      </c>
      <c r="N268" s="88"/>
      <c r="O268" s="89" t="s">
        <v>43</v>
      </c>
      <c r="P268" s="86">
        <f t="shared" si="47"/>
        <v>28</v>
      </c>
      <c r="Q268" s="89" t="s">
        <v>43</v>
      </c>
      <c r="R268" s="90">
        <f t="shared" si="48"/>
        <v>1729056</v>
      </c>
      <c r="S268" s="32">
        <f t="shared" si="42"/>
        <v>1557708.1081081079</v>
      </c>
    </row>
    <row r="269" spans="1:19" s="17" customFormat="1">
      <c r="A269" s="16" t="s">
        <v>231</v>
      </c>
      <c r="B269" s="17" t="s">
        <v>26</v>
      </c>
      <c r="C269" s="18"/>
      <c r="D269" s="19" t="s">
        <v>43</v>
      </c>
      <c r="E269" s="20"/>
      <c r="F269" s="21">
        <v>1</v>
      </c>
      <c r="G269" s="22" t="s">
        <v>21</v>
      </c>
      <c r="H269" s="21">
        <v>10</v>
      </c>
      <c r="I269" s="22" t="s">
        <v>43</v>
      </c>
      <c r="J269" s="23">
        <v>153000</v>
      </c>
      <c r="K269" s="19" t="s">
        <v>43</v>
      </c>
      <c r="L269" s="24"/>
      <c r="M269" s="24">
        <v>0.17</v>
      </c>
      <c r="N269" s="21"/>
      <c r="O269" s="22" t="s">
        <v>43</v>
      </c>
      <c r="P269" s="18">
        <f t="shared" si="47"/>
        <v>0</v>
      </c>
      <c r="Q269" s="22" t="s">
        <v>43</v>
      </c>
      <c r="R269" s="23">
        <f t="shared" si="48"/>
        <v>0</v>
      </c>
      <c r="S269" s="23">
        <f t="shared" si="42"/>
        <v>0</v>
      </c>
    </row>
    <row r="270" spans="1:19" s="45" customFormat="1">
      <c r="A270" s="44" t="s">
        <v>232</v>
      </c>
      <c r="B270" s="45" t="s">
        <v>26</v>
      </c>
      <c r="C270" s="46">
        <v>3</v>
      </c>
      <c r="D270" s="47" t="s">
        <v>43</v>
      </c>
      <c r="E270" s="48"/>
      <c r="F270" s="49">
        <v>1</v>
      </c>
      <c r="G270" s="50" t="s">
        <v>21</v>
      </c>
      <c r="H270" s="49">
        <v>10</v>
      </c>
      <c r="I270" s="50" t="s">
        <v>43</v>
      </c>
      <c r="J270" s="51">
        <f>2028000/10</f>
        <v>202800</v>
      </c>
      <c r="K270" s="47" t="s">
        <v>43</v>
      </c>
      <c r="L270" s="52"/>
      <c r="M270" s="52">
        <v>0.17</v>
      </c>
      <c r="N270" s="49"/>
      <c r="O270" s="50" t="s">
        <v>43</v>
      </c>
      <c r="P270" s="46">
        <f t="shared" si="47"/>
        <v>3</v>
      </c>
      <c r="Q270" s="50" t="s">
        <v>43</v>
      </c>
      <c r="R270" s="51">
        <f t="shared" si="48"/>
        <v>504972</v>
      </c>
      <c r="S270" s="51">
        <f t="shared" si="42"/>
        <v>454929.7297297297</v>
      </c>
    </row>
    <row r="271" spans="1:19" s="45" customFormat="1">
      <c r="A271" s="44" t="s">
        <v>233</v>
      </c>
      <c r="B271" s="45" t="s">
        <v>26</v>
      </c>
      <c r="C271" s="46">
        <v>3</v>
      </c>
      <c r="D271" s="47" t="s">
        <v>43</v>
      </c>
      <c r="E271" s="48"/>
      <c r="F271" s="49">
        <v>1</v>
      </c>
      <c r="G271" s="50" t="s">
        <v>21</v>
      </c>
      <c r="H271" s="49">
        <v>10</v>
      </c>
      <c r="I271" s="50" t="s">
        <v>43</v>
      </c>
      <c r="J271" s="51">
        <f>2208000/10</f>
        <v>220800</v>
      </c>
      <c r="K271" s="47" t="s">
        <v>43</v>
      </c>
      <c r="L271" s="52"/>
      <c r="M271" s="52">
        <v>0.17</v>
      </c>
      <c r="N271" s="49">
        <v>1</v>
      </c>
      <c r="O271" s="50" t="s">
        <v>43</v>
      </c>
      <c r="P271" s="46">
        <f t="shared" si="47"/>
        <v>2</v>
      </c>
      <c r="Q271" s="50" t="s">
        <v>43</v>
      </c>
      <c r="R271" s="51">
        <f t="shared" si="48"/>
        <v>366528</v>
      </c>
      <c r="S271" s="32">
        <f t="shared" si="42"/>
        <v>330205.40540540538</v>
      </c>
    </row>
    <row r="272" spans="1:19" s="45" customFormat="1">
      <c r="A272" s="44" t="s">
        <v>234</v>
      </c>
      <c r="B272" s="45" t="s">
        <v>26</v>
      </c>
      <c r="C272" s="46">
        <v>24</v>
      </c>
      <c r="D272" s="47" t="s">
        <v>20</v>
      </c>
      <c r="E272" s="48">
        <v>1</v>
      </c>
      <c r="F272" s="49">
        <v>10</v>
      </c>
      <c r="G272" s="50" t="s">
        <v>43</v>
      </c>
      <c r="H272" s="49">
        <v>12</v>
      </c>
      <c r="I272" s="50" t="s">
        <v>20</v>
      </c>
      <c r="J272" s="51">
        <f>4920000/10/12</f>
        <v>41000</v>
      </c>
      <c r="K272" s="47" t="s">
        <v>20</v>
      </c>
      <c r="L272" s="52"/>
      <c r="M272" s="52">
        <v>0.17</v>
      </c>
      <c r="N272" s="49">
        <f>(2*12)+12</f>
        <v>36</v>
      </c>
      <c r="O272" s="50" t="s">
        <v>20</v>
      </c>
      <c r="P272" s="46">
        <f t="shared" si="47"/>
        <v>108</v>
      </c>
      <c r="Q272" s="50" t="s">
        <v>20</v>
      </c>
      <c r="R272" s="51">
        <f t="shared" si="48"/>
        <v>3675240</v>
      </c>
      <c r="S272" s="51">
        <f t="shared" si="42"/>
        <v>3311027.0270270268</v>
      </c>
    </row>
    <row r="273" spans="1:19" s="45" customFormat="1">
      <c r="A273" s="44"/>
      <c r="C273" s="46"/>
      <c r="D273" s="47"/>
      <c r="E273" s="48"/>
      <c r="F273" s="49"/>
      <c r="G273" s="50"/>
      <c r="H273" s="49"/>
      <c r="I273" s="50"/>
      <c r="J273" s="51"/>
      <c r="K273" s="47"/>
      <c r="L273" s="52"/>
      <c r="M273" s="52"/>
      <c r="N273" s="49"/>
      <c r="O273" s="50"/>
      <c r="P273" s="46"/>
      <c r="Q273" s="50"/>
      <c r="R273" s="51"/>
      <c r="S273" s="51"/>
    </row>
    <row r="274" spans="1:19">
      <c r="A274" s="15" t="s">
        <v>739</v>
      </c>
      <c r="S274" s="23"/>
    </row>
    <row r="275" spans="1:19" s="45" customFormat="1">
      <c r="A275" s="44" t="s">
        <v>740</v>
      </c>
      <c r="B275" s="45" t="s">
        <v>182</v>
      </c>
      <c r="C275" s="46">
        <v>800</v>
      </c>
      <c r="D275" s="47" t="s">
        <v>43</v>
      </c>
      <c r="E275" s="48"/>
      <c r="F275" s="49">
        <v>20</v>
      </c>
      <c r="G275" s="50" t="s">
        <v>34</v>
      </c>
      <c r="H275" s="49">
        <v>4</v>
      </c>
      <c r="I275" s="50" t="s">
        <v>43</v>
      </c>
      <c r="J275" s="51">
        <f>1400*12</f>
        <v>16800</v>
      </c>
      <c r="K275" s="47" t="s">
        <v>43</v>
      </c>
      <c r="L275" s="52">
        <v>0.05</v>
      </c>
      <c r="M275" s="52"/>
      <c r="N275" s="49">
        <f>50+80+80+8</f>
        <v>218</v>
      </c>
      <c r="O275" s="50" t="s">
        <v>43</v>
      </c>
      <c r="P275" s="46">
        <f t="shared" ref="P275" si="49">(C275+(E275*F275*H275))-N275</f>
        <v>582</v>
      </c>
      <c r="Q275" s="50" t="s">
        <v>43</v>
      </c>
      <c r="R275" s="51">
        <f t="shared" ref="R275" si="50">P275*(J275-(J275*L275)-((J275-(J275*L275))*M275))</f>
        <v>9288720</v>
      </c>
      <c r="S275" s="32">
        <f t="shared" ref="S275" si="51">R275/1.11</f>
        <v>8368216.2162162159</v>
      </c>
    </row>
    <row r="276" spans="1:19" ht="15.75">
      <c r="A276" s="106"/>
      <c r="S276" s="23"/>
    </row>
    <row r="277" spans="1:19" ht="15.75">
      <c r="A277" s="14" t="s">
        <v>235</v>
      </c>
      <c r="S277" s="23"/>
    </row>
    <row r="278" spans="1:19" s="17" customFormat="1">
      <c r="A278" s="16" t="s">
        <v>236</v>
      </c>
      <c r="B278" s="17" t="s">
        <v>19</v>
      </c>
      <c r="C278" s="18"/>
      <c r="D278" s="19" t="s">
        <v>20</v>
      </c>
      <c r="E278" s="20"/>
      <c r="F278" s="21">
        <v>12</v>
      </c>
      <c r="G278" s="22" t="s">
        <v>34</v>
      </c>
      <c r="H278" s="21">
        <v>12</v>
      </c>
      <c r="I278" s="22" t="s">
        <v>20</v>
      </c>
      <c r="J278" s="23">
        <f>52500/12</f>
        <v>4375</v>
      </c>
      <c r="K278" s="19" t="s">
        <v>20</v>
      </c>
      <c r="L278" s="24">
        <v>0.125</v>
      </c>
      <c r="M278" s="24">
        <v>0.05</v>
      </c>
      <c r="N278" s="21"/>
      <c r="O278" s="22" t="s">
        <v>20</v>
      </c>
      <c r="P278" s="18">
        <f>(C278+(E278*F278*H278))-N278</f>
        <v>0</v>
      </c>
      <c r="Q278" s="22" t="s">
        <v>20</v>
      </c>
      <c r="R278" s="23">
        <f>P278*(J278-(J278*L278)-((J278-(J278*L278))*M278))</f>
        <v>0</v>
      </c>
      <c r="S278" s="23">
        <f t="shared" ref="S278" si="52">R278/1.11</f>
        <v>0</v>
      </c>
    </row>
    <row r="279" spans="1:19" s="26" customFormat="1">
      <c r="A279" s="25" t="s">
        <v>237</v>
      </c>
      <c r="B279" s="26" t="s">
        <v>19</v>
      </c>
      <c r="C279" s="27">
        <v>144</v>
      </c>
      <c r="D279" s="28" t="s">
        <v>20</v>
      </c>
      <c r="E279" s="29"/>
      <c r="F279" s="30">
        <v>12</v>
      </c>
      <c r="G279" s="31" t="s">
        <v>34</v>
      </c>
      <c r="H279" s="30">
        <v>12</v>
      </c>
      <c r="I279" s="31" t="s">
        <v>20</v>
      </c>
      <c r="J279" s="32">
        <v>20500</v>
      </c>
      <c r="K279" s="28" t="s">
        <v>20</v>
      </c>
      <c r="L279" s="33">
        <v>0.125</v>
      </c>
      <c r="M279" s="33">
        <v>0.05</v>
      </c>
      <c r="N279" s="30"/>
      <c r="O279" s="31" t="s">
        <v>20</v>
      </c>
      <c r="P279" s="27">
        <f>(C279+(E279*F279*H279))-N279</f>
        <v>144</v>
      </c>
      <c r="Q279" s="31" t="s">
        <v>20</v>
      </c>
      <c r="R279" s="32">
        <f>P279*(J279-(J279*L279)-((J279-(J279*L279))*M279))</f>
        <v>2453850</v>
      </c>
      <c r="S279" s="32">
        <f t="shared" si="42"/>
        <v>2210675.6756756753</v>
      </c>
    </row>
    <row r="280" spans="1:19" s="26" customFormat="1">
      <c r="A280" s="25" t="s">
        <v>238</v>
      </c>
      <c r="B280" s="26" t="s">
        <v>19</v>
      </c>
      <c r="C280" s="27">
        <v>144</v>
      </c>
      <c r="D280" s="28" t="s">
        <v>20</v>
      </c>
      <c r="E280" s="29"/>
      <c r="F280" s="30">
        <v>12</v>
      </c>
      <c r="G280" s="31" t="s">
        <v>34</v>
      </c>
      <c r="H280" s="30">
        <v>12</v>
      </c>
      <c r="I280" s="31" t="s">
        <v>20</v>
      </c>
      <c r="J280" s="32">
        <v>22000</v>
      </c>
      <c r="K280" s="28" t="s">
        <v>20</v>
      </c>
      <c r="L280" s="33">
        <v>0.125</v>
      </c>
      <c r="M280" s="33">
        <v>0.05</v>
      </c>
      <c r="N280" s="30"/>
      <c r="O280" s="31" t="s">
        <v>20</v>
      </c>
      <c r="P280" s="27">
        <f>(C280+(E280*F280*H280))-N280</f>
        <v>144</v>
      </c>
      <c r="Q280" s="31" t="s">
        <v>20</v>
      </c>
      <c r="R280" s="32">
        <f>P280*(J280-(J280*L280)-((J280-(J280*L280))*M280))</f>
        <v>2633400</v>
      </c>
      <c r="S280" s="32">
        <f t="shared" si="42"/>
        <v>2372432.4324324322</v>
      </c>
    </row>
    <row r="281" spans="1:19" s="45" customFormat="1">
      <c r="A281" s="44" t="s">
        <v>239</v>
      </c>
      <c r="B281" s="45" t="s">
        <v>19</v>
      </c>
      <c r="C281" s="46">
        <v>576</v>
      </c>
      <c r="D281" s="47" t="s">
        <v>20</v>
      </c>
      <c r="E281" s="48">
        <v>17</v>
      </c>
      <c r="F281" s="49">
        <v>12</v>
      </c>
      <c r="G281" s="50" t="s">
        <v>34</v>
      </c>
      <c r="H281" s="49">
        <v>12</v>
      </c>
      <c r="I281" s="50" t="s">
        <v>20</v>
      </c>
      <c r="J281" s="51">
        <v>4100</v>
      </c>
      <c r="K281" s="47" t="s">
        <v>20</v>
      </c>
      <c r="L281" s="52">
        <v>0.125</v>
      </c>
      <c r="M281" s="52">
        <v>0.05</v>
      </c>
      <c r="N281" s="49">
        <f>720+288+288+144+576+288+144</f>
        <v>2448</v>
      </c>
      <c r="O281" s="50" t="s">
        <v>20</v>
      </c>
      <c r="P281" s="46">
        <f>(C281+(E281*F281*H281))-N281</f>
        <v>576</v>
      </c>
      <c r="Q281" s="50" t="s">
        <v>20</v>
      </c>
      <c r="R281" s="51">
        <f>P281*(J281-(J281*L281)-((J281-(J281*L281))*M281))</f>
        <v>1963080</v>
      </c>
      <c r="S281" s="51">
        <f t="shared" si="42"/>
        <v>1768540.5405405404</v>
      </c>
    </row>
    <row r="282" spans="1:19" s="45" customFormat="1">
      <c r="A282" s="44" t="s">
        <v>240</v>
      </c>
      <c r="B282" s="45" t="s">
        <v>19</v>
      </c>
      <c r="C282" s="46">
        <v>432</v>
      </c>
      <c r="D282" s="47" t="s">
        <v>20</v>
      </c>
      <c r="E282" s="48">
        <f>2+1+2</f>
        <v>5</v>
      </c>
      <c r="F282" s="49">
        <v>12</v>
      </c>
      <c r="G282" s="50" t="s">
        <v>34</v>
      </c>
      <c r="H282" s="49">
        <v>12</v>
      </c>
      <c r="I282" s="50" t="s">
        <v>20</v>
      </c>
      <c r="J282" s="51">
        <v>6300</v>
      </c>
      <c r="K282" s="47" t="s">
        <v>20</v>
      </c>
      <c r="L282" s="52">
        <v>0.125</v>
      </c>
      <c r="M282" s="52">
        <v>0.05</v>
      </c>
      <c r="N282" s="49">
        <f>(12*12)+288+144</f>
        <v>576</v>
      </c>
      <c r="O282" s="50" t="s">
        <v>20</v>
      </c>
      <c r="P282" s="46">
        <f t="shared" ref="P282:P289" si="53">(C282+(E282*F282*H282))-N282</f>
        <v>576</v>
      </c>
      <c r="Q282" s="50" t="s">
        <v>20</v>
      </c>
      <c r="R282" s="51">
        <f t="shared" ref="R282:R289" si="54">P282*(J282-(J282*L282)-((J282-(J282*L282))*M282))</f>
        <v>3016440</v>
      </c>
      <c r="S282" s="51">
        <f t="shared" si="42"/>
        <v>2717513.5135135134</v>
      </c>
    </row>
    <row r="283" spans="1:19" s="45" customFormat="1">
      <c r="A283" s="44" t="s">
        <v>241</v>
      </c>
      <c r="B283" s="45" t="s">
        <v>19</v>
      </c>
      <c r="C283" s="46">
        <v>240</v>
      </c>
      <c r="D283" s="47" t="s">
        <v>20</v>
      </c>
      <c r="E283" s="48">
        <f>2+2+1+2+2</f>
        <v>9</v>
      </c>
      <c r="F283" s="49">
        <v>12</v>
      </c>
      <c r="G283" s="50" t="s">
        <v>34</v>
      </c>
      <c r="H283" s="49">
        <v>12</v>
      </c>
      <c r="I283" s="50" t="s">
        <v>20</v>
      </c>
      <c r="J283" s="51">
        <v>9500</v>
      </c>
      <c r="K283" s="47" t="s">
        <v>20</v>
      </c>
      <c r="L283" s="52">
        <v>0.125</v>
      </c>
      <c r="M283" s="52">
        <v>0.05</v>
      </c>
      <c r="N283" s="49">
        <f>(6*12)+(12*12)+288+144+144+144+144+(11*12)</f>
        <v>1212</v>
      </c>
      <c r="O283" s="50" t="s">
        <v>20</v>
      </c>
      <c r="P283" s="46">
        <f t="shared" si="53"/>
        <v>324</v>
      </c>
      <c r="Q283" s="50" t="s">
        <v>20</v>
      </c>
      <c r="R283" s="51">
        <f t="shared" si="54"/>
        <v>2558587.5</v>
      </c>
      <c r="S283" s="32">
        <f t="shared" si="42"/>
        <v>2305033.7837837837</v>
      </c>
    </row>
    <row r="284" spans="1:19" s="63" customFormat="1">
      <c r="A284" s="72" t="s">
        <v>242</v>
      </c>
      <c r="B284" s="63" t="s">
        <v>19</v>
      </c>
      <c r="C284" s="64"/>
      <c r="D284" s="65" t="s">
        <v>20</v>
      </c>
      <c r="E284" s="66"/>
      <c r="F284" s="67">
        <v>6</v>
      </c>
      <c r="G284" s="68" t="s">
        <v>34</v>
      </c>
      <c r="H284" s="67">
        <v>12</v>
      </c>
      <c r="I284" s="68" t="s">
        <v>20</v>
      </c>
      <c r="J284" s="69">
        <v>19200</v>
      </c>
      <c r="K284" s="65" t="s">
        <v>20</v>
      </c>
      <c r="L284" s="70">
        <v>0.125</v>
      </c>
      <c r="M284" s="70">
        <v>0.05</v>
      </c>
      <c r="N284" s="67"/>
      <c r="O284" s="68" t="s">
        <v>20</v>
      </c>
      <c r="P284" s="64">
        <f t="shared" si="53"/>
        <v>0</v>
      </c>
      <c r="Q284" s="68" t="s">
        <v>20</v>
      </c>
      <c r="R284" s="69">
        <f t="shared" si="54"/>
        <v>0</v>
      </c>
      <c r="S284" s="23">
        <f t="shared" si="42"/>
        <v>0</v>
      </c>
    </row>
    <row r="285" spans="1:19" s="17" customFormat="1">
      <c r="A285" s="16" t="s">
        <v>243</v>
      </c>
      <c r="B285" s="17" t="s">
        <v>19</v>
      </c>
      <c r="C285" s="18"/>
      <c r="D285" s="19" t="s">
        <v>20</v>
      </c>
      <c r="E285" s="20"/>
      <c r="F285" s="21">
        <v>12</v>
      </c>
      <c r="G285" s="22" t="s">
        <v>34</v>
      </c>
      <c r="H285" s="21">
        <v>12</v>
      </c>
      <c r="I285" s="22" t="s">
        <v>20</v>
      </c>
      <c r="J285" s="23">
        <v>5900</v>
      </c>
      <c r="K285" s="19" t="s">
        <v>20</v>
      </c>
      <c r="L285" s="24">
        <v>0.125</v>
      </c>
      <c r="M285" s="24">
        <v>0.05</v>
      </c>
      <c r="N285" s="21"/>
      <c r="O285" s="22" t="s">
        <v>20</v>
      </c>
      <c r="P285" s="18">
        <f t="shared" si="53"/>
        <v>0</v>
      </c>
      <c r="Q285" s="22" t="s">
        <v>20</v>
      </c>
      <c r="R285" s="23">
        <f t="shared" si="54"/>
        <v>0</v>
      </c>
      <c r="S285" s="23">
        <f t="shared" si="42"/>
        <v>0</v>
      </c>
    </row>
    <row r="286" spans="1:19" s="17" customFormat="1">
      <c r="A286" s="16" t="s">
        <v>244</v>
      </c>
      <c r="B286" s="17" t="s">
        <v>19</v>
      </c>
      <c r="C286" s="18"/>
      <c r="D286" s="19" t="s">
        <v>20</v>
      </c>
      <c r="E286" s="20"/>
      <c r="F286" s="21">
        <v>12</v>
      </c>
      <c r="G286" s="22" t="s">
        <v>34</v>
      </c>
      <c r="H286" s="21">
        <v>12</v>
      </c>
      <c r="I286" s="22" t="s">
        <v>20</v>
      </c>
      <c r="J286" s="23">
        <v>7700</v>
      </c>
      <c r="K286" s="19" t="s">
        <v>20</v>
      </c>
      <c r="L286" s="24">
        <v>0.125</v>
      </c>
      <c r="M286" s="24">
        <v>0.05</v>
      </c>
      <c r="N286" s="21"/>
      <c r="O286" s="22" t="s">
        <v>20</v>
      </c>
      <c r="P286" s="18">
        <f t="shared" si="53"/>
        <v>0</v>
      </c>
      <c r="Q286" s="22" t="s">
        <v>20</v>
      </c>
      <c r="R286" s="23">
        <f t="shared" si="54"/>
        <v>0</v>
      </c>
      <c r="S286" s="23">
        <f t="shared" si="42"/>
        <v>0</v>
      </c>
    </row>
    <row r="287" spans="1:19" s="63" customFormat="1" ht="15">
      <c r="A287" s="72" t="s">
        <v>245</v>
      </c>
      <c r="B287" s="63" t="s">
        <v>19</v>
      </c>
      <c r="C287" s="207"/>
      <c r="D287" s="65" t="s">
        <v>20</v>
      </c>
      <c r="E287" s="66"/>
      <c r="F287" s="67">
        <v>12</v>
      </c>
      <c r="G287" s="68" t="s">
        <v>34</v>
      </c>
      <c r="H287" s="67">
        <v>12</v>
      </c>
      <c r="I287" s="68" t="s">
        <v>20</v>
      </c>
      <c r="J287" s="69">
        <v>11200</v>
      </c>
      <c r="K287" s="65" t="s">
        <v>20</v>
      </c>
      <c r="L287" s="70">
        <v>0.125</v>
      </c>
      <c r="M287" s="70">
        <v>0.05</v>
      </c>
      <c r="N287" s="67"/>
      <c r="O287" s="68" t="s">
        <v>20</v>
      </c>
      <c r="P287" s="64">
        <f t="shared" si="53"/>
        <v>0</v>
      </c>
      <c r="Q287" s="68" t="s">
        <v>20</v>
      </c>
      <c r="R287" s="69">
        <f t="shared" si="54"/>
        <v>0</v>
      </c>
      <c r="S287" s="69">
        <f t="shared" si="42"/>
        <v>0</v>
      </c>
    </row>
    <row r="288" spans="1:19" s="26" customFormat="1">
      <c r="A288" s="25" t="s">
        <v>246</v>
      </c>
      <c r="B288" s="26" t="s">
        <v>19</v>
      </c>
      <c r="C288" s="27"/>
      <c r="D288" s="28" t="s">
        <v>20</v>
      </c>
      <c r="E288" s="29">
        <v>1</v>
      </c>
      <c r="F288" s="30">
        <v>12</v>
      </c>
      <c r="G288" s="31" t="s">
        <v>34</v>
      </c>
      <c r="H288" s="30">
        <v>12</v>
      </c>
      <c r="I288" s="31" t="s">
        <v>20</v>
      </c>
      <c r="J288" s="32">
        <v>7600</v>
      </c>
      <c r="K288" s="28" t="s">
        <v>20</v>
      </c>
      <c r="L288" s="33">
        <v>0.125</v>
      </c>
      <c r="M288" s="33">
        <v>0.05</v>
      </c>
      <c r="N288" s="30">
        <f>(6*12)</f>
        <v>72</v>
      </c>
      <c r="O288" s="31" t="s">
        <v>20</v>
      </c>
      <c r="P288" s="27">
        <f t="shared" si="53"/>
        <v>72</v>
      </c>
      <c r="Q288" s="31" t="s">
        <v>20</v>
      </c>
      <c r="R288" s="32">
        <f t="shared" si="54"/>
        <v>454860</v>
      </c>
      <c r="S288" s="32">
        <f t="shared" si="42"/>
        <v>409783.78378378373</v>
      </c>
    </row>
    <row r="289" spans="1:19" s="17" customFormat="1">
      <c r="A289" s="16" t="s">
        <v>247</v>
      </c>
      <c r="B289" s="17" t="s">
        <v>19</v>
      </c>
      <c r="C289" s="18"/>
      <c r="D289" s="19" t="s">
        <v>20</v>
      </c>
      <c r="E289" s="20"/>
      <c r="F289" s="21">
        <v>8</v>
      </c>
      <c r="G289" s="22" t="s">
        <v>34</v>
      </c>
      <c r="H289" s="21">
        <v>6</v>
      </c>
      <c r="I289" s="22" t="s">
        <v>20</v>
      </c>
      <c r="J289" s="23">
        <v>65000</v>
      </c>
      <c r="K289" s="19" t="s">
        <v>20</v>
      </c>
      <c r="L289" s="24">
        <v>0.125</v>
      </c>
      <c r="M289" s="24">
        <v>0.05</v>
      </c>
      <c r="N289" s="21"/>
      <c r="O289" s="22" t="s">
        <v>20</v>
      </c>
      <c r="P289" s="18">
        <f t="shared" si="53"/>
        <v>0</v>
      </c>
      <c r="Q289" s="22" t="s">
        <v>20</v>
      </c>
      <c r="R289" s="23">
        <f t="shared" si="54"/>
        <v>0</v>
      </c>
      <c r="S289" s="23">
        <f t="shared" si="42"/>
        <v>0</v>
      </c>
    </row>
    <row r="290" spans="1:19" s="17" customFormat="1">
      <c r="A290" s="16"/>
      <c r="C290" s="18"/>
      <c r="D290" s="19"/>
      <c r="E290" s="20"/>
      <c r="F290" s="21"/>
      <c r="G290" s="22"/>
      <c r="H290" s="21"/>
      <c r="I290" s="22"/>
      <c r="J290" s="23"/>
      <c r="K290" s="19"/>
      <c r="L290" s="24"/>
      <c r="M290" s="24"/>
      <c r="N290" s="21"/>
      <c r="O290" s="22"/>
      <c r="P290" s="18"/>
      <c r="Q290" s="22"/>
      <c r="R290" s="23"/>
      <c r="S290" s="23"/>
    </row>
    <row r="291" spans="1:19" s="45" customFormat="1">
      <c r="A291" s="44" t="s">
        <v>248</v>
      </c>
      <c r="B291" s="45" t="s">
        <v>26</v>
      </c>
      <c r="C291" s="46">
        <v>27</v>
      </c>
      <c r="D291" s="47" t="s">
        <v>43</v>
      </c>
      <c r="E291" s="48">
        <v>1</v>
      </c>
      <c r="F291" s="49">
        <v>1</v>
      </c>
      <c r="G291" s="50" t="s">
        <v>21</v>
      </c>
      <c r="H291" s="49">
        <v>25</v>
      </c>
      <c r="I291" s="50" t="s">
        <v>43</v>
      </c>
      <c r="J291" s="51">
        <f>1245000/25</f>
        <v>49800</v>
      </c>
      <c r="K291" s="47" t="s">
        <v>43</v>
      </c>
      <c r="L291" s="52"/>
      <c r="M291" s="52">
        <v>0.17</v>
      </c>
      <c r="N291" s="49">
        <f>5+25</f>
        <v>30</v>
      </c>
      <c r="O291" s="50" t="s">
        <v>43</v>
      </c>
      <c r="P291" s="46">
        <f>(C291+(E291*F291*H291))-N291</f>
        <v>22</v>
      </c>
      <c r="Q291" s="50" t="s">
        <v>43</v>
      </c>
      <c r="R291" s="51">
        <f>P291*(J291-(J291*L291)-((J291-(J291*L291))*M291))</f>
        <v>909348</v>
      </c>
      <c r="S291" s="51">
        <f t="shared" si="42"/>
        <v>819232.43243243231</v>
      </c>
    </row>
    <row r="292" spans="1:19" s="45" customFormat="1">
      <c r="A292" s="44" t="s">
        <v>249</v>
      </c>
      <c r="B292" s="45" t="s">
        <v>26</v>
      </c>
      <c r="C292" s="46">
        <v>231</v>
      </c>
      <c r="D292" s="47" t="s">
        <v>43</v>
      </c>
      <c r="E292" s="48">
        <v>2</v>
      </c>
      <c r="F292" s="49">
        <v>1</v>
      </c>
      <c r="G292" s="50" t="s">
        <v>21</v>
      </c>
      <c r="H292" s="49">
        <v>25</v>
      </c>
      <c r="I292" s="50" t="s">
        <v>43</v>
      </c>
      <c r="J292" s="51">
        <f>1890000/25</f>
        <v>75600</v>
      </c>
      <c r="K292" s="47" t="s">
        <v>43</v>
      </c>
      <c r="L292" s="52"/>
      <c r="M292" s="52">
        <v>0.17</v>
      </c>
      <c r="N292" s="49">
        <f>1+1+25+5+100+25</f>
        <v>157</v>
      </c>
      <c r="O292" s="50" t="s">
        <v>43</v>
      </c>
      <c r="P292" s="46">
        <f t="shared" ref="P292" si="55">(C292+(E292*F292*H292))-N292</f>
        <v>124</v>
      </c>
      <c r="Q292" s="50" t="s">
        <v>43</v>
      </c>
      <c r="R292" s="51">
        <f t="shared" ref="R292" si="56">P292*(J292-(J292*L292)-((J292-(J292*L292))*M292))</f>
        <v>7780752</v>
      </c>
      <c r="S292" s="51">
        <f t="shared" si="42"/>
        <v>7009686.4864864862</v>
      </c>
    </row>
    <row r="293" spans="1:19" s="45" customFormat="1">
      <c r="A293" s="44" t="s">
        <v>250</v>
      </c>
      <c r="B293" s="45" t="s">
        <v>26</v>
      </c>
      <c r="C293" s="46">
        <v>41</v>
      </c>
      <c r="D293" s="47" t="s">
        <v>43</v>
      </c>
      <c r="E293" s="48">
        <v>2</v>
      </c>
      <c r="F293" s="49">
        <v>1</v>
      </c>
      <c r="G293" s="50" t="s">
        <v>21</v>
      </c>
      <c r="H293" s="49">
        <v>10</v>
      </c>
      <c r="I293" s="50" t="s">
        <v>43</v>
      </c>
      <c r="J293" s="51">
        <f>1122000/10</f>
        <v>112200</v>
      </c>
      <c r="K293" s="47" t="s">
        <v>43</v>
      </c>
      <c r="L293" s="52"/>
      <c r="M293" s="52">
        <v>0.17</v>
      </c>
      <c r="N293" s="49">
        <f>4+5+10</f>
        <v>19</v>
      </c>
      <c r="O293" s="50" t="s">
        <v>43</v>
      </c>
      <c r="P293" s="46">
        <f>(C293+(E293*F293*H293))-N293</f>
        <v>42</v>
      </c>
      <c r="Q293" s="50" t="s">
        <v>43</v>
      </c>
      <c r="R293" s="51">
        <f>P293*(J293-(J293*L293)-((J293-(J293*L293))*M293))</f>
        <v>3911292</v>
      </c>
      <c r="S293" s="51">
        <f t="shared" si="42"/>
        <v>3523686.4864864862</v>
      </c>
    </row>
    <row r="294" spans="1:19" s="45" customFormat="1">
      <c r="A294" s="44" t="s">
        <v>755</v>
      </c>
      <c r="B294" s="45" t="s">
        <v>26</v>
      </c>
      <c r="C294" s="46">
        <v>15</v>
      </c>
      <c r="D294" s="47" t="s">
        <v>43</v>
      </c>
      <c r="E294" s="48"/>
      <c r="F294" s="49">
        <v>1</v>
      </c>
      <c r="G294" s="50" t="s">
        <v>21</v>
      </c>
      <c r="H294" s="49">
        <v>25</v>
      </c>
      <c r="I294" s="50" t="s">
        <v>43</v>
      </c>
      <c r="J294" s="51">
        <f>2010000/25</f>
        <v>80400</v>
      </c>
      <c r="K294" s="47" t="s">
        <v>43</v>
      </c>
      <c r="L294" s="52"/>
      <c r="M294" s="52">
        <v>0.17</v>
      </c>
      <c r="N294" s="49"/>
      <c r="O294" s="50" t="s">
        <v>43</v>
      </c>
      <c r="P294" s="46">
        <f>(C294+(E294*F294*H294))-N294</f>
        <v>15</v>
      </c>
      <c r="Q294" s="50" t="s">
        <v>43</v>
      </c>
      <c r="R294" s="51">
        <f>P294*(J294-(J294*L294)-((J294-(J294*L294))*M294))</f>
        <v>1000980</v>
      </c>
      <c r="S294" s="51">
        <f t="shared" si="42"/>
        <v>901783.78378378367</v>
      </c>
    </row>
    <row r="295" spans="1:19" s="63" customFormat="1">
      <c r="A295" s="72" t="s">
        <v>251</v>
      </c>
      <c r="B295" s="63" t="s">
        <v>26</v>
      </c>
      <c r="C295" s="64"/>
      <c r="D295" s="65" t="s">
        <v>43</v>
      </c>
      <c r="E295" s="66"/>
      <c r="F295" s="67">
        <v>1</v>
      </c>
      <c r="G295" s="68" t="s">
        <v>21</v>
      </c>
      <c r="H295" s="67">
        <v>10</v>
      </c>
      <c r="I295" s="68" t="s">
        <v>43</v>
      </c>
      <c r="J295" s="69">
        <f>1260000/10</f>
        <v>126000</v>
      </c>
      <c r="K295" s="65" t="s">
        <v>43</v>
      </c>
      <c r="L295" s="70"/>
      <c r="M295" s="70">
        <v>0.17</v>
      </c>
      <c r="N295" s="67"/>
      <c r="O295" s="68" t="s">
        <v>43</v>
      </c>
      <c r="P295" s="64">
        <f>(C295+(E295*F295*H295))-N295</f>
        <v>0</v>
      </c>
      <c r="Q295" s="68" t="s">
        <v>43</v>
      </c>
      <c r="R295" s="69">
        <f>P295*(J295-(J295*L295)-((J295-(J295*L295))*M295))</f>
        <v>0</v>
      </c>
      <c r="S295" s="69">
        <f t="shared" si="42"/>
        <v>0</v>
      </c>
    </row>
    <row r="296" spans="1:19">
      <c r="S296" s="23"/>
    </row>
    <row r="297" spans="1:19" ht="15.75">
      <c r="A297" s="14" t="s">
        <v>252</v>
      </c>
      <c r="S297" s="23"/>
    </row>
    <row r="298" spans="1:19" s="26" customFormat="1">
      <c r="A298" s="107" t="s">
        <v>253</v>
      </c>
      <c r="B298" s="26" t="s">
        <v>26</v>
      </c>
      <c r="C298" s="27">
        <v>134</v>
      </c>
      <c r="D298" s="28" t="s">
        <v>20</v>
      </c>
      <c r="E298" s="29"/>
      <c r="F298" s="30">
        <v>20</v>
      </c>
      <c r="G298" s="31" t="s">
        <v>34</v>
      </c>
      <c r="H298" s="30">
        <v>10</v>
      </c>
      <c r="I298" s="31" t="s">
        <v>20</v>
      </c>
      <c r="J298" s="32">
        <f>3800000/20/10</f>
        <v>19000</v>
      </c>
      <c r="K298" s="28" t="s">
        <v>20</v>
      </c>
      <c r="L298" s="33"/>
      <c r="M298" s="33">
        <v>0.17</v>
      </c>
      <c r="N298" s="30">
        <v>36</v>
      </c>
      <c r="O298" s="31" t="s">
        <v>20</v>
      </c>
      <c r="P298" s="27">
        <f>(C298+(E298*F298*H298))-N298</f>
        <v>98</v>
      </c>
      <c r="Q298" s="31" t="s">
        <v>20</v>
      </c>
      <c r="R298" s="32">
        <f>P298*(J298-(J298*L298)-((J298-(J298*L298))*M298))</f>
        <v>1545460</v>
      </c>
      <c r="S298" s="32">
        <f t="shared" si="42"/>
        <v>1392306.3063063063</v>
      </c>
    </row>
    <row r="299" spans="1:19" s="26" customFormat="1">
      <c r="A299" s="107" t="s">
        <v>254</v>
      </c>
      <c r="B299" s="26" t="s">
        <v>26</v>
      </c>
      <c r="C299" s="27">
        <v>24</v>
      </c>
      <c r="D299" s="28" t="s">
        <v>20</v>
      </c>
      <c r="E299" s="29"/>
      <c r="F299" s="30">
        <v>20</v>
      </c>
      <c r="G299" s="31" t="s">
        <v>34</v>
      </c>
      <c r="H299" s="30">
        <v>12</v>
      </c>
      <c r="I299" s="31" t="s">
        <v>20</v>
      </c>
      <c r="J299" s="32">
        <f>3000000/20/12</f>
        <v>12500</v>
      </c>
      <c r="K299" s="28" t="s">
        <v>20</v>
      </c>
      <c r="L299" s="33"/>
      <c r="M299" s="33">
        <v>0.17</v>
      </c>
      <c r="N299" s="30"/>
      <c r="O299" s="31" t="s">
        <v>20</v>
      </c>
      <c r="P299" s="27">
        <f>(C299+(E299*F299*H299))-N299</f>
        <v>24</v>
      </c>
      <c r="Q299" s="31" t="s">
        <v>20</v>
      </c>
      <c r="R299" s="32">
        <f>P299*(J299-(J299*L299)-((J299-(J299*L299))*M299))</f>
        <v>249000</v>
      </c>
      <c r="S299" s="32">
        <f t="shared" si="42"/>
        <v>224324.32432432429</v>
      </c>
    </row>
    <row r="300" spans="1:19">
      <c r="S300" s="23"/>
    </row>
    <row r="301" spans="1:19" ht="15.75">
      <c r="A301" s="14" t="s">
        <v>255</v>
      </c>
      <c r="S301" s="23"/>
    </row>
    <row r="302" spans="1:19" s="17" customFormat="1">
      <c r="A302" s="16" t="s">
        <v>256</v>
      </c>
      <c r="B302" s="17" t="s">
        <v>19</v>
      </c>
      <c r="C302" s="18"/>
      <c r="D302" s="19" t="s">
        <v>43</v>
      </c>
      <c r="E302" s="20">
        <f>1+1</f>
        <v>2</v>
      </c>
      <c r="F302" s="21">
        <v>1</v>
      </c>
      <c r="G302" s="22" t="s">
        <v>21</v>
      </c>
      <c r="H302" s="21">
        <v>24</v>
      </c>
      <c r="I302" s="22" t="s">
        <v>43</v>
      </c>
      <c r="J302" s="23">
        <v>88200</v>
      </c>
      <c r="K302" s="19" t="s">
        <v>43</v>
      </c>
      <c r="L302" s="24">
        <v>0.125</v>
      </c>
      <c r="M302" s="24">
        <v>0.05</v>
      </c>
      <c r="N302" s="21">
        <f>24+24</f>
        <v>48</v>
      </c>
      <c r="O302" s="22" t="s">
        <v>43</v>
      </c>
      <c r="P302" s="18">
        <f t="shared" ref="P302:P314" si="57">(C302+(E302*F302*H302))-N302</f>
        <v>0</v>
      </c>
      <c r="Q302" s="22" t="s">
        <v>43</v>
      </c>
      <c r="R302" s="23">
        <f t="shared" ref="R302:R314" si="58">P302*(J302-(J302*L302)-((J302-(J302*L302))*M302))</f>
        <v>0</v>
      </c>
      <c r="S302" s="23">
        <f t="shared" si="42"/>
        <v>0</v>
      </c>
    </row>
    <row r="303" spans="1:19" s="26" customFormat="1">
      <c r="A303" s="25" t="s">
        <v>728</v>
      </c>
      <c r="B303" s="26" t="s">
        <v>19</v>
      </c>
      <c r="C303" s="27">
        <v>18</v>
      </c>
      <c r="D303" s="28" t="s">
        <v>43</v>
      </c>
      <c r="E303" s="29"/>
      <c r="F303" s="30">
        <v>1</v>
      </c>
      <c r="G303" s="31" t="s">
        <v>21</v>
      </c>
      <c r="H303" s="30">
        <v>24</v>
      </c>
      <c r="I303" s="31" t="s">
        <v>43</v>
      </c>
      <c r="J303" s="32">
        <v>114000</v>
      </c>
      <c r="K303" s="28" t="s">
        <v>43</v>
      </c>
      <c r="L303" s="33">
        <v>0.125</v>
      </c>
      <c r="M303" s="33">
        <v>0.05</v>
      </c>
      <c r="N303" s="30"/>
      <c r="O303" s="31" t="s">
        <v>43</v>
      </c>
      <c r="P303" s="27">
        <f t="shared" si="57"/>
        <v>18</v>
      </c>
      <c r="Q303" s="31" t="s">
        <v>43</v>
      </c>
      <c r="R303" s="32">
        <f t="shared" si="58"/>
        <v>1705725</v>
      </c>
      <c r="S303" s="32">
        <f t="shared" si="42"/>
        <v>1536689.1891891891</v>
      </c>
    </row>
    <row r="304" spans="1:19" s="26" customFormat="1">
      <c r="A304" s="25" t="s">
        <v>257</v>
      </c>
      <c r="B304" s="26" t="s">
        <v>19</v>
      </c>
      <c r="C304" s="27">
        <v>28</v>
      </c>
      <c r="D304" s="28" t="s">
        <v>43</v>
      </c>
      <c r="E304" s="29"/>
      <c r="F304" s="30">
        <v>1</v>
      </c>
      <c r="G304" s="31" t="s">
        <v>21</v>
      </c>
      <c r="H304" s="30">
        <v>24</v>
      </c>
      <c r="I304" s="31" t="s">
        <v>43</v>
      </c>
      <c r="J304" s="32">
        <v>88200</v>
      </c>
      <c r="K304" s="28" t="s">
        <v>43</v>
      </c>
      <c r="L304" s="33">
        <v>0.125</v>
      </c>
      <c r="M304" s="33">
        <v>0.05</v>
      </c>
      <c r="N304" s="30"/>
      <c r="O304" s="31" t="s">
        <v>43</v>
      </c>
      <c r="P304" s="27">
        <f t="shared" si="57"/>
        <v>28</v>
      </c>
      <c r="Q304" s="31" t="s">
        <v>43</v>
      </c>
      <c r="R304" s="32">
        <f t="shared" si="58"/>
        <v>2052855</v>
      </c>
      <c r="S304" s="32">
        <f t="shared" si="42"/>
        <v>1849418.9189189188</v>
      </c>
    </row>
    <row r="305" spans="1:19" s="17" customFormat="1">
      <c r="A305" s="16" t="s">
        <v>258</v>
      </c>
      <c r="B305" s="17" t="s">
        <v>19</v>
      </c>
      <c r="C305" s="18">
        <v>2</v>
      </c>
      <c r="D305" s="19" t="s">
        <v>43</v>
      </c>
      <c r="E305" s="20"/>
      <c r="F305" s="21">
        <v>1</v>
      </c>
      <c r="G305" s="22" t="s">
        <v>21</v>
      </c>
      <c r="H305" s="21">
        <v>24</v>
      </c>
      <c r="I305" s="22" t="s">
        <v>43</v>
      </c>
      <c r="J305" s="23">
        <v>89400</v>
      </c>
      <c r="K305" s="19" t="s">
        <v>43</v>
      </c>
      <c r="L305" s="24">
        <v>0.125</v>
      </c>
      <c r="M305" s="24">
        <v>0.05</v>
      </c>
      <c r="N305" s="21">
        <v>2</v>
      </c>
      <c r="O305" s="22" t="s">
        <v>43</v>
      </c>
      <c r="P305" s="18">
        <f t="shared" si="57"/>
        <v>0</v>
      </c>
      <c r="Q305" s="22" t="s">
        <v>43</v>
      </c>
      <c r="R305" s="23">
        <f t="shared" si="58"/>
        <v>0</v>
      </c>
      <c r="S305" s="23">
        <f t="shared" si="42"/>
        <v>0</v>
      </c>
    </row>
    <row r="306" spans="1:19" s="17" customFormat="1">
      <c r="A306" s="16" t="s">
        <v>259</v>
      </c>
      <c r="B306" s="17" t="s">
        <v>19</v>
      </c>
      <c r="C306" s="18">
        <v>24</v>
      </c>
      <c r="D306" s="19" t="s">
        <v>162</v>
      </c>
      <c r="E306" s="20"/>
      <c r="F306" s="21">
        <v>12</v>
      </c>
      <c r="G306" s="22" t="s">
        <v>34</v>
      </c>
      <c r="H306" s="21">
        <v>24</v>
      </c>
      <c r="I306" s="22" t="s">
        <v>162</v>
      </c>
      <c r="J306" s="23">
        <v>12000</v>
      </c>
      <c r="K306" s="19" t="s">
        <v>162</v>
      </c>
      <c r="L306" s="24">
        <v>0.125</v>
      </c>
      <c r="M306" s="24">
        <v>0.05</v>
      </c>
      <c r="N306" s="21">
        <v>24</v>
      </c>
      <c r="O306" s="22" t="s">
        <v>162</v>
      </c>
      <c r="P306" s="18">
        <f t="shared" si="57"/>
        <v>0</v>
      </c>
      <c r="Q306" s="22" t="s">
        <v>162</v>
      </c>
      <c r="R306" s="23">
        <f t="shared" si="58"/>
        <v>0</v>
      </c>
      <c r="S306" s="23">
        <f t="shared" si="42"/>
        <v>0</v>
      </c>
    </row>
    <row r="307" spans="1:19" s="17" customFormat="1">
      <c r="A307" s="16" t="s">
        <v>260</v>
      </c>
      <c r="B307" s="17" t="s">
        <v>19</v>
      </c>
      <c r="C307" s="18"/>
      <c r="D307" s="19" t="s">
        <v>162</v>
      </c>
      <c r="E307" s="20"/>
      <c r="F307" s="21">
        <v>10</v>
      </c>
      <c r="G307" s="22" t="s">
        <v>34</v>
      </c>
      <c r="H307" s="21">
        <v>10</v>
      </c>
      <c r="I307" s="22" t="s">
        <v>162</v>
      </c>
      <c r="J307" s="23">
        <v>28000</v>
      </c>
      <c r="K307" s="19" t="s">
        <v>162</v>
      </c>
      <c r="L307" s="24">
        <v>0.125</v>
      </c>
      <c r="M307" s="24">
        <v>0.05</v>
      </c>
      <c r="N307" s="21"/>
      <c r="O307" s="22" t="s">
        <v>162</v>
      </c>
      <c r="P307" s="18">
        <f t="shared" si="57"/>
        <v>0</v>
      </c>
      <c r="Q307" s="22" t="s">
        <v>162</v>
      </c>
      <c r="R307" s="23">
        <f t="shared" si="58"/>
        <v>0</v>
      </c>
      <c r="S307" s="23">
        <f t="shared" si="42"/>
        <v>0</v>
      </c>
    </row>
    <row r="308" spans="1:19" s="17" customFormat="1">
      <c r="A308" s="16" t="s">
        <v>261</v>
      </c>
      <c r="B308" s="17" t="s">
        <v>19</v>
      </c>
      <c r="C308" s="18"/>
      <c r="D308" s="19" t="s">
        <v>162</v>
      </c>
      <c r="E308" s="20"/>
      <c r="F308" s="21">
        <v>10</v>
      </c>
      <c r="G308" s="22" t="s">
        <v>34</v>
      </c>
      <c r="H308" s="21">
        <v>10</v>
      </c>
      <c r="I308" s="22" t="s">
        <v>162</v>
      </c>
      <c r="J308" s="23">
        <v>33500</v>
      </c>
      <c r="K308" s="19" t="s">
        <v>162</v>
      </c>
      <c r="L308" s="24">
        <v>0.125</v>
      </c>
      <c r="M308" s="24">
        <v>0.05</v>
      </c>
      <c r="N308" s="21"/>
      <c r="O308" s="22" t="s">
        <v>162</v>
      </c>
      <c r="P308" s="18">
        <f t="shared" si="57"/>
        <v>0</v>
      </c>
      <c r="Q308" s="22" t="s">
        <v>162</v>
      </c>
      <c r="R308" s="23">
        <f t="shared" si="58"/>
        <v>0</v>
      </c>
      <c r="S308" s="23">
        <f t="shared" si="42"/>
        <v>0</v>
      </c>
    </row>
    <row r="309" spans="1:19" s="17" customFormat="1">
      <c r="A309" s="16" t="s">
        <v>262</v>
      </c>
      <c r="B309" s="17" t="s">
        <v>19</v>
      </c>
      <c r="C309" s="18"/>
      <c r="D309" s="19" t="s">
        <v>162</v>
      </c>
      <c r="E309" s="20"/>
      <c r="F309" s="21">
        <v>8</v>
      </c>
      <c r="G309" s="22" t="s">
        <v>34</v>
      </c>
      <c r="H309" s="21">
        <v>10</v>
      </c>
      <c r="I309" s="22" t="s">
        <v>162</v>
      </c>
      <c r="J309" s="23">
        <v>48500</v>
      </c>
      <c r="K309" s="19" t="s">
        <v>162</v>
      </c>
      <c r="L309" s="24">
        <v>0.125</v>
      </c>
      <c r="M309" s="24">
        <v>0.05</v>
      </c>
      <c r="N309" s="21"/>
      <c r="O309" s="22" t="s">
        <v>162</v>
      </c>
      <c r="P309" s="18">
        <f t="shared" si="57"/>
        <v>0</v>
      </c>
      <c r="Q309" s="22" t="s">
        <v>162</v>
      </c>
      <c r="R309" s="23">
        <f t="shared" si="58"/>
        <v>0</v>
      </c>
      <c r="S309" s="23">
        <f t="shared" si="42"/>
        <v>0</v>
      </c>
    </row>
    <row r="310" spans="1:19" s="17" customFormat="1">
      <c r="A310" s="16" t="s">
        <v>263</v>
      </c>
      <c r="B310" s="17" t="s">
        <v>19</v>
      </c>
      <c r="C310" s="18"/>
      <c r="D310" s="19" t="s">
        <v>162</v>
      </c>
      <c r="E310" s="20"/>
      <c r="F310" s="21">
        <v>10</v>
      </c>
      <c r="G310" s="22" t="s">
        <v>34</v>
      </c>
      <c r="H310" s="21">
        <v>12</v>
      </c>
      <c r="I310" s="22" t="s">
        <v>162</v>
      </c>
      <c r="J310" s="23">
        <v>17000</v>
      </c>
      <c r="K310" s="19" t="s">
        <v>162</v>
      </c>
      <c r="L310" s="24">
        <v>0.125</v>
      </c>
      <c r="M310" s="24">
        <v>0.05</v>
      </c>
      <c r="N310" s="21"/>
      <c r="O310" s="22" t="s">
        <v>162</v>
      </c>
      <c r="P310" s="18">
        <f t="shared" si="57"/>
        <v>0</v>
      </c>
      <c r="Q310" s="22" t="s">
        <v>162</v>
      </c>
      <c r="R310" s="23">
        <f t="shared" si="58"/>
        <v>0</v>
      </c>
      <c r="S310" s="23">
        <f t="shared" si="42"/>
        <v>0</v>
      </c>
    </row>
    <row r="311" spans="1:19" s="85" customFormat="1">
      <c r="A311" s="84" t="s">
        <v>264</v>
      </c>
      <c r="B311" s="85" t="s">
        <v>19</v>
      </c>
      <c r="C311" s="86">
        <v>24</v>
      </c>
      <c r="D311" s="87" t="s">
        <v>162</v>
      </c>
      <c r="E311" s="92"/>
      <c r="F311" s="88">
        <v>24</v>
      </c>
      <c r="G311" s="89" t="s">
        <v>34</v>
      </c>
      <c r="H311" s="88">
        <v>12</v>
      </c>
      <c r="I311" s="89" t="s">
        <v>162</v>
      </c>
      <c r="J311" s="90">
        <v>13300</v>
      </c>
      <c r="K311" s="87" t="s">
        <v>162</v>
      </c>
      <c r="L311" s="91">
        <v>0.125</v>
      </c>
      <c r="M311" s="91">
        <v>0.05</v>
      </c>
      <c r="N311" s="88">
        <v>12</v>
      </c>
      <c r="O311" s="89" t="s">
        <v>162</v>
      </c>
      <c r="P311" s="86">
        <f t="shared" si="57"/>
        <v>12</v>
      </c>
      <c r="Q311" s="89" t="s">
        <v>162</v>
      </c>
      <c r="R311" s="90">
        <f t="shared" si="58"/>
        <v>132667.5</v>
      </c>
      <c r="S311" s="32">
        <f t="shared" si="42"/>
        <v>119520.27027027027</v>
      </c>
    </row>
    <row r="312" spans="1:19" s="85" customFormat="1">
      <c r="A312" s="84"/>
      <c r="C312" s="86"/>
      <c r="D312" s="87"/>
      <c r="E312" s="92"/>
      <c r="F312" s="88"/>
      <c r="G312" s="89"/>
      <c r="H312" s="88"/>
      <c r="I312" s="89"/>
      <c r="J312" s="90"/>
      <c r="K312" s="87"/>
      <c r="L312" s="91"/>
      <c r="M312" s="91"/>
      <c r="N312" s="88"/>
      <c r="O312" s="89"/>
      <c r="P312" s="86"/>
      <c r="Q312" s="89"/>
      <c r="R312" s="90"/>
      <c r="S312" s="32"/>
    </row>
    <row r="313" spans="1:19" s="26" customFormat="1">
      <c r="A313" s="94" t="s">
        <v>265</v>
      </c>
      <c r="B313" s="26" t="s">
        <v>26</v>
      </c>
      <c r="C313" s="27">
        <v>60</v>
      </c>
      <c r="D313" s="28" t="s">
        <v>20</v>
      </c>
      <c r="E313" s="29"/>
      <c r="F313" s="30">
        <v>24</v>
      </c>
      <c r="G313" s="31" t="s">
        <v>43</v>
      </c>
      <c r="H313" s="30">
        <v>12</v>
      </c>
      <c r="I313" s="31" t="s">
        <v>20</v>
      </c>
      <c r="J313" s="32">
        <f>2102400/24/12</f>
        <v>7300</v>
      </c>
      <c r="K313" s="28" t="s">
        <v>20</v>
      </c>
      <c r="L313" s="33"/>
      <c r="M313" s="33">
        <v>0.17</v>
      </c>
      <c r="N313" s="30"/>
      <c r="O313" s="31" t="s">
        <v>20</v>
      </c>
      <c r="P313" s="27">
        <f t="shared" si="57"/>
        <v>60</v>
      </c>
      <c r="Q313" s="31" t="s">
        <v>20</v>
      </c>
      <c r="R313" s="32">
        <f t="shared" si="58"/>
        <v>363540</v>
      </c>
      <c r="S313" s="32">
        <f t="shared" si="42"/>
        <v>327513.51351351349</v>
      </c>
    </row>
    <row r="314" spans="1:19" s="26" customFormat="1">
      <c r="A314" s="94" t="s">
        <v>266</v>
      </c>
      <c r="B314" s="26" t="s">
        <v>26</v>
      </c>
      <c r="C314" s="27">
        <v>96</v>
      </c>
      <c r="D314" s="28" t="s">
        <v>20</v>
      </c>
      <c r="E314" s="29"/>
      <c r="F314" s="30">
        <v>24</v>
      </c>
      <c r="G314" s="31" t="s">
        <v>43</v>
      </c>
      <c r="H314" s="30">
        <v>12</v>
      </c>
      <c r="I314" s="31" t="s">
        <v>20</v>
      </c>
      <c r="J314" s="32">
        <f>2102400/24/12</f>
        <v>7300</v>
      </c>
      <c r="K314" s="28" t="s">
        <v>20</v>
      </c>
      <c r="L314" s="33"/>
      <c r="M314" s="33">
        <v>0.17</v>
      </c>
      <c r="N314" s="30"/>
      <c r="O314" s="31" t="s">
        <v>20</v>
      </c>
      <c r="P314" s="27">
        <f t="shared" si="57"/>
        <v>96</v>
      </c>
      <c r="Q314" s="31" t="s">
        <v>20</v>
      </c>
      <c r="R314" s="32">
        <f t="shared" si="58"/>
        <v>581664</v>
      </c>
      <c r="S314" s="32">
        <f t="shared" si="42"/>
        <v>524021.6216216216</v>
      </c>
    </row>
    <row r="315" spans="1:19">
      <c r="S315" s="23"/>
    </row>
    <row r="316" spans="1:19" ht="15.75">
      <c r="A316" s="14" t="s">
        <v>267</v>
      </c>
      <c r="S316" s="23"/>
    </row>
    <row r="317" spans="1:19" s="17" customFormat="1">
      <c r="A317" s="16" t="s">
        <v>268</v>
      </c>
      <c r="B317" s="17" t="s">
        <v>19</v>
      </c>
      <c r="C317" s="18"/>
      <c r="D317" s="19" t="s">
        <v>34</v>
      </c>
      <c r="E317" s="20"/>
      <c r="F317" s="21">
        <v>1</v>
      </c>
      <c r="G317" s="22" t="s">
        <v>21</v>
      </c>
      <c r="H317" s="21">
        <v>20</v>
      </c>
      <c r="I317" s="22" t="s">
        <v>34</v>
      </c>
      <c r="J317" s="23">
        <f>6200*12</f>
        <v>74400</v>
      </c>
      <c r="K317" s="19" t="s">
        <v>34</v>
      </c>
      <c r="L317" s="24">
        <v>0.125</v>
      </c>
      <c r="M317" s="24">
        <v>0.05</v>
      </c>
      <c r="N317" s="21"/>
      <c r="O317" s="22" t="s">
        <v>34</v>
      </c>
      <c r="P317" s="18">
        <f>(C317+(E317*F317*H317))-N317</f>
        <v>0</v>
      </c>
      <c r="Q317" s="22" t="s">
        <v>34</v>
      </c>
      <c r="R317" s="23">
        <f>P317*(J317-(J317*L317)-((J317-(J317*L317))*M317))</f>
        <v>0</v>
      </c>
      <c r="S317" s="23">
        <f t="shared" si="42"/>
        <v>0</v>
      </c>
    </row>
    <row r="318" spans="1:19" s="17" customFormat="1">
      <c r="A318" s="16" t="s">
        <v>269</v>
      </c>
      <c r="B318" s="17" t="s">
        <v>19</v>
      </c>
      <c r="C318" s="18"/>
      <c r="D318" s="19" t="s">
        <v>34</v>
      </c>
      <c r="E318" s="20"/>
      <c r="F318" s="21">
        <v>1</v>
      </c>
      <c r="G318" s="22" t="s">
        <v>21</v>
      </c>
      <c r="H318" s="21">
        <v>20</v>
      </c>
      <c r="I318" s="22" t="s">
        <v>34</v>
      </c>
      <c r="J318" s="23">
        <f>6800*12</f>
        <v>81600</v>
      </c>
      <c r="K318" s="19" t="s">
        <v>34</v>
      </c>
      <c r="L318" s="24">
        <v>0.125</v>
      </c>
      <c r="M318" s="24">
        <v>0.05</v>
      </c>
      <c r="N318" s="21"/>
      <c r="O318" s="22" t="s">
        <v>34</v>
      </c>
      <c r="P318" s="18">
        <f>(C318+(E318*F318*H318))-N318</f>
        <v>0</v>
      </c>
      <c r="Q318" s="22" t="s">
        <v>34</v>
      </c>
      <c r="R318" s="23">
        <f>P318*(J318-(J318*L318)-((J318-(J318*L318))*M318))</f>
        <v>0</v>
      </c>
      <c r="S318" s="23">
        <f t="shared" si="42"/>
        <v>0</v>
      </c>
    </row>
    <row r="319" spans="1:19">
      <c r="S319" s="23"/>
    </row>
    <row r="320" spans="1:19" ht="15.75">
      <c r="A320" s="14" t="s">
        <v>270</v>
      </c>
      <c r="S320" s="23"/>
    </row>
    <row r="321" spans="1:20">
      <c r="A321" s="15" t="s">
        <v>271</v>
      </c>
      <c r="S321" s="23"/>
    </row>
    <row r="322" spans="1:20" s="17" customFormat="1">
      <c r="A322" s="16" t="s">
        <v>272</v>
      </c>
      <c r="B322" s="17" t="s">
        <v>26</v>
      </c>
      <c r="C322" s="18"/>
      <c r="D322" s="19" t="s">
        <v>104</v>
      </c>
      <c r="E322" s="20"/>
      <c r="F322" s="21">
        <v>1</v>
      </c>
      <c r="G322" s="22" t="s">
        <v>21</v>
      </c>
      <c r="H322" s="21">
        <v>50</v>
      </c>
      <c r="I322" s="22" t="s">
        <v>104</v>
      </c>
      <c r="J322" s="23">
        <f>740000/50</f>
        <v>14800</v>
      </c>
      <c r="K322" s="19" t="s">
        <v>104</v>
      </c>
      <c r="L322" s="24"/>
      <c r="M322" s="24">
        <v>0.17</v>
      </c>
      <c r="N322" s="21"/>
      <c r="O322" s="22" t="s">
        <v>104</v>
      </c>
      <c r="P322" s="18">
        <f>(C322+(E322*F322*H322))-N322</f>
        <v>0</v>
      </c>
      <c r="Q322" s="22" t="s">
        <v>104</v>
      </c>
      <c r="R322" s="23">
        <f>P322*(J322-(J322*L322)-((J322-(J322*L322))*M322))</f>
        <v>0</v>
      </c>
      <c r="S322" s="23">
        <f t="shared" si="42"/>
        <v>0</v>
      </c>
    </row>
    <row r="323" spans="1:20">
      <c r="A323" s="15" t="s">
        <v>273</v>
      </c>
      <c r="S323" s="23"/>
    </row>
    <row r="324" spans="1:20" s="17" customFormat="1">
      <c r="A324" s="25" t="s">
        <v>274</v>
      </c>
      <c r="B324" s="26" t="s">
        <v>275</v>
      </c>
      <c r="C324" s="27">
        <v>250</v>
      </c>
      <c r="D324" s="28" t="s">
        <v>104</v>
      </c>
      <c r="E324" s="29"/>
      <c r="F324" s="30">
        <v>1</v>
      </c>
      <c r="G324" s="31" t="s">
        <v>21</v>
      </c>
      <c r="H324" s="30">
        <v>50</v>
      </c>
      <c r="I324" s="31" t="s">
        <v>104</v>
      </c>
      <c r="J324" s="32">
        <v>32500</v>
      </c>
      <c r="K324" s="28" t="s">
        <v>104</v>
      </c>
      <c r="L324" s="33"/>
      <c r="M324" s="33"/>
      <c r="N324" s="30"/>
      <c r="O324" s="31" t="s">
        <v>104</v>
      </c>
      <c r="P324" s="27">
        <f>(C324+(E324*F324*H324))-N324</f>
        <v>250</v>
      </c>
      <c r="Q324" s="31" t="s">
        <v>104</v>
      </c>
      <c r="R324" s="32">
        <f>P324*(J324-(J324*L324)-((J324-(J324*L324))*M324))</f>
        <v>8125000</v>
      </c>
      <c r="S324" s="32">
        <f t="shared" ref="S324:S400" si="59">R324/1.11</f>
        <v>7319819.8198198192</v>
      </c>
      <c r="T324" s="26"/>
    </row>
    <row r="325" spans="1:20">
      <c r="S325" s="23"/>
    </row>
    <row r="326" spans="1:20" ht="15.75">
      <c r="A326" s="14" t="s">
        <v>276</v>
      </c>
      <c r="S326" s="23"/>
    </row>
    <row r="327" spans="1:20" s="17" customFormat="1">
      <c r="A327" s="16" t="s">
        <v>277</v>
      </c>
      <c r="B327" s="17" t="s">
        <v>19</v>
      </c>
      <c r="C327" s="18"/>
      <c r="D327" s="19" t="s">
        <v>108</v>
      </c>
      <c r="E327" s="20"/>
      <c r="F327" s="21">
        <v>8</v>
      </c>
      <c r="G327" s="22" t="s">
        <v>34</v>
      </c>
      <c r="H327" s="21">
        <v>25</v>
      </c>
      <c r="I327" s="22" t="s">
        <v>108</v>
      </c>
      <c r="J327" s="23">
        <v>4000</v>
      </c>
      <c r="K327" s="19" t="s">
        <v>108</v>
      </c>
      <c r="L327" s="24">
        <v>0.125</v>
      </c>
      <c r="M327" s="24">
        <v>0.05</v>
      </c>
      <c r="N327" s="21"/>
      <c r="O327" s="22" t="s">
        <v>108</v>
      </c>
      <c r="P327" s="18">
        <f>(C327+(E327*F327*H327))-N327</f>
        <v>0</v>
      </c>
      <c r="Q327" s="22" t="s">
        <v>108</v>
      </c>
      <c r="R327" s="23">
        <f>P327*(J327-(J327*L327)-((J327-(J327*L327))*M327))</f>
        <v>0</v>
      </c>
      <c r="S327" s="23">
        <f t="shared" si="59"/>
        <v>0</v>
      </c>
    </row>
    <row r="328" spans="1:20" s="26" customFormat="1">
      <c r="A328" s="25" t="s">
        <v>278</v>
      </c>
      <c r="B328" s="26" t="s">
        <v>19</v>
      </c>
      <c r="C328" s="27">
        <v>8</v>
      </c>
      <c r="D328" s="28" t="s">
        <v>80</v>
      </c>
      <c r="E328" s="29"/>
      <c r="F328" s="30">
        <v>1</v>
      </c>
      <c r="G328" s="31" t="s">
        <v>21</v>
      </c>
      <c r="H328" s="30">
        <v>48</v>
      </c>
      <c r="I328" s="31" t="s">
        <v>80</v>
      </c>
      <c r="J328" s="32">
        <v>30000</v>
      </c>
      <c r="K328" s="28" t="s">
        <v>80</v>
      </c>
      <c r="L328" s="33">
        <v>0.125</v>
      </c>
      <c r="M328" s="33">
        <v>0.05</v>
      </c>
      <c r="N328" s="30"/>
      <c r="O328" s="31" t="s">
        <v>80</v>
      </c>
      <c r="P328" s="27">
        <f>(C328+(E328*F328*H328))-N328</f>
        <v>8</v>
      </c>
      <c r="Q328" s="31" t="s">
        <v>80</v>
      </c>
      <c r="R328" s="32">
        <f>P328*(J328-(J328*L328)-((J328-(J328*L328))*M328))</f>
        <v>199500</v>
      </c>
      <c r="S328" s="32">
        <f t="shared" si="59"/>
        <v>179729.7297297297</v>
      </c>
    </row>
    <row r="329" spans="1:20" s="45" customFormat="1">
      <c r="A329" s="44" t="s">
        <v>279</v>
      </c>
      <c r="B329" s="45" t="s">
        <v>19</v>
      </c>
      <c r="C329" s="46"/>
      <c r="D329" s="47" t="s">
        <v>80</v>
      </c>
      <c r="E329" s="48">
        <v>1</v>
      </c>
      <c r="F329" s="49">
        <v>1</v>
      </c>
      <c r="G329" s="50" t="s">
        <v>21</v>
      </c>
      <c r="H329" s="49">
        <v>48</v>
      </c>
      <c r="I329" s="50" t="s">
        <v>80</v>
      </c>
      <c r="J329" s="51">
        <v>22300</v>
      </c>
      <c r="K329" s="47" t="s">
        <v>80</v>
      </c>
      <c r="L329" s="52">
        <v>0.125</v>
      </c>
      <c r="M329" s="52">
        <v>0.05</v>
      </c>
      <c r="N329" s="49"/>
      <c r="O329" s="50" t="s">
        <v>80</v>
      </c>
      <c r="P329" s="46">
        <f>(C329+(E329*F329*H329))-N329</f>
        <v>48</v>
      </c>
      <c r="Q329" s="50" t="s">
        <v>80</v>
      </c>
      <c r="R329" s="51">
        <f>P329*(J329-(J329*L329)-((J329-(J329*L329))*M329))</f>
        <v>889770</v>
      </c>
      <c r="S329" s="32">
        <f t="shared" si="59"/>
        <v>801594.59459459456</v>
      </c>
    </row>
    <row r="330" spans="1:20" s="63" customFormat="1">
      <c r="A330" s="72"/>
      <c r="C330" s="64"/>
      <c r="D330" s="65"/>
      <c r="E330" s="66"/>
      <c r="F330" s="67"/>
      <c r="G330" s="68"/>
      <c r="H330" s="67"/>
      <c r="I330" s="68"/>
      <c r="J330" s="69"/>
      <c r="K330" s="65"/>
      <c r="L330" s="70"/>
      <c r="M330" s="70"/>
      <c r="N330" s="67"/>
      <c r="O330" s="68"/>
      <c r="P330" s="64"/>
      <c r="Q330" s="68"/>
      <c r="R330" s="69"/>
      <c r="S330" s="23"/>
    </row>
    <row r="331" spans="1:20" s="17" customFormat="1">
      <c r="A331" s="16" t="s">
        <v>280</v>
      </c>
      <c r="B331" s="17" t="s">
        <v>26</v>
      </c>
      <c r="C331" s="18"/>
      <c r="D331" s="19" t="s">
        <v>108</v>
      </c>
      <c r="E331" s="20"/>
      <c r="F331" s="21">
        <v>80</v>
      </c>
      <c r="G331" s="22" t="s">
        <v>34</v>
      </c>
      <c r="H331" s="21">
        <v>25</v>
      </c>
      <c r="I331" s="22" t="s">
        <v>108</v>
      </c>
      <c r="J331" s="23">
        <v>4500</v>
      </c>
      <c r="K331" s="19" t="s">
        <v>108</v>
      </c>
      <c r="L331" s="24"/>
      <c r="M331" s="24">
        <v>0.17</v>
      </c>
      <c r="N331" s="21"/>
      <c r="O331" s="22" t="s">
        <v>108</v>
      </c>
      <c r="P331" s="18">
        <f>(C331+(E331*F331*H331))-N331</f>
        <v>0</v>
      </c>
      <c r="Q331" s="22" t="s">
        <v>108</v>
      </c>
      <c r="R331" s="23">
        <f>P331*(J331-(J331*L331)-((J331-(J331*L331))*M331))</f>
        <v>0</v>
      </c>
      <c r="S331" s="23">
        <f t="shared" si="59"/>
        <v>0</v>
      </c>
    </row>
    <row r="332" spans="1:20" s="17" customFormat="1">
      <c r="A332" s="16" t="s">
        <v>281</v>
      </c>
      <c r="B332" s="17" t="s">
        <v>26</v>
      </c>
      <c r="C332" s="18"/>
      <c r="D332" s="19" t="s">
        <v>80</v>
      </c>
      <c r="E332" s="20"/>
      <c r="F332" s="21">
        <v>1</v>
      </c>
      <c r="G332" s="22" t="s">
        <v>21</v>
      </c>
      <c r="H332" s="21">
        <v>48</v>
      </c>
      <c r="I332" s="22" t="s">
        <v>80</v>
      </c>
      <c r="J332" s="23">
        <v>23500</v>
      </c>
      <c r="K332" s="19" t="s">
        <v>80</v>
      </c>
      <c r="L332" s="24"/>
      <c r="M332" s="24">
        <v>0.17</v>
      </c>
      <c r="N332" s="21"/>
      <c r="O332" s="22" t="s">
        <v>80</v>
      </c>
      <c r="P332" s="18">
        <f>(C332+(E332*F332*H332))-N332</f>
        <v>0</v>
      </c>
      <c r="Q332" s="22" t="s">
        <v>80</v>
      </c>
      <c r="R332" s="23">
        <f>P332*(J332-(J332*L332)-((J332-(J332*L332))*M332))</f>
        <v>0</v>
      </c>
      <c r="S332" s="23">
        <f t="shared" si="59"/>
        <v>0</v>
      </c>
    </row>
    <row r="333" spans="1:20">
      <c r="S333" s="23"/>
    </row>
    <row r="334" spans="1:20" ht="15.75">
      <c r="A334" s="14" t="s">
        <v>282</v>
      </c>
      <c r="S334" s="23"/>
    </row>
    <row r="335" spans="1:20" s="45" customFormat="1">
      <c r="A335" s="44" t="s">
        <v>283</v>
      </c>
      <c r="B335" s="45" t="s">
        <v>19</v>
      </c>
      <c r="C335" s="46">
        <v>70</v>
      </c>
      <c r="D335" s="47" t="s">
        <v>162</v>
      </c>
      <c r="E335" s="48">
        <f>2+1+1</f>
        <v>4</v>
      </c>
      <c r="F335" s="49">
        <v>10</v>
      </c>
      <c r="G335" s="50" t="s">
        <v>34</v>
      </c>
      <c r="H335" s="49">
        <v>24</v>
      </c>
      <c r="I335" s="50" t="s">
        <v>162</v>
      </c>
      <c r="J335" s="51">
        <v>8800</v>
      </c>
      <c r="K335" s="47" t="s">
        <v>162</v>
      </c>
      <c r="L335" s="52">
        <v>0.125</v>
      </c>
      <c r="M335" s="52">
        <v>0.05</v>
      </c>
      <c r="N335" s="49">
        <f>480+240+60+120+96</f>
        <v>996</v>
      </c>
      <c r="O335" s="50" t="s">
        <v>162</v>
      </c>
      <c r="P335" s="46">
        <f t="shared" ref="P335:P340" si="60">(C335+(E335*F335*H335))-N335</f>
        <v>34</v>
      </c>
      <c r="Q335" s="50" t="s">
        <v>162</v>
      </c>
      <c r="R335" s="51">
        <f t="shared" ref="R335:R340" si="61">P335*(J335-(J335*L335)-((J335-(J335*L335))*M335))</f>
        <v>248710</v>
      </c>
      <c r="S335" s="32">
        <f t="shared" si="59"/>
        <v>224063.06306306305</v>
      </c>
    </row>
    <row r="336" spans="1:20" s="17" customFormat="1">
      <c r="A336" s="16" t="s">
        <v>284</v>
      </c>
      <c r="B336" s="17" t="s">
        <v>19</v>
      </c>
      <c r="C336" s="18"/>
      <c r="D336" s="19" t="s">
        <v>162</v>
      </c>
      <c r="E336" s="20"/>
      <c r="F336" s="21">
        <v>6</v>
      </c>
      <c r="G336" s="22" t="s">
        <v>34</v>
      </c>
      <c r="H336" s="21">
        <v>24</v>
      </c>
      <c r="I336" s="22" t="s">
        <v>162</v>
      </c>
      <c r="J336" s="23">
        <v>29500</v>
      </c>
      <c r="K336" s="19" t="s">
        <v>162</v>
      </c>
      <c r="L336" s="24">
        <v>0.125</v>
      </c>
      <c r="M336" s="24">
        <v>0.05</v>
      </c>
      <c r="N336" s="21"/>
      <c r="O336" s="22" t="s">
        <v>162</v>
      </c>
      <c r="P336" s="18">
        <f t="shared" si="60"/>
        <v>0</v>
      </c>
      <c r="Q336" s="22" t="s">
        <v>162</v>
      </c>
      <c r="R336" s="23">
        <f t="shared" si="61"/>
        <v>0</v>
      </c>
      <c r="S336" s="23">
        <f t="shared" si="59"/>
        <v>0</v>
      </c>
    </row>
    <row r="337" spans="1:19" s="17" customFormat="1">
      <c r="A337" s="16" t="s">
        <v>285</v>
      </c>
      <c r="B337" s="17" t="s">
        <v>19</v>
      </c>
      <c r="C337" s="18">
        <v>96</v>
      </c>
      <c r="D337" s="19" t="s">
        <v>162</v>
      </c>
      <c r="E337" s="20"/>
      <c r="F337" s="21">
        <v>12</v>
      </c>
      <c r="G337" s="22" t="s">
        <v>34</v>
      </c>
      <c r="H337" s="21">
        <v>12</v>
      </c>
      <c r="I337" s="22" t="s">
        <v>162</v>
      </c>
      <c r="J337" s="23">
        <v>19600</v>
      </c>
      <c r="K337" s="19" t="s">
        <v>162</v>
      </c>
      <c r="L337" s="24">
        <v>0.125</v>
      </c>
      <c r="M337" s="24">
        <v>0.05</v>
      </c>
      <c r="N337" s="21">
        <f>60+36</f>
        <v>96</v>
      </c>
      <c r="O337" s="22" t="s">
        <v>162</v>
      </c>
      <c r="P337" s="18">
        <f t="shared" si="60"/>
        <v>0</v>
      </c>
      <c r="Q337" s="22" t="s">
        <v>162</v>
      </c>
      <c r="R337" s="23">
        <f t="shared" si="61"/>
        <v>0</v>
      </c>
      <c r="S337" s="23">
        <f t="shared" si="59"/>
        <v>0</v>
      </c>
    </row>
    <row r="338" spans="1:19" s="26" customFormat="1">
      <c r="A338" s="25" t="s">
        <v>286</v>
      </c>
      <c r="B338" s="26" t="s">
        <v>19</v>
      </c>
      <c r="C338" s="27"/>
      <c r="D338" s="28" t="s">
        <v>162</v>
      </c>
      <c r="E338" s="29">
        <f>4+1</f>
        <v>5</v>
      </c>
      <c r="F338" s="30">
        <v>12</v>
      </c>
      <c r="G338" s="31" t="s">
        <v>34</v>
      </c>
      <c r="H338" s="30">
        <v>12</v>
      </c>
      <c r="I338" s="31" t="s">
        <v>162</v>
      </c>
      <c r="J338" s="32">
        <v>18500</v>
      </c>
      <c r="K338" s="28" t="s">
        <v>162</v>
      </c>
      <c r="L338" s="33">
        <v>0.125</v>
      </c>
      <c r="M338" s="33">
        <v>0.05</v>
      </c>
      <c r="N338" s="30">
        <f>60+144</f>
        <v>204</v>
      </c>
      <c r="O338" s="31" t="s">
        <v>162</v>
      </c>
      <c r="P338" s="27">
        <f t="shared" si="60"/>
        <v>516</v>
      </c>
      <c r="Q338" s="31" t="s">
        <v>162</v>
      </c>
      <c r="R338" s="32">
        <f t="shared" si="61"/>
        <v>7935112.5</v>
      </c>
      <c r="S338" s="32">
        <f t="shared" si="59"/>
        <v>7148749.9999999991</v>
      </c>
    </row>
    <row r="339" spans="1:19" s="26" customFormat="1">
      <c r="A339" s="25" t="s">
        <v>287</v>
      </c>
      <c r="B339" s="26" t="s">
        <v>19</v>
      </c>
      <c r="C339" s="27">
        <v>96</v>
      </c>
      <c r="D339" s="28" t="s">
        <v>162</v>
      </c>
      <c r="E339" s="29">
        <v>1</v>
      </c>
      <c r="F339" s="30">
        <v>10</v>
      </c>
      <c r="G339" s="31" t="s">
        <v>34</v>
      </c>
      <c r="H339" s="30">
        <v>24</v>
      </c>
      <c r="I339" s="31" t="s">
        <v>162</v>
      </c>
      <c r="J339" s="32">
        <v>10600</v>
      </c>
      <c r="K339" s="28" t="s">
        <v>162</v>
      </c>
      <c r="L339" s="33">
        <v>0.125</v>
      </c>
      <c r="M339" s="33">
        <v>0.05</v>
      </c>
      <c r="N339" s="30">
        <f>60+12+240</f>
        <v>312</v>
      </c>
      <c r="O339" s="31" t="s">
        <v>162</v>
      </c>
      <c r="P339" s="27">
        <f t="shared" si="60"/>
        <v>24</v>
      </c>
      <c r="Q339" s="31" t="s">
        <v>162</v>
      </c>
      <c r="R339" s="32">
        <f t="shared" si="61"/>
        <v>211470</v>
      </c>
      <c r="S339" s="32">
        <f t="shared" si="59"/>
        <v>190513.51351351349</v>
      </c>
    </row>
    <row r="340" spans="1:19" s="26" customFormat="1">
      <c r="A340" s="25" t="s">
        <v>288</v>
      </c>
      <c r="B340" s="26" t="s">
        <v>19</v>
      </c>
      <c r="C340" s="27">
        <v>179</v>
      </c>
      <c r="D340" s="28" t="s">
        <v>162</v>
      </c>
      <c r="E340" s="29"/>
      <c r="F340" s="30">
        <v>20</v>
      </c>
      <c r="G340" s="31" t="s">
        <v>34</v>
      </c>
      <c r="H340" s="30">
        <v>12</v>
      </c>
      <c r="I340" s="31" t="s">
        <v>162</v>
      </c>
      <c r="J340" s="32">
        <v>4000</v>
      </c>
      <c r="K340" s="28" t="s">
        <v>162</v>
      </c>
      <c r="L340" s="33">
        <v>0.4</v>
      </c>
      <c r="M340" s="33">
        <v>0.05</v>
      </c>
      <c r="N340" s="30"/>
      <c r="O340" s="31" t="s">
        <v>162</v>
      </c>
      <c r="P340" s="27">
        <f t="shared" si="60"/>
        <v>179</v>
      </c>
      <c r="Q340" s="31" t="s">
        <v>162</v>
      </c>
      <c r="R340" s="32">
        <f t="shared" si="61"/>
        <v>408120</v>
      </c>
      <c r="S340" s="32">
        <f t="shared" si="59"/>
        <v>367675.67567567562</v>
      </c>
    </row>
    <row r="341" spans="1:19" s="26" customFormat="1">
      <c r="A341" s="25" t="s">
        <v>843</v>
      </c>
      <c r="B341" s="26" t="s">
        <v>19</v>
      </c>
      <c r="C341" s="27"/>
      <c r="D341" s="28" t="s">
        <v>162</v>
      </c>
      <c r="E341" s="29">
        <v>2</v>
      </c>
      <c r="F341" s="30">
        <v>12</v>
      </c>
      <c r="G341" s="31" t="s">
        <v>34</v>
      </c>
      <c r="H341" s="30">
        <v>12</v>
      </c>
      <c r="I341" s="31" t="s">
        <v>162</v>
      </c>
      <c r="J341" s="32">
        <v>34500</v>
      </c>
      <c r="K341" s="28" t="s">
        <v>162</v>
      </c>
      <c r="L341" s="33">
        <v>0.125</v>
      </c>
      <c r="M341" s="33">
        <v>0.05</v>
      </c>
      <c r="N341" s="30">
        <f>24+24+12</f>
        <v>60</v>
      </c>
      <c r="O341" s="31" t="s">
        <v>162</v>
      </c>
      <c r="P341" s="27">
        <f t="shared" ref="P341" si="62">(C341+(E341*F341*H341))-N341</f>
        <v>228</v>
      </c>
      <c r="Q341" s="31" t="s">
        <v>162</v>
      </c>
      <c r="R341" s="32">
        <f t="shared" ref="R341" si="63">P341*(J341-(J341*L341)-((J341-(J341*L341))*M341))</f>
        <v>6538612.5</v>
      </c>
      <c r="S341" s="32">
        <f t="shared" ref="S341" si="64">R341/1.11</f>
        <v>5890641.8918918911</v>
      </c>
    </row>
    <row r="342" spans="1:19">
      <c r="S342" s="23"/>
    </row>
    <row r="343" spans="1:19" ht="15.75">
      <c r="A343" s="14" t="s">
        <v>289</v>
      </c>
      <c r="S343" s="23"/>
    </row>
    <row r="344" spans="1:19">
      <c r="A344" s="15" t="s">
        <v>290</v>
      </c>
      <c r="S344" s="23"/>
    </row>
    <row r="345" spans="1:19" s="45" customFormat="1">
      <c r="A345" s="44" t="s">
        <v>291</v>
      </c>
      <c r="B345" s="45" t="s">
        <v>19</v>
      </c>
      <c r="C345" s="46">
        <v>270</v>
      </c>
      <c r="D345" s="47" t="s">
        <v>292</v>
      </c>
      <c r="E345" s="48">
        <v>5</v>
      </c>
      <c r="F345" s="49">
        <v>100</v>
      </c>
      <c r="G345" s="50" t="s">
        <v>104</v>
      </c>
      <c r="H345" s="49">
        <v>10</v>
      </c>
      <c r="I345" s="50" t="s">
        <v>292</v>
      </c>
      <c r="J345" s="51">
        <v>2050</v>
      </c>
      <c r="K345" s="47" t="s">
        <v>292</v>
      </c>
      <c r="L345" s="52">
        <v>0.125</v>
      </c>
      <c r="M345" s="52">
        <v>0.05</v>
      </c>
      <c r="N345" s="49">
        <f>1000+1000+2000+1000</f>
        <v>5000</v>
      </c>
      <c r="O345" s="50" t="s">
        <v>292</v>
      </c>
      <c r="P345" s="46">
        <f t="shared" ref="P345:P356" si="65">(C345+(E345*F345*H345))-N345</f>
        <v>270</v>
      </c>
      <c r="Q345" s="50" t="s">
        <v>292</v>
      </c>
      <c r="R345" s="51">
        <f t="shared" ref="R345:R356" si="66">P345*(J345-(J345*L345)-((J345-(J345*L345))*M345))</f>
        <v>460096.875</v>
      </c>
      <c r="S345" s="51">
        <f t="shared" si="59"/>
        <v>414501.68918918917</v>
      </c>
    </row>
    <row r="346" spans="1:19" s="63" customFormat="1">
      <c r="A346" s="72" t="s">
        <v>293</v>
      </c>
      <c r="B346" s="63" t="s">
        <v>19</v>
      </c>
      <c r="C346" s="64">
        <v>700</v>
      </c>
      <c r="D346" s="65" t="s">
        <v>292</v>
      </c>
      <c r="E346" s="66"/>
      <c r="F346" s="67">
        <v>100</v>
      </c>
      <c r="G346" s="68" t="s">
        <v>104</v>
      </c>
      <c r="H346" s="67">
        <v>10</v>
      </c>
      <c r="I346" s="68" t="s">
        <v>292</v>
      </c>
      <c r="J346" s="69">
        <v>2900</v>
      </c>
      <c r="K346" s="65" t="s">
        <v>292</v>
      </c>
      <c r="L346" s="70">
        <v>0.125</v>
      </c>
      <c r="M346" s="70">
        <v>0.05</v>
      </c>
      <c r="N346" s="67">
        <f>200+(50*10)</f>
        <v>700</v>
      </c>
      <c r="O346" s="68" t="s">
        <v>292</v>
      </c>
      <c r="P346" s="64">
        <f t="shared" si="65"/>
        <v>0</v>
      </c>
      <c r="Q346" s="68" t="s">
        <v>292</v>
      </c>
      <c r="R346" s="69">
        <f t="shared" si="66"/>
        <v>0</v>
      </c>
      <c r="S346" s="23">
        <f t="shared" si="59"/>
        <v>0</v>
      </c>
    </row>
    <row r="347" spans="1:19" s="63" customFormat="1">
      <c r="A347" s="72" t="s">
        <v>294</v>
      </c>
      <c r="B347" s="63" t="s">
        <v>19</v>
      </c>
      <c r="C347" s="64"/>
      <c r="D347" s="65" t="s">
        <v>292</v>
      </c>
      <c r="E347" s="66"/>
      <c r="F347" s="67">
        <v>50</v>
      </c>
      <c r="G347" s="68" t="s">
        <v>104</v>
      </c>
      <c r="H347" s="67">
        <v>10</v>
      </c>
      <c r="I347" s="68" t="s">
        <v>292</v>
      </c>
      <c r="J347" s="69">
        <v>3050</v>
      </c>
      <c r="K347" s="65" t="s">
        <v>292</v>
      </c>
      <c r="L347" s="70">
        <v>0.125</v>
      </c>
      <c r="M347" s="70">
        <v>0.05</v>
      </c>
      <c r="N347" s="67"/>
      <c r="O347" s="68" t="s">
        <v>292</v>
      </c>
      <c r="P347" s="64">
        <f t="shared" si="65"/>
        <v>0</v>
      </c>
      <c r="Q347" s="68" t="s">
        <v>292</v>
      </c>
      <c r="R347" s="69">
        <f t="shared" si="66"/>
        <v>0</v>
      </c>
      <c r="S347" s="69">
        <f t="shared" si="59"/>
        <v>0</v>
      </c>
    </row>
    <row r="348" spans="1:19" s="45" customFormat="1">
      <c r="A348" s="44" t="s">
        <v>295</v>
      </c>
      <c r="B348" s="45" t="s">
        <v>19</v>
      </c>
      <c r="C348" s="46">
        <v>700</v>
      </c>
      <c r="D348" s="47" t="s">
        <v>292</v>
      </c>
      <c r="E348" s="48"/>
      <c r="F348" s="49">
        <v>50</v>
      </c>
      <c r="G348" s="50" t="s">
        <v>104</v>
      </c>
      <c r="H348" s="49">
        <v>10</v>
      </c>
      <c r="I348" s="50" t="s">
        <v>292</v>
      </c>
      <c r="J348" s="51">
        <v>4200</v>
      </c>
      <c r="K348" s="47" t="s">
        <v>292</v>
      </c>
      <c r="L348" s="52">
        <v>0.125</v>
      </c>
      <c r="M348" s="52">
        <v>0.05</v>
      </c>
      <c r="N348" s="49">
        <v>200</v>
      </c>
      <c r="O348" s="50" t="s">
        <v>292</v>
      </c>
      <c r="P348" s="46">
        <f t="shared" si="65"/>
        <v>500</v>
      </c>
      <c r="Q348" s="50" t="s">
        <v>292</v>
      </c>
      <c r="R348" s="51">
        <f t="shared" si="66"/>
        <v>1745625</v>
      </c>
      <c r="S348" s="51">
        <f t="shared" si="59"/>
        <v>1572635.1351351349</v>
      </c>
    </row>
    <row r="349" spans="1:19" s="45" customFormat="1">
      <c r="A349" s="108" t="s">
        <v>296</v>
      </c>
      <c r="B349" s="45" t="s">
        <v>19</v>
      </c>
      <c r="C349" s="46">
        <v>1500</v>
      </c>
      <c r="D349" s="47" t="s">
        <v>292</v>
      </c>
      <c r="E349" s="48"/>
      <c r="F349" s="49">
        <v>50</v>
      </c>
      <c r="G349" s="50" t="s">
        <v>104</v>
      </c>
      <c r="H349" s="49">
        <v>10</v>
      </c>
      <c r="I349" s="50" t="s">
        <v>292</v>
      </c>
      <c r="J349" s="51">
        <v>4300</v>
      </c>
      <c r="K349" s="47" t="s">
        <v>292</v>
      </c>
      <c r="L349" s="52">
        <v>0.125</v>
      </c>
      <c r="M349" s="52">
        <v>0.05</v>
      </c>
      <c r="N349" s="49"/>
      <c r="O349" s="50" t="s">
        <v>292</v>
      </c>
      <c r="P349" s="46">
        <f t="shared" si="65"/>
        <v>1500</v>
      </c>
      <c r="Q349" s="50" t="s">
        <v>292</v>
      </c>
      <c r="R349" s="51">
        <f t="shared" si="66"/>
        <v>5361562.5</v>
      </c>
      <c r="S349" s="32">
        <f t="shared" si="59"/>
        <v>4830236.4864864862</v>
      </c>
    </row>
    <row r="350" spans="1:19" s="17" customFormat="1">
      <c r="A350" s="109" t="s">
        <v>297</v>
      </c>
      <c r="B350" s="17" t="s">
        <v>19</v>
      </c>
      <c r="C350" s="18"/>
      <c r="D350" s="19" t="s">
        <v>292</v>
      </c>
      <c r="E350" s="20"/>
      <c r="F350" s="21">
        <v>100</v>
      </c>
      <c r="G350" s="22" t="s">
        <v>104</v>
      </c>
      <c r="H350" s="21">
        <v>10</v>
      </c>
      <c r="I350" s="22" t="s">
        <v>292</v>
      </c>
      <c r="J350" s="23">
        <v>3000</v>
      </c>
      <c r="K350" s="19" t="s">
        <v>292</v>
      </c>
      <c r="L350" s="24">
        <v>0.125</v>
      </c>
      <c r="M350" s="24">
        <v>0.05</v>
      </c>
      <c r="N350" s="21"/>
      <c r="O350" s="22" t="s">
        <v>292</v>
      </c>
      <c r="P350" s="18">
        <f t="shared" si="65"/>
        <v>0</v>
      </c>
      <c r="Q350" s="22" t="s">
        <v>292</v>
      </c>
      <c r="R350" s="23">
        <f t="shared" si="66"/>
        <v>0</v>
      </c>
      <c r="S350" s="23">
        <f t="shared" si="59"/>
        <v>0</v>
      </c>
    </row>
    <row r="351" spans="1:19" s="17" customFormat="1">
      <c r="A351" s="109" t="s">
        <v>298</v>
      </c>
      <c r="B351" s="17" t="s">
        <v>19</v>
      </c>
      <c r="C351" s="18"/>
      <c r="D351" s="19" t="s">
        <v>292</v>
      </c>
      <c r="E351" s="20"/>
      <c r="F351" s="21">
        <v>100</v>
      </c>
      <c r="G351" s="22" t="s">
        <v>104</v>
      </c>
      <c r="H351" s="21">
        <v>10</v>
      </c>
      <c r="I351" s="22" t="s">
        <v>292</v>
      </c>
      <c r="J351" s="23">
        <v>3000</v>
      </c>
      <c r="K351" s="19" t="s">
        <v>292</v>
      </c>
      <c r="L351" s="24">
        <v>0.125</v>
      </c>
      <c r="M351" s="24">
        <v>0.05</v>
      </c>
      <c r="N351" s="21"/>
      <c r="O351" s="22" t="s">
        <v>292</v>
      </c>
      <c r="P351" s="18">
        <f t="shared" si="65"/>
        <v>0</v>
      </c>
      <c r="Q351" s="22" t="s">
        <v>292</v>
      </c>
      <c r="R351" s="23">
        <f t="shared" si="66"/>
        <v>0</v>
      </c>
      <c r="S351" s="23">
        <f t="shared" si="59"/>
        <v>0</v>
      </c>
    </row>
    <row r="352" spans="1:19" s="17" customFormat="1">
      <c r="A352" s="109" t="s">
        <v>299</v>
      </c>
      <c r="B352" s="17" t="s">
        <v>19</v>
      </c>
      <c r="C352" s="18"/>
      <c r="D352" s="19" t="s">
        <v>292</v>
      </c>
      <c r="E352" s="20"/>
      <c r="F352" s="21">
        <v>50</v>
      </c>
      <c r="G352" s="22" t="s">
        <v>104</v>
      </c>
      <c r="H352" s="21">
        <v>10</v>
      </c>
      <c r="I352" s="22" t="s">
        <v>292</v>
      </c>
      <c r="J352" s="23">
        <v>4300</v>
      </c>
      <c r="K352" s="19" t="s">
        <v>292</v>
      </c>
      <c r="L352" s="24">
        <v>0.125</v>
      </c>
      <c r="M352" s="24">
        <v>0.05</v>
      </c>
      <c r="N352" s="21"/>
      <c r="O352" s="22" t="s">
        <v>292</v>
      </c>
      <c r="P352" s="18">
        <f t="shared" si="65"/>
        <v>0</v>
      </c>
      <c r="Q352" s="22" t="s">
        <v>292</v>
      </c>
      <c r="R352" s="23">
        <f t="shared" si="66"/>
        <v>0</v>
      </c>
      <c r="S352" s="23">
        <f t="shared" si="59"/>
        <v>0</v>
      </c>
    </row>
    <row r="353" spans="1:19" s="17" customFormat="1">
      <c r="A353" s="109" t="s">
        <v>300</v>
      </c>
      <c r="B353" s="17" t="s">
        <v>19</v>
      </c>
      <c r="C353" s="18"/>
      <c r="D353" s="19" t="s">
        <v>104</v>
      </c>
      <c r="E353" s="20"/>
      <c r="F353" s="21">
        <v>1</v>
      </c>
      <c r="G353" s="22" t="s">
        <v>21</v>
      </c>
      <c r="H353" s="21">
        <v>50</v>
      </c>
      <c r="I353" s="22" t="s">
        <v>104</v>
      </c>
      <c r="J353" s="23">
        <v>15500</v>
      </c>
      <c r="K353" s="19" t="s">
        <v>104</v>
      </c>
      <c r="L353" s="24">
        <v>0.125</v>
      </c>
      <c r="M353" s="24">
        <v>0.05</v>
      </c>
      <c r="N353" s="21"/>
      <c r="O353" s="22" t="s">
        <v>104</v>
      </c>
      <c r="P353" s="18">
        <f t="shared" si="65"/>
        <v>0</v>
      </c>
      <c r="Q353" s="22" t="s">
        <v>104</v>
      </c>
      <c r="R353" s="23">
        <f t="shared" si="66"/>
        <v>0</v>
      </c>
      <c r="S353" s="23">
        <f t="shared" si="59"/>
        <v>0</v>
      </c>
    </row>
    <row r="354" spans="1:19" s="17" customFormat="1">
      <c r="A354" s="71"/>
      <c r="C354" s="18"/>
      <c r="D354" s="19"/>
      <c r="E354" s="20"/>
      <c r="F354" s="21"/>
      <c r="G354" s="22"/>
      <c r="H354" s="21"/>
      <c r="I354" s="22"/>
      <c r="J354" s="23"/>
      <c r="K354" s="19"/>
      <c r="L354" s="24"/>
      <c r="M354" s="24"/>
      <c r="N354" s="21"/>
      <c r="O354" s="22"/>
      <c r="P354" s="18"/>
      <c r="Q354" s="22"/>
      <c r="R354" s="23"/>
      <c r="S354" s="23"/>
    </row>
    <row r="355" spans="1:19" s="45" customFormat="1">
      <c r="A355" s="44" t="s">
        <v>301</v>
      </c>
      <c r="B355" s="45" t="s">
        <v>26</v>
      </c>
      <c r="C355" s="46">
        <v>320</v>
      </c>
      <c r="D355" s="47" t="s">
        <v>302</v>
      </c>
      <c r="E355" s="48">
        <f>2+10</f>
        <v>12</v>
      </c>
      <c r="F355" s="49">
        <v>1</v>
      </c>
      <c r="G355" s="50" t="s">
        <v>21</v>
      </c>
      <c r="H355" s="49">
        <v>50</v>
      </c>
      <c r="I355" s="50" t="s">
        <v>302</v>
      </c>
      <c r="J355" s="51">
        <f>1050000/50</f>
        <v>21000</v>
      </c>
      <c r="K355" s="47" t="s">
        <v>302</v>
      </c>
      <c r="L355" s="52"/>
      <c r="M355" s="52">
        <v>0.17</v>
      </c>
      <c r="N355" s="49">
        <f>(1000/10)+(1000/10)+(1000/10)+(500/10)+(500/10)+10+(500/10)+(500/10)+10+100</f>
        <v>620</v>
      </c>
      <c r="O355" s="50" t="s">
        <v>302</v>
      </c>
      <c r="P355" s="46">
        <f t="shared" si="65"/>
        <v>300</v>
      </c>
      <c r="Q355" s="50" t="s">
        <v>302</v>
      </c>
      <c r="R355" s="51">
        <f t="shared" si="66"/>
        <v>5229000</v>
      </c>
      <c r="S355" s="51">
        <f t="shared" si="59"/>
        <v>4710810.81081081</v>
      </c>
    </row>
    <row r="356" spans="1:19">
      <c r="A356" s="159" t="s">
        <v>303</v>
      </c>
      <c r="B356" s="160" t="s">
        <v>26</v>
      </c>
      <c r="C356" s="161">
        <v>320</v>
      </c>
      <c r="D356" s="162" t="s">
        <v>302</v>
      </c>
      <c r="E356" s="163"/>
      <c r="F356" s="164">
        <v>1</v>
      </c>
      <c r="G356" s="165" t="s">
        <v>21</v>
      </c>
      <c r="H356" s="164">
        <v>50</v>
      </c>
      <c r="I356" s="165" t="s">
        <v>302</v>
      </c>
      <c r="J356" s="166">
        <f>1275000/50</f>
        <v>25500</v>
      </c>
      <c r="K356" s="162" t="s">
        <v>302</v>
      </c>
      <c r="L356" s="167"/>
      <c r="M356" s="167">
        <v>0.17</v>
      </c>
      <c r="N356" s="164">
        <f>(500/10)+10+30</f>
        <v>90</v>
      </c>
      <c r="O356" s="165" t="s">
        <v>302</v>
      </c>
      <c r="P356" s="161">
        <f t="shared" si="65"/>
        <v>230</v>
      </c>
      <c r="Q356" s="165" t="s">
        <v>302</v>
      </c>
      <c r="R356" s="166">
        <f t="shared" si="66"/>
        <v>4867950</v>
      </c>
      <c r="S356" s="42">
        <f t="shared" si="59"/>
        <v>4385540.5405405406</v>
      </c>
    </row>
    <row r="357" spans="1:19">
      <c r="A357" s="159" t="s">
        <v>303</v>
      </c>
      <c r="B357" s="160" t="s">
        <v>26</v>
      </c>
      <c r="C357" s="161"/>
      <c r="D357" s="162" t="s">
        <v>302</v>
      </c>
      <c r="E357" s="163">
        <v>5</v>
      </c>
      <c r="F357" s="164">
        <v>1</v>
      </c>
      <c r="G357" s="165" t="s">
        <v>21</v>
      </c>
      <c r="H357" s="164">
        <v>50</v>
      </c>
      <c r="I357" s="165" t="s">
        <v>302</v>
      </c>
      <c r="J357" s="166">
        <f>1350000/50</f>
        <v>27000</v>
      </c>
      <c r="K357" s="162" t="s">
        <v>302</v>
      </c>
      <c r="L357" s="167"/>
      <c r="M357" s="167">
        <v>0.17</v>
      </c>
      <c r="N357" s="164"/>
      <c r="O357" s="165" t="s">
        <v>302</v>
      </c>
      <c r="P357" s="161">
        <f t="shared" ref="P357" si="67">(C357+(E357*F357*H357))-N357</f>
        <v>250</v>
      </c>
      <c r="Q357" s="165" t="s">
        <v>302</v>
      </c>
      <c r="R357" s="166">
        <f t="shared" ref="R357" si="68">P357*(J357-(J357*L357)-((J357-(J357*L357))*M357))</f>
        <v>5602500</v>
      </c>
      <c r="S357" s="42">
        <f t="shared" ref="S357" si="69">R357/1.11</f>
        <v>5047297.297297297</v>
      </c>
    </row>
    <row r="358" spans="1:19" s="85" customFormat="1">
      <c r="A358" s="84"/>
      <c r="C358" s="86"/>
      <c r="D358" s="87"/>
      <c r="E358" s="92"/>
      <c r="F358" s="88"/>
      <c r="G358" s="89"/>
      <c r="H358" s="88"/>
      <c r="I358" s="89"/>
      <c r="J358" s="90"/>
      <c r="K358" s="87"/>
      <c r="L358" s="91"/>
      <c r="M358" s="91"/>
      <c r="N358" s="88"/>
      <c r="O358" s="89"/>
      <c r="P358" s="86"/>
      <c r="Q358" s="89"/>
      <c r="R358" s="90"/>
      <c r="S358" s="51"/>
    </row>
    <row r="359" spans="1:19">
      <c r="A359" s="15" t="s">
        <v>304</v>
      </c>
      <c r="S359" s="23"/>
    </row>
    <row r="360" spans="1:19" s="45" customFormat="1">
      <c r="A360" s="44" t="s">
        <v>305</v>
      </c>
      <c r="B360" s="45" t="s">
        <v>19</v>
      </c>
      <c r="C360" s="46"/>
      <c r="D360" s="47" t="s">
        <v>20</v>
      </c>
      <c r="E360" s="48">
        <v>5</v>
      </c>
      <c r="F360" s="49">
        <v>1</v>
      </c>
      <c r="G360" s="50" t="s">
        <v>21</v>
      </c>
      <c r="H360" s="49">
        <v>20</v>
      </c>
      <c r="I360" s="50" t="s">
        <v>20</v>
      </c>
      <c r="J360" s="51">
        <v>40500</v>
      </c>
      <c r="K360" s="47" t="s">
        <v>20</v>
      </c>
      <c r="L360" s="52">
        <v>0.125</v>
      </c>
      <c r="M360" s="52">
        <v>0.05</v>
      </c>
      <c r="N360" s="49">
        <f>20+60+6</f>
        <v>86</v>
      </c>
      <c r="O360" s="50" t="s">
        <v>20</v>
      </c>
      <c r="P360" s="46">
        <f t="shared" ref="P360:P364" si="70">(C360+(E360*F360*H360))-N360</f>
        <v>14</v>
      </c>
      <c r="Q360" s="50" t="s">
        <v>20</v>
      </c>
      <c r="R360" s="51">
        <f t="shared" ref="R360:R364" si="71">P360*(J360-(J360*L360)-((J360-(J360*L360))*M360))</f>
        <v>471318.75</v>
      </c>
      <c r="S360" s="51">
        <f t="shared" si="59"/>
        <v>424611.48648648645</v>
      </c>
    </row>
    <row r="361" spans="1:19" s="63" customFormat="1">
      <c r="A361" s="72"/>
      <c r="C361" s="64"/>
      <c r="D361" s="65"/>
      <c r="E361" s="66"/>
      <c r="F361" s="67"/>
      <c r="G361" s="68"/>
      <c r="H361" s="67"/>
      <c r="I361" s="68"/>
      <c r="J361" s="69"/>
      <c r="K361" s="65"/>
      <c r="L361" s="70"/>
      <c r="M361" s="70"/>
      <c r="N361" s="67"/>
      <c r="O361" s="68"/>
      <c r="P361" s="64"/>
      <c r="Q361" s="68"/>
      <c r="R361" s="69"/>
      <c r="S361" s="69"/>
    </row>
    <row r="362" spans="1:19" s="63" customFormat="1">
      <c r="A362" s="72" t="s">
        <v>306</v>
      </c>
      <c r="B362" s="63" t="s">
        <v>26</v>
      </c>
      <c r="C362" s="64">
        <f>46+4</f>
        <v>50</v>
      </c>
      <c r="D362" s="65" t="s">
        <v>20</v>
      </c>
      <c r="E362" s="66">
        <v>1</v>
      </c>
      <c r="F362" s="67">
        <v>1</v>
      </c>
      <c r="G362" s="68" t="s">
        <v>21</v>
      </c>
      <c r="H362" s="67">
        <v>50</v>
      </c>
      <c r="I362" s="68" t="s">
        <v>20</v>
      </c>
      <c r="J362" s="69">
        <f>2250000/50</f>
        <v>45000</v>
      </c>
      <c r="K362" s="65" t="s">
        <v>20</v>
      </c>
      <c r="L362" s="70"/>
      <c r="M362" s="70">
        <v>0.17</v>
      </c>
      <c r="N362" s="67">
        <f>25+13+12+50</f>
        <v>100</v>
      </c>
      <c r="O362" s="68" t="s">
        <v>20</v>
      </c>
      <c r="P362" s="64">
        <f t="shared" si="70"/>
        <v>0</v>
      </c>
      <c r="Q362" s="68" t="s">
        <v>20</v>
      </c>
      <c r="R362" s="69">
        <f t="shared" si="71"/>
        <v>0</v>
      </c>
      <c r="S362" s="69">
        <f t="shared" si="59"/>
        <v>0</v>
      </c>
    </row>
    <row r="363" spans="1:19" s="85" customFormat="1">
      <c r="A363" s="84" t="s">
        <v>307</v>
      </c>
      <c r="B363" s="85" t="s">
        <v>26</v>
      </c>
      <c r="C363" s="86">
        <v>11</v>
      </c>
      <c r="D363" s="87" t="s">
        <v>20</v>
      </c>
      <c r="E363" s="92"/>
      <c r="F363" s="88">
        <v>1</v>
      </c>
      <c r="G363" s="89" t="s">
        <v>21</v>
      </c>
      <c r="H363" s="88">
        <v>50</v>
      </c>
      <c r="I363" s="89" t="s">
        <v>20</v>
      </c>
      <c r="J363" s="90">
        <f>2750000/50</f>
        <v>55000</v>
      </c>
      <c r="K363" s="87" t="s">
        <v>20</v>
      </c>
      <c r="L363" s="91"/>
      <c r="M363" s="91">
        <v>0.17</v>
      </c>
      <c r="N363" s="88"/>
      <c r="O363" s="89" t="s">
        <v>20</v>
      </c>
      <c r="P363" s="86">
        <f t="shared" si="70"/>
        <v>11</v>
      </c>
      <c r="Q363" s="89" t="s">
        <v>20</v>
      </c>
      <c r="R363" s="90">
        <f t="shared" si="71"/>
        <v>502150</v>
      </c>
      <c r="S363" s="32">
        <f t="shared" si="59"/>
        <v>452387.38738738734</v>
      </c>
    </row>
    <row r="364" spans="1:19" s="26" customFormat="1">
      <c r="A364" s="94" t="s">
        <v>308</v>
      </c>
      <c r="B364" s="26" t="s">
        <v>26</v>
      </c>
      <c r="C364" s="27">
        <v>64</v>
      </c>
      <c r="D364" s="28" t="s">
        <v>20</v>
      </c>
      <c r="E364" s="29"/>
      <c r="F364" s="30">
        <v>1</v>
      </c>
      <c r="G364" s="31" t="s">
        <v>21</v>
      </c>
      <c r="H364" s="30">
        <v>50</v>
      </c>
      <c r="I364" s="31" t="s">
        <v>20</v>
      </c>
      <c r="J364" s="32">
        <f>4750000/50</f>
        <v>95000</v>
      </c>
      <c r="K364" s="28" t="s">
        <v>20</v>
      </c>
      <c r="L364" s="33"/>
      <c r="M364" s="33">
        <v>0.17</v>
      </c>
      <c r="N364" s="30"/>
      <c r="O364" s="31" t="s">
        <v>20</v>
      </c>
      <c r="P364" s="27">
        <f t="shared" si="70"/>
        <v>64</v>
      </c>
      <c r="Q364" s="31" t="s">
        <v>20</v>
      </c>
      <c r="R364" s="32">
        <f t="shared" si="71"/>
        <v>5046400</v>
      </c>
      <c r="S364" s="32">
        <f t="shared" si="59"/>
        <v>4546306.3063063063</v>
      </c>
    </row>
    <row r="365" spans="1:19">
      <c r="S365" s="23"/>
    </row>
    <row r="366" spans="1:19" ht="15.75">
      <c r="A366" s="14" t="s">
        <v>309</v>
      </c>
      <c r="S366" s="23"/>
    </row>
    <row r="367" spans="1:19" s="17" customFormat="1">
      <c r="A367" s="16" t="s">
        <v>310</v>
      </c>
      <c r="B367" s="17" t="s">
        <v>19</v>
      </c>
      <c r="C367" s="18"/>
      <c r="D367" s="19" t="s">
        <v>104</v>
      </c>
      <c r="E367" s="20"/>
      <c r="F367" s="21">
        <v>1</v>
      </c>
      <c r="G367" s="22" t="s">
        <v>21</v>
      </c>
      <c r="H367" s="21">
        <v>10</v>
      </c>
      <c r="I367" s="22" t="s">
        <v>104</v>
      </c>
      <c r="J367" s="23">
        <v>114000</v>
      </c>
      <c r="K367" s="19" t="s">
        <v>104</v>
      </c>
      <c r="L367" s="24">
        <v>0.125</v>
      </c>
      <c r="M367" s="24">
        <v>0.05</v>
      </c>
      <c r="N367" s="21"/>
      <c r="O367" s="22" t="s">
        <v>104</v>
      </c>
      <c r="P367" s="18">
        <f>(C367+(E367*F367*H367))-N367</f>
        <v>0</v>
      </c>
      <c r="Q367" s="22" t="s">
        <v>104</v>
      </c>
      <c r="R367" s="23">
        <f>P367*(J367-(J367*L367)-((J367-(J367*L367))*M367))</f>
        <v>0</v>
      </c>
      <c r="S367" s="23">
        <f t="shared" si="59"/>
        <v>0</v>
      </c>
    </row>
    <row r="368" spans="1:19" s="17" customFormat="1">
      <c r="A368" s="16"/>
      <c r="C368" s="18"/>
      <c r="D368" s="19"/>
      <c r="E368" s="20"/>
      <c r="F368" s="21"/>
      <c r="G368" s="22"/>
      <c r="H368" s="21"/>
      <c r="I368" s="22"/>
      <c r="J368" s="23"/>
      <c r="K368" s="19"/>
      <c r="L368" s="24"/>
      <c r="M368" s="24"/>
      <c r="N368" s="21"/>
      <c r="O368" s="22"/>
      <c r="P368" s="18"/>
      <c r="Q368" s="22"/>
      <c r="R368" s="23"/>
      <c r="S368" s="23"/>
    </row>
    <row r="369" spans="1:19" s="26" customFormat="1">
      <c r="A369" s="25" t="s">
        <v>311</v>
      </c>
      <c r="B369" s="26" t="s">
        <v>26</v>
      </c>
      <c r="C369" s="27">
        <v>130</v>
      </c>
      <c r="D369" s="28" t="s">
        <v>104</v>
      </c>
      <c r="E369" s="29"/>
      <c r="F369" s="30">
        <v>1</v>
      </c>
      <c r="G369" s="31" t="s">
        <v>21</v>
      </c>
      <c r="H369" s="30">
        <v>10</v>
      </c>
      <c r="I369" s="31" t="s">
        <v>104</v>
      </c>
      <c r="J369" s="32">
        <f>1150000/10</f>
        <v>115000</v>
      </c>
      <c r="K369" s="28" t="s">
        <v>104</v>
      </c>
      <c r="L369" s="33"/>
      <c r="M369" s="33">
        <v>0.17</v>
      </c>
      <c r="N369" s="30">
        <v>30</v>
      </c>
      <c r="O369" s="31" t="s">
        <v>104</v>
      </c>
      <c r="P369" s="27">
        <f>(C369+(E369*F369*H369))-N369</f>
        <v>100</v>
      </c>
      <c r="Q369" s="31" t="s">
        <v>104</v>
      </c>
      <c r="R369" s="32">
        <f>P369*(J369-(J369*L369)-((J369-(J369*L369))*M369))</f>
        <v>9545000</v>
      </c>
      <c r="S369" s="32">
        <f t="shared" si="59"/>
        <v>8599099.0990990978</v>
      </c>
    </row>
    <row r="370" spans="1:19">
      <c r="S370" s="23"/>
    </row>
    <row r="371" spans="1:19" ht="15.75">
      <c r="A371" s="14" t="s">
        <v>312</v>
      </c>
      <c r="S371" s="23"/>
    </row>
    <row r="372" spans="1:19">
      <c r="A372" s="15" t="s">
        <v>313</v>
      </c>
      <c r="S372" s="23"/>
    </row>
    <row r="373" spans="1:19" s="17" customFormat="1">
      <c r="A373" s="16" t="s">
        <v>314</v>
      </c>
      <c r="B373" s="17" t="s">
        <v>19</v>
      </c>
      <c r="C373" s="18"/>
      <c r="D373" s="19" t="s">
        <v>43</v>
      </c>
      <c r="E373" s="20"/>
      <c r="F373" s="21">
        <v>48</v>
      </c>
      <c r="G373" s="22" t="s">
        <v>34</v>
      </c>
      <c r="H373" s="21">
        <v>1</v>
      </c>
      <c r="I373" s="22" t="s">
        <v>43</v>
      </c>
      <c r="J373" s="23">
        <f>1625*12</f>
        <v>19500</v>
      </c>
      <c r="K373" s="19" t="s">
        <v>43</v>
      </c>
      <c r="L373" s="24">
        <v>0.125</v>
      </c>
      <c r="M373" s="24">
        <v>0.05</v>
      </c>
      <c r="N373" s="21"/>
      <c r="O373" s="22" t="s">
        <v>43</v>
      </c>
      <c r="P373" s="18">
        <f t="shared" ref="P373:P381" si="72">(C373+(E373*F373*H373))-N373</f>
        <v>0</v>
      </c>
      <c r="Q373" s="22" t="s">
        <v>43</v>
      </c>
      <c r="R373" s="23">
        <f t="shared" ref="R373:R381" si="73">P373*(J373-(J373*L373)-((J373-(J373*L373))*M373))</f>
        <v>0</v>
      </c>
      <c r="S373" s="23">
        <f t="shared" si="59"/>
        <v>0</v>
      </c>
    </row>
    <row r="374" spans="1:19" s="26" customFormat="1">
      <c r="A374" s="25" t="s">
        <v>828</v>
      </c>
      <c r="B374" s="26" t="s">
        <v>19</v>
      </c>
      <c r="C374" s="27">
        <v>24</v>
      </c>
      <c r="D374" s="28" t="s">
        <v>43</v>
      </c>
      <c r="E374" s="29"/>
      <c r="F374" s="30">
        <v>24</v>
      </c>
      <c r="G374" s="31" t="s">
        <v>34</v>
      </c>
      <c r="H374" s="30">
        <v>1</v>
      </c>
      <c r="I374" s="31" t="s">
        <v>43</v>
      </c>
      <c r="J374" s="32">
        <f>2500*12</f>
        <v>30000</v>
      </c>
      <c r="K374" s="28" t="s">
        <v>43</v>
      </c>
      <c r="L374" s="33">
        <v>0.125</v>
      </c>
      <c r="M374" s="33">
        <v>0.05</v>
      </c>
      <c r="N374" s="30"/>
      <c r="O374" s="31" t="s">
        <v>43</v>
      </c>
      <c r="P374" s="27">
        <f t="shared" si="72"/>
        <v>24</v>
      </c>
      <c r="Q374" s="31" t="s">
        <v>43</v>
      </c>
      <c r="R374" s="32">
        <f t="shared" si="73"/>
        <v>598500</v>
      </c>
      <c r="S374" s="32">
        <f t="shared" si="59"/>
        <v>539189.18918918911</v>
      </c>
    </row>
    <row r="375" spans="1:19" s="17" customFormat="1">
      <c r="A375" s="71" t="s">
        <v>315</v>
      </c>
      <c r="B375" s="17" t="s">
        <v>19</v>
      </c>
      <c r="C375" s="18"/>
      <c r="D375" s="19" t="s">
        <v>43</v>
      </c>
      <c r="E375" s="20"/>
      <c r="F375" s="21">
        <v>48</v>
      </c>
      <c r="G375" s="22" t="s">
        <v>34</v>
      </c>
      <c r="H375" s="21">
        <v>1</v>
      </c>
      <c r="I375" s="22" t="s">
        <v>43</v>
      </c>
      <c r="J375" s="23">
        <f>1550*12</f>
        <v>18600</v>
      </c>
      <c r="K375" s="19" t="s">
        <v>43</v>
      </c>
      <c r="L375" s="24">
        <v>0.125</v>
      </c>
      <c r="M375" s="24">
        <v>0.05</v>
      </c>
      <c r="N375" s="21"/>
      <c r="O375" s="22" t="s">
        <v>43</v>
      </c>
      <c r="P375" s="18">
        <f t="shared" si="72"/>
        <v>0</v>
      </c>
      <c r="Q375" s="22" t="s">
        <v>43</v>
      </c>
      <c r="R375" s="23">
        <f t="shared" si="73"/>
        <v>0</v>
      </c>
      <c r="S375" s="23">
        <f t="shared" si="59"/>
        <v>0</v>
      </c>
    </row>
    <row r="376" spans="1:19" s="17" customFormat="1">
      <c r="A376" s="71" t="s">
        <v>316</v>
      </c>
      <c r="B376" s="17" t="s">
        <v>19</v>
      </c>
      <c r="C376" s="18">
        <v>24</v>
      </c>
      <c r="D376" s="19" t="s">
        <v>43</v>
      </c>
      <c r="E376" s="20"/>
      <c r="F376" s="21">
        <v>24</v>
      </c>
      <c r="G376" s="22" t="s">
        <v>34</v>
      </c>
      <c r="H376" s="21">
        <v>1</v>
      </c>
      <c r="I376" s="22" t="s">
        <v>43</v>
      </c>
      <c r="J376" s="23">
        <f>2150*12</f>
        <v>25800</v>
      </c>
      <c r="K376" s="19" t="s">
        <v>43</v>
      </c>
      <c r="L376" s="24">
        <v>0.125</v>
      </c>
      <c r="M376" s="24">
        <v>0.05</v>
      </c>
      <c r="N376" s="21">
        <v>24</v>
      </c>
      <c r="O376" s="22" t="s">
        <v>43</v>
      </c>
      <c r="P376" s="18">
        <f t="shared" si="72"/>
        <v>0</v>
      </c>
      <c r="Q376" s="22" t="s">
        <v>43</v>
      </c>
      <c r="R376" s="23">
        <f t="shared" si="73"/>
        <v>0</v>
      </c>
      <c r="S376" s="23">
        <f t="shared" si="59"/>
        <v>0</v>
      </c>
    </row>
    <row r="377" spans="1:19" s="17" customFormat="1">
      <c r="A377" s="16" t="s">
        <v>317</v>
      </c>
      <c r="B377" s="17" t="s">
        <v>19</v>
      </c>
      <c r="C377" s="18"/>
      <c r="D377" s="19" t="s">
        <v>43</v>
      </c>
      <c r="E377" s="20"/>
      <c r="F377" s="21">
        <v>24</v>
      </c>
      <c r="G377" s="22" t="s">
        <v>34</v>
      </c>
      <c r="H377" s="21">
        <v>1</v>
      </c>
      <c r="I377" s="22" t="s">
        <v>43</v>
      </c>
      <c r="J377" s="23">
        <f>3000*12</f>
        <v>36000</v>
      </c>
      <c r="K377" s="19" t="s">
        <v>43</v>
      </c>
      <c r="L377" s="24">
        <v>0.125</v>
      </c>
      <c r="M377" s="24">
        <v>0.05</v>
      </c>
      <c r="N377" s="21"/>
      <c r="O377" s="22" t="s">
        <v>43</v>
      </c>
      <c r="P377" s="18">
        <f t="shared" si="72"/>
        <v>0</v>
      </c>
      <c r="Q377" s="22" t="s">
        <v>43</v>
      </c>
      <c r="R377" s="23">
        <f t="shared" si="73"/>
        <v>0</v>
      </c>
      <c r="S377" s="23">
        <f t="shared" si="59"/>
        <v>0</v>
      </c>
    </row>
    <row r="378" spans="1:19" s="17" customFormat="1">
      <c r="A378" s="16"/>
      <c r="C378" s="18"/>
      <c r="D378" s="19"/>
      <c r="E378" s="20"/>
      <c r="F378" s="21"/>
      <c r="G378" s="22"/>
      <c r="H378" s="21"/>
      <c r="I378" s="22"/>
      <c r="J378" s="23"/>
      <c r="K378" s="19"/>
      <c r="L378" s="24"/>
      <c r="M378" s="24"/>
      <c r="N378" s="21"/>
      <c r="O378" s="22"/>
      <c r="P378" s="18"/>
      <c r="Q378" s="22"/>
      <c r="R378" s="23"/>
      <c r="S378" s="23"/>
    </row>
    <row r="379" spans="1:19" s="63" customFormat="1">
      <c r="A379" s="72" t="s">
        <v>318</v>
      </c>
      <c r="B379" s="63" t="s">
        <v>26</v>
      </c>
      <c r="C379" s="64"/>
      <c r="D379" s="65" t="s">
        <v>43</v>
      </c>
      <c r="E379" s="66">
        <f>10+5+10+8</f>
        <v>33</v>
      </c>
      <c r="F379" s="67">
        <v>1</v>
      </c>
      <c r="G379" s="68" t="s">
        <v>21</v>
      </c>
      <c r="H379" s="67">
        <v>20</v>
      </c>
      <c r="I379" s="68" t="s">
        <v>43</v>
      </c>
      <c r="J379" s="69">
        <f>396000/20</f>
        <v>19800</v>
      </c>
      <c r="K379" s="65" t="s">
        <v>43</v>
      </c>
      <c r="L379" s="70"/>
      <c r="M379" s="70">
        <v>0.17</v>
      </c>
      <c r="N379" s="67">
        <f>40+20+20+20+120+20+40+40+200+1+20+10+29+8+20+12+40</f>
        <v>660</v>
      </c>
      <c r="O379" s="68" t="s">
        <v>43</v>
      </c>
      <c r="P379" s="64">
        <f t="shared" si="72"/>
        <v>0</v>
      </c>
      <c r="Q379" s="68" t="s">
        <v>43</v>
      </c>
      <c r="R379" s="69">
        <f t="shared" si="73"/>
        <v>0</v>
      </c>
      <c r="S379" s="23">
        <f t="shared" si="59"/>
        <v>0</v>
      </c>
    </row>
    <row r="380" spans="1:19" s="45" customFormat="1">
      <c r="A380" s="44" t="s">
        <v>319</v>
      </c>
      <c r="B380" s="45" t="s">
        <v>26</v>
      </c>
      <c r="C380" s="46">
        <v>160</v>
      </c>
      <c r="D380" s="47" t="s">
        <v>43</v>
      </c>
      <c r="E380" s="48">
        <f>10+10</f>
        <v>20</v>
      </c>
      <c r="F380" s="49">
        <v>1</v>
      </c>
      <c r="G380" s="50" t="s">
        <v>21</v>
      </c>
      <c r="H380" s="49">
        <v>20</v>
      </c>
      <c r="I380" s="50" t="s">
        <v>43</v>
      </c>
      <c r="J380" s="51">
        <f>504000/20</f>
        <v>25200</v>
      </c>
      <c r="K380" s="47" t="s">
        <v>43</v>
      </c>
      <c r="L380" s="52"/>
      <c r="M380" s="52">
        <v>0.17</v>
      </c>
      <c r="N380" s="49">
        <f>2+20+40+60+40+20+40+1+20+60+40+20+40</f>
        <v>403</v>
      </c>
      <c r="O380" s="50" t="s">
        <v>43</v>
      </c>
      <c r="P380" s="46">
        <f t="shared" si="72"/>
        <v>157</v>
      </c>
      <c r="Q380" s="50" t="s">
        <v>43</v>
      </c>
      <c r="R380" s="51">
        <f t="shared" si="73"/>
        <v>3283812</v>
      </c>
      <c r="S380" s="32">
        <f t="shared" si="59"/>
        <v>2958389.1891891891</v>
      </c>
    </row>
    <row r="381" spans="1:19" s="63" customFormat="1">
      <c r="A381" s="72" t="s">
        <v>320</v>
      </c>
      <c r="B381" s="63" t="s">
        <v>26</v>
      </c>
      <c r="C381" s="64"/>
      <c r="D381" s="65" t="s">
        <v>43</v>
      </c>
      <c r="E381" s="66"/>
      <c r="F381" s="67">
        <v>1</v>
      </c>
      <c r="G381" s="68" t="s">
        <v>21</v>
      </c>
      <c r="H381" s="67">
        <v>20</v>
      </c>
      <c r="I381" s="68" t="s">
        <v>43</v>
      </c>
      <c r="J381" s="69">
        <f>480000/20</f>
        <v>24000</v>
      </c>
      <c r="K381" s="65" t="s">
        <v>43</v>
      </c>
      <c r="L381" s="70"/>
      <c r="M381" s="70">
        <v>0.17</v>
      </c>
      <c r="N381" s="67"/>
      <c r="O381" s="68" t="s">
        <v>43</v>
      </c>
      <c r="P381" s="64">
        <f t="shared" si="72"/>
        <v>0</v>
      </c>
      <c r="Q381" s="68" t="s">
        <v>43</v>
      </c>
      <c r="R381" s="69">
        <f t="shared" si="73"/>
        <v>0</v>
      </c>
      <c r="S381" s="23">
        <f t="shared" si="59"/>
        <v>0</v>
      </c>
    </row>
    <row r="382" spans="1:19" s="63" customFormat="1">
      <c r="A382" s="72"/>
      <c r="C382" s="64"/>
      <c r="D382" s="65"/>
      <c r="E382" s="66"/>
      <c r="F382" s="67"/>
      <c r="G382" s="68"/>
      <c r="H382" s="67"/>
      <c r="I382" s="68"/>
      <c r="J382" s="69"/>
      <c r="K382" s="65"/>
      <c r="L382" s="70"/>
      <c r="M382" s="70"/>
      <c r="N382" s="67"/>
      <c r="O382" s="68"/>
      <c r="P382" s="64"/>
      <c r="Q382" s="68"/>
      <c r="R382" s="69"/>
      <c r="S382" s="23"/>
    </row>
    <row r="383" spans="1:19">
      <c r="A383" s="15" t="s">
        <v>321</v>
      </c>
      <c r="S383" s="23">
        <f t="shared" si="59"/>
        <v>0</v>
      </c>
    </row>
    <row r="384" spans="1:19" s="26" customFormat="1">
      <c r="A384" s="25" t="s">
        <v>322</v>
      </c>
      <c r="B384" s="26" t="s">
        <v>19</v>
      </c>
      <c r="C384" s="27">
        <v>128</v>
      </c>
      <c r="D384" s="28" t="s">
        <v>34</v>
      </c>
      <c r="E384" s="29"/>
      <c r="F384" s="30">
        <v>1</v>
      </c>
      <c r="G384" s="31" t="s">
        <v>21</v>
      </c>
      <c r="H384" s="30">
        <v>64</v>
      </c>
      <c r="I384" s="31" t="s">
        <v>34</v>
      </c>
      <c r="J384" s="32">
        <f>2200*12</f>
        <v>26400</v>
      </c>
      <c r="K384" s="28" t="s">
        <v>34</v>
      </c>
      <c r="L384" s="33">
        <v>0.125</v>
      </c>
      <c r="M384" s="33">
        <v>0.05</v>
      </c>
      <c r="N384" s="30"/>
      <c r="O384" s="31" t="s">
        <v>34</v>
      </c>
      <c r="P384" s="27">
        <f t="shared" ref="P384:P394" si="74">(C384+(E384*F384*H384))-N384</f>
        <v>128</v>
      </c>
      <c r="Q384" s="31" t="s">
        <v>34</v>
      </c>
      <c r="R384" s="32">
        <f t="shared" ref="R384:R394" si="75">P384*(J384-(J384*L384)-((J384-(J384*L384))*M384))</f>
        <v>2808960</v>
      </c>
      <c r="S384" s="32">
        <f t="shared" si="59"/>
        <v>2530594.5945945946</v>
      </c>
    </row>
    <row r="385" spans="1:19" s="63" customFormat="1">
      <c r="A385" s="72" t="s">
        <v>324</v>
      </c>
      <c r="B385" s="63" t="s">
        <v>19</v>
      </c>
      <c r="C385" s="64"/>
      <c r="D385" s="65" t="s">
        <v>34</v>
      </c>
      <c r="E385" s="66">
        <v>1</v>
      </c>
      <c r="F385" s="67">
        <v>1</v>
      </c>
      <c r="G385" s="68" t="s">
        <v>21</v>
      </c>
      <c r="H385" s="67">
        <v>36</v>
      </c>
      <c r="I385" s="68" t="s">
        <v>34</v>
      </c>
      <c r="J385" s="69">
        <f>2100*24</f>
        <v>50400</v>
      </c>
      <c r="K385" s="65" t="s">
        <v>34</v>
      </c>
      <c r="L385" s="70">
        <v>0.125</v>
      </c>
      <c r="M385" s="70">
        <v>0.05</v>
      </c>
      <c r="N385" s="67">
        <v>36</v>
      </c>
      <c r="O385" s="68" t="s">
        <v>34</v>
      </c>
      <c r="P385" s="64">
        <f>(C385+(E385*F385*H385))-N385</f>
        <v>0</v>
      </c>
      <c r="Q385" s="68" t="s">
        <v>34</v>
      </c>
      <c r="R385" s="69">
        <f>P385*(J385-(J385*L385)-((J385-(J385*L385))*M385))</f>
        <v>0</v>
      </c>
      <c r="S385" s="23">
        <f>R385/1.11</f>
        <v>0</v>
      </c>
    </row>
    <row r="386" spans="1:19" s="63" customFormat="1">
      <c r="A386" s="111" t="s">
        <v>827</v>
      </c>
      <c r="B386" s="63" t="s">
        <v>19</v>
      </c>
      <c r="C386" s="64"/>
      <c r="D386" s="65" t="s">
        <v>34</v>
      </c>
      <c r="E386" s="66"/>
      <c r="F386" s="67">
        <v>1</v>
      </c>
      <c r="G386" s="68" t="s">
        <v>21</v>
      </c>
      <c r="H386" s="67">
        <v>36</v>
      </c>
      <c r="I386" s="68" t="s">
        <v>34</v>
      </c>
      <c r="J386" s="69">
        <f>2300*24</f>
        <v>55200</v>
      </c>
      <c r="K386" s="65" t="s">
        <v>34</v>
      </c>
      <c r="L386" s="70">
        <v>0.125</v>
      </c>
      <c r="M386" s="70">
        <v>0.05</v>
      </c>
      <c r="N386" s="67"/>
      <c r="O386" s="68" t="s">
        <v>34</v>
      </c>
      <c r="P386" s="64">
        <f>(C386+(E386*F386*H386))-N386</f>
        <v>0</v>
      </c>
      <c r="Q386" s="68" t="s">
        <v>34</v>
      </c>
      <c r="R386" s="69">
        <f>P386*(J386-(J386*L386)-((J386-(J386*L386))*M386))</f>
        <v>0</v>
      </c>
      <c r="S386" s="23">
        <f>R386/1.11</f>
        <v>0</v>
      </c>
    </row>
    <row r="387" spans="1:19" s="17" customFormat="1">
      <c r="A387" s="16" t="s">
        <v>826</v>
      </c>
      <c r="B387" s="17" t="s">
        <v>19</v>
      </c>
      <c r="C387" s="18"/>
      <c r="D387" s="19" t="s">
        <v>34</v>
      </c>
      <c r="E387" s="20"/>
      <c r="F387" s="21">
        <v>1</v>
      </c>
      <c r="G387" s="22" t="s">
        <v>21</v>
      </c>
      <c r="H387" s="21">
        <v>32</v>
      </c>
      <c r="I387" s="22" t="s">
        <v>34</v>
      </c>
      <c r="J387" s="23">
        <f>1300*12</f>
        <v>15600</v>
      </c>
      <c r="K387" s="19" t="s">
        <v>34</v>
      </c>
      <c r="L387" s="24">
        <v>0.125</v>
      </c>
      <c r="M387" s="24">
        <v>0.05</v>
      </c>
      <c r="N387" s="21"/>
      <c r="O387" s="22" t="s">
        <v>34</v>
      </c>
      <c r="P387" s="18">
        <f>(C387+(E387*F387*H387))-N387</f>
        <v>0</v>
      </c>
      <c r="Q387" s="22" t="s">
        <v>34</v>
      </c>
      <c r="R387" s="23">
        <f>P387*(J387-(J387*L387)-((J387-(J387*L387))*M387))</f>
        <v>0</v>
      </c>
      <c r="S387" s="23">
        <f>R387/1.11</f>
        <v>0</v>
      </c>
    </row>
    <row r="388" spans="1:19" s="26" customFormat="1">
      <c r="A388" s="25" t="s">
        <v>323</v>
      </c>
      <c r="B388" s="26" t="s">
        <v>19</v>
      </c>
      <c r="C388" s="27">
        <v>43</v>
      </c>
      <c r="D388" s="28" t="s">
        <v>34</v>
      </c>
      <c r="E388" s="29"/>
      <c r="F388" s="30">
        <v>1</v>
      </c>
      <c r="G388" s="31" t="s">
        <v>21</v>
      </c>
      <c r="H388" s="30">
        <v>54</v>
      </c>
      <c r="I388" s="31" t="s">
        <v>34</v>
      </c>
      <c r="J388" s="32">
        <f>3400*12</f>
        <v>40800</v>
      </c>
      <c r="K388" s="28" t="s">
        <v>34</v>
      </c>
      <c r="L388" s="33">
        <v>0.125</v>
      </c>
      <c r="M388" s="33">
        <v>0.05</v>
      </c>
      <c r="N388" s="30">
        <v>5</v>
      </c>
      <c r="O388" s="31" t="s">
        <v>34</v>
      </c>
      <c r="P388" s="27">
        <f t="shared" si="74"/>
        <v>38</v>
      </c>
      <c r="Q388" s="31" t="s">
        <v>34</v>
      </c>
      <c r="R388" s="32">
        <f t="shared" si="75"/>
        <v>1288770</v>
      </c>
      <c r="S388" s="32">
        <f t="shared" si="59"/>
        <v>1161054.054054054</v>
      </c>
    </row>
    <row r="389" spans="1:19" s="63" customFormat="1">
      <c r="A389" s="111" t="s">
        <v>327</v>
      </c>
      <c r="B389" s="63" t="s">
        <v>19</v>
      </c>
      <c r="C389" s="64"/>
      <c r="D389" s="65" t="s">
        <v>34</v>
      </c>
      <c r="E389" s="66">
        <f>4+1</f>
        <v>5</v>
      </c>
      <c r="F389" s="67">
        <v>1</v>
      </c>
      <c r="G389" s="68" t="s">
        <v>21</v>
      </c>
      <c r="H389" s="67">
        <v>36</v>
      </c>
      <c r="I389" s="68" t="s">
        <v>34</v>
      </c>
      <c r="J389" s="69">
        <f>2450*24</f>
        <v>58800</v>
      </c>
      <c r="K389" s="65" t="s">
        <v>34</v>
      </c>
      <c r="L389" s="70">
        <v>0.125</v>
      </c>
      <c r="M389" s="70">
        <v>0.05</v>
      </c>
      <c r="N389" s="67">
        <f>144+36</f>
        <v>180</v>
      </c>
      <c r="O389" s="68" t="s">
        <v>34</v>
      </c>
      <c r="P389" s="64">
        <f>(C389+(E389*F389*H389))-N389</f>
        <v>0</v>
      </c>
      <c r="Q389" s="68" t="s">
        <v>34</v>
      </c>
      <c r="R389" s="69">
        <f>P389*(J389-(J389*L389)-((J389-(J389*L389))*M389))</f>
        <v>0</v>
      </c>
      <c r="S389" s="69">
        <f>R389/1.11</f>
        <v>0</v>
      </c>
    </row>
    <row r="390" spans="1:19" s="45" customFormat="1">
      <c r="A390" s="44" t="s">
        <v>823</v>
      </c>
      <c r="B390" s="45" t="s">
        <v>19</v>
      </c>
      <c r="C390" s="46">
        <v>36</v>
      </c>
      <c r="D390" s="47" t="s">
        <v>34</v>
      </c>
      <c r="E390" s="48"/>
      <c r="F390" s="49">
        <v>1</v>
      </c>
      <c r="G390" s="50" t="s">
        <v>21</v>
      </c>
      <c r="H390" s="49">
        <v>36</v>
      </c>
      <c r="I390" s="50" t="s">
        <v>34</v>
      </c>
      <c r="J390" s="51">
        <f>4600*12</f>
        <v>55200</v>
      </c>
      <c r="K390" s="47" t="s">
        <v>34</v>
      </c>
      <c r="L390" s="52">
        <v>0.125</v>
      </c>
      <c r="M390" s="52">
        <v>0.05</v>
      </c>
      <c r="N390" s="49"/>
      <c r="O390" s="50" t="s">
        <v>34</v>
      </c>
      <c r="P390" s="46">
        <f t="shared" ref="P390" si="76">(C390+(E390*F390*H390))-N390</f>
        <v>36</v>
      </c>
      <c r="Q390" s="50" t="s">
        <v>34</v>
      </c>
      <c r="R390" s="51">
        <f t="shared" ref="R390" si="77">P390*(J390-(J390*L390)-((J390-(J390*L390))*M390))</f>
        <v>1651860</v>
      </c>
      <c r="S390" s="32">
        <f t="shared" ref="S390" si="78">R390/1.11</f>
        <v>1488162.1621621621</v>
      </c>
    </row>
    <row r="391" spans="1:19" s="45" customFormat="1">
      <c r="A391" s="44"/>
      <c r="C391" s="46"/>
      <c r="D391" s="47"/>
      <c r="E391" s="48"/>
      <c r="F391" s="49"/>
      <c r="G391" s="50"/>
      <c r="H391" s="49"/>
      <c r="I391" s="50"/>
      <c r="J391" s="51"/>
      <c r="K391" s="47"/>
      <c r="L391" s="52"/>
      <c r="M391" s="52"/>
      <c r="N391" s="49"/>
      <c r="O391" s="50"/>
      <c r="P391" s="46"/>
      <c r="Q391" s="50"/>
      <c r="R391" s="51"/>
      <c r="S391" s="32"/>
    </row>
    <row r="392" spans="1:19" s="63" customFormat="1">
      <c r="A392" s="72" t="s">
        <v>328</v>
      </c>
      <c r="B392" s="63" t="s">
        <v>26</v>
      </c>
      <c r="C392" s="64"/>
      <c r="D392" s="65" t="s">
        <v>34</v>
      </c>
      <c r="E392" s="66">
        <v>2</v>
      </c>
      <c r="F392" s="67">
        <v>1</v>
      </c>
      <c r="G392" s="68" t="s">
        <v>21</v>
      </c>
      <c r="H392" s="67">
        <v>36</v>
      </c>
      <c r="I392" s="68" t="s">
        <v>34</v>
      </c>
      <c r="J392" s="69">
        <f>2376000/36</f>
        <v>66000</v>
      </c>
      <c r="K392" s="65" t="s">
        <v>34</v>
      </c>
      <c r="L392" s="70"/>
      <c r="M392" s="70">
        <v>0.17</v>
      </c>
      <c r="N392" s="67">
        <f>36+27+5+4</f>
        <v>72</v>
      </c>
      <c r="O392" s="68" t="s">
        <v>34</v>
      </c>
      <c r="P392" s="64">
        <f t="shared" si="74"/>
        <v>0</v>
      </c>
      <c r="Q392" s="68" t="s">
        <v>34</v>
      </c>
      <c r="R392" s="69">
        <f t="shared" si="75"/>
        <v>0</v>
      </c>
      <c r="S392" s="69">
        <f t="shared" si="59"/>
        <v>0</v>
      </c>
    </row>
    <row r="393" spans="1:19">
      <c r="A393" s="34" t="s">
        <v>329</v>
      </c>
      <c r="B393" s="2" t="s">
        <v>26</v>
      </c>
      <c r="C393" s="3">
        <v>173</v>
      </c>
      <c r="D393" s="4" t="s">
        <v>34</v>
      </c>
      <c r="F393" s="6">
        <v>1</v>
      </c>
      <c r="G393" s="7" t="s">
        <v>21</v>
      </c>
      <c r="H393" s="6">
        <v>36</v>
      </c>
      <c r="I393" s="7" t="s">
        <v>34</v>
      </c>
      <c r="J393" s="8">
        <f>2592000/36</f>
        <v>72000</v>
      </c>
      <c r="K393" s="4" t="s">
        <v>34</v>
      </c>
      <c r="M393" s="9">
        <v>0.17</v>
      </c>
      <c r="N393" s="6">
        <f>2+7+5+3+2</f>
        <v>19</v>
      </c>
      <c r="O393" s="7" t="s">
        <v>34</v>
      </c>
      <c r="P393" s="3">
        <f t="shared" si="74"/>
        <v>154</v>
      </c>
      <c r="Q393" s="7" t="s">
        <v>34</v>
      </c>
      <c r="R393" s="8">
        <f t="shared" si="75"/>
        <v>9203040</v>
      </c>
      <c r="S393" s="32">
        <f t="shared" si="59"/>
        <v>8291027.0270270268</v>
      </c>
    </row>
    <row r="394" spans="1:19" s="45" customFormat="1">
      <c r="A394" s="44" t="s">
        <v>330</v>
      </c>
      <c r="B394" s="45" t="s">
        <v>26</v>
      </c>
      <c r="C394" s="46">
        <v>43</v>
      </c>
      <c r="D394" s="47" t="s">
        <v>34</v>
      </c>
      <c r="E394" s="48">
        <v>3</v>
      </c>
      <c r="F394" s="49">
        <v>1</v>
      </c>
      <c r="G394" s="50" t="s">
        <v>21</v>
      </c>
      <c r="H394" s="49">
        <v>36</v>
      </c>
      <c r="I394" s="50" t="s">
        <v>34</v>
      </c>
      <c r="J394" s="51">
        <f>2160000/36</f>
        <v>60000</v>
      </c>
      <c r="K394" s="47" t="s">
        <v>34</v>
      </c>
      <c r="L394" s="52"/>
      <c r="M394" s="52">
        <v>0.17</v>
      </c>
      <c r="N394" s="49">
        <f>36+36+36+5+2</f>
        <v>115</v>
      </c>
      <c r="O394" s="50" t="s">
        <v>34</v>
      </c>
      <c r="P394" s="46">
        <f t="shared" si="74"/>
        <v>36</v>
      </c>
      <c r="Q394" s="50" t="s">
        <v>34</v>
      </c>
      <c r="R394" s="51">
        <f t="shared" si="75"/>
        <v>1792800</v>
      </c>
      <c r="S394" s="32">
        <f t="shared" si="59"/>
        <v>1615135.1351351349</v>
      </c>
    </row>
    <row r="395" spans="1:19" s="45" customFormat="1">
      <c r="A395" s="44"/>
      <c r="C395" s="46"/>
      <c r="D395" s="47"/>
      <c r="E395" s="48"/>
      <c r="F395" s="49"/>
      <c r="G395" s="50"/>
      <c r="H395" s="49"/>
      <c r="I395" s="50"/>
      <c r="J395" s="51"/>
      <c r="K395" s="47"/>
      <c r="L395" s="52"/>
      <c r="M395" s="52"/>
      <c r="N395" s="49"/>
      <c r="O395" s="50"/>
      <c r="P395" s="46"/>
      <c r="Q395" s="50"/>
      <c r="R395" s="51"/>
      <c r="S395" s="32"/>
    </row>
    <row r="396" spans="1:19">
      <c r="A396" s="15" t="s">
        <v>331</v>
      </c>
      <c r="S396" s="23"/>
    </row>
    <row r="397" spans="1:19" s="63" customFormat="1">
      <c r="A397" s="72" t="s">
        <v>332</v>
      </c>
      <c r="B397" s="63" t="s">
        <v>26</v>
      </c>
      <c r="C397" s="64"/>
      <c r="D397" s="65" t="s">
        <v>108</v>
      </c>
      <c r="E397" s="66"/>
      <c r="F397" s="67">
        <v>1</v>
      </c>
      <c r="G397" s="68" t="s">
        <v>21</v>
      </c>
      <c r="H397" s="67">
        <v>60</v>
      </c>
      <c r="I397" s="68" t="s">
        <v>108</v>
      </c>
      <c r="J397" s="69">
        <v>18600</v>
      </c>
      <c r="K397" s="65" t="s">
        <v>108</v>
      </c>
      <c r="L397" s="70"/>
      <c r="M397" s="70">
        <v>0.17</v>
      </c>
      <c r="N397" s="67"/>
      <c r="O397" s="68" t="s">
        <v>108</v>
      </c>
      <c r="P397" s="64">
        <f>(C397+(E397*F397*H397))-N397</f>
        <v>0</v>
      </c>
      <c r="Q397" s="68" t="s">
        <v>108</v>
      </c>
      <c r="R397" s="69">
        <f>P397*(J397-(J397*L397)-((J397-(J397*L397))*M397))</f>
        <v>0</v>
      </c>
      <c r="S397" s="23">
        <f t="shared" si="59"/>
        <v>0</v>
      </c>
    </row>
    <row r="398" spans="1:19" s="63" customFormat="1">
      <c r="A398" s="72"/>
      <c r="C398" s="64"/>
      <c r="D398" s="65"/>
      <c r="E398" s="66"/>
      <c r="F398" s="67"/>
      <c r="G398" s="68"/>
      <c r="H398" s="67"/>
      <c r="I398" s="68"/>
      <c r="J398" s="69"/>
      <c r="K398" s="65"/>
      <c r="L398" s="70"/>
      <c r="M398" s="70"/>
      <c r="N398" s="67"/>
      <c r="O398" s="68"/>
      <c r="P398" s="64"/>
      <c r="Q398" s="68"/>
      <c r="R398" s="69"/>
      <c r="S398" s="23"/>
    </row>
    <row r="399" spans="1:19">
      <c r="A399" s="15" t="s">
        <v>333</v>
      </c>
      <c r="S399" s="23"/>
    </row>
    <row r="400" spans="1:19" s="45" customFormat="1">
      <c r="A400" s="44" t="s">
        <v>334</v>
      </c>
      <c r="B400" s="45" t="s">
        <v>335</v>
      </c>
      <c r="C400" s="46">
        <v>648</v>
      </c>
      <c r="D400" s="47" t="s">
        <v>336</v>
      </c>
      <c r="E400" s="48"/>
      <c r="F400" s="49">
        <v>1</v>
      </c>
      <c r="G400" s="50" t="s">
        <v>21</v>
      </c>
      <c r="H400" s="49">
        <v>25</v>
      </c>
      <c r="I400" s="50" t="s">
        <v>336</v>
      </c>
      <c r="J400" s="51">
        <v>55000</v>
      </c>
      <c r="K400" s="47" t="s">
        <v>336</v>
      </c>
      <c r="L400" s="52"/>
      <c r="M400" s="52"/>
      <c r="N400" s="49">
        <v>75</v>
      </c>
      <c r="O400" s="50" t="s">
        <v>336</v>
      </c>
      <c r="P400" s="46">
        <f>(C400+(E400*F400*H400))-N400</f>
        <v>573</v>
      </c>
      <c r="Q400" s="50" t="s">
        <v>336</v>
      </c>
      <c r="R400" s="51">
        <f>P400*(J400-(J400*L400)-((J400-(J400*L400))*M400))</f>
        <v>31515000</v>
      </c>
      <c r="S400" s="32">
        <f t="shared" si="59"/>
        <v>28391891.891891889</v>
      </c>
    </row>
    <row r="401" spans="1:19">
      <c r="S401" s="23"/>
    </row>
    <row r="402" spans="1:19" ht="15.75">
      <c r="A402" s="14" t="s">
        <v>337</v>
      </c>
      <c r="S402" s="23"/>
    </row>
    <row r="403" spans="1:19" s="17" customFormat="1">
      <c r="A403" s="16" t="s">
        <v>338</v>
      </c>
      <c r="B403" s="17" t="s">
        <v>19</v>
      </c>
      <c r="C403" s="18">
        <v>507</v>
      </c>
      <c r="D403" s="19" t="s">
        <v>104</v>
      </c>
      <c r="E403" s="20"/>
      <c r="F403" s="21">
        <v>1</v>
      </c>
      <c r="G403" s="22" t="s">
        <v>21</v>
      </c>
      <c r="H403" s="21">
        <v>192</v>
      </c>
      <c r="I403" s="22" t="s">
        <v>104</v>
      </c>
      <c r="J403" s="23">
        <v>3450</v>
      </c>
      <c r="K403" s="19" t="s">
        <v>104</v>
      </c>
      <c r="L403" s="24">
        <v>0.125</v>
      </c>
      <c r="M403" s="24">
        <v>0.05</v>
      </c>
      <c r="N403" s="21">
        <f>25+25+30+100+327</f>
        <v>507</v>
      </c>
      <c r="O403" s="22" t="s">
        <v>104</v>
      </c>
      <c r="P403" s="18">
        <f t="shared" ref="P403:P414" si="79">(C403+(E403*F403*H403))-N403</f>
        <v>0</v>
      </c>
      <c r="Q403" s="22" t="s">
        <v>104</v>
      </c>
      <c r="R403" s="23">
        <f t="shared" ref="R403:R414" si="80">P403*(J403-(J403*L403)-((J403-(J403*L403))*M403))</f>
        <v>0</v>
      </c>
      <c r="S403" s="23">
        <f t="shared" ref="S403:S491" si="81">R403/1.11</f>
        <v>0</v>
      </c>
    </row>
    <row r="404" spans="1:19" s="17" customFormat="1">
      <c r="A404" s="16" t="s">
        <v>339</v>
      </c>
      <c r="B404" s="17" t="s">
        <v>19</v>
      </c>
      <c r="C404" s="18">
        <v>185</v>
      </c>
      <c r="D404" s="19" t="s">
        <v>104</v>
      </c>
      <c r="E404" s="20"/>
      <c r="F404" s="21">
        <v>1</v>
      </c>
      <c r="G404" s="22" t="s">
        <v>21</v>
      </c>
      <c r="H404" s="21">
        <v>160</v>
      </c>
      <c r="I404" s="22" t="s">
        <v>104</v>
      </c>
      <c r="J404" s="23">
        <v>5400</v>
      </c>
      <c r="K404" s="19" t="s">
        <v>104</v>
      </c>
      <c r="L404" s="24">
        <v>0.125</v>
      </c>
      <c r="M404" s="24">
        <v>0.05</v>
      </c>
      <c r="N404" s="21">
        <f>25+160</f>
        <v>185</v>
      </c>
      <c r="O404" s="22" t="s">
        <v>104</v>
      </c>
      <c r="P404" s="18">
        <f t="shared" si="79"/>
        <v>0</v>
      </c>
      <c r="Q404" s="22" t="s">
        <v>104</v>
      </c>
      <c r="R404" s="23">
        <f t="shared" si="80"/>
        <v>0</v>
      </c>
      <c r="S404" s="23">
        <f t="shared" si="81"/>
        <v>0</v>
      </c>
    </row>
    <row r="405" spans="1:19" s="45" customFormat="1">
      <c r="A405" s="44" t="s">
        <v>341</v>
      </c>
      <c r="B405" s="45" t="s">
        <v>19</v>
      </c>
      <c r="C405" s="46">
        <v>43</v>
      </c>
      <c r="D405" s="47" t="s">
        <v>104</v>
      </c>
      <c r="E405" s="48"/>
      <c r="F405" s="49">
        <v>1</v>
      </c>
      <c r="G405" s="50" t="s">
        <v>21</v>
      </c>
      <c r="H405" s="49">
        <v>96</v>
      </c>
      <c r="I405" s="50" t="s">
        <v>104</v>
      </c>
      <c r="J405" s="51">
        <v>7000</v>
      </c>
      <c r="K405" s="47" t="s">
        <v>104</v>
      </c>
      <c r="L405" s="52">
        <v>0.125</v>
      </c>
      <c r="M405" s="52">
        <v>0.05</v>
      </c>
      <c r="N405" s="49"/>
      <c r="O405" s="50" t="s">
        <v>104</v>
      </c>
      <c r="P405" s="46">
        <f t="shared" si="79"/>
        <v>43</v>
      </c>
      <c r="Q405" s="50" t="s">
        <v>104</v>
      </c>
      <c r="R405" s="51">
        <f t="shared" si="80"/>
        <v>250206.25</v>
      </c>
      <c r="S405" s="51">
        <f t="shared" si="81"/>
        <v>225411.03603603601</v>
      </c>
    </row>
    <row r="406" spans="1:19" s="17" customFormat="1">
      <c r="A406" s="16" t="s">
        <v>342</v>
      </c>
      <c r="B406" s="17" t="s">
        <v>19</v>
      </c>
      <c r="C406" s="18"/>
      <c r="D406" s="19" t="s">
        <v>104</v>
      </c>
      <c r="E406" s="20"/>
      <c r="F406" s="21">
        <v>1</v>
      </c>
      <c r="G406" s="22" t="s">
        <v>21</v>
      </c>
      <c r="H406" s="21">
        <v>80</v>
      </c>
      <c r="I406" s="22" t="s">
        <v>104</v>
      </c>
      <c r="J406" s="23">
        <v>10200</v>
      </c>
      <c r="K406" s="19" t="s">
        <v>104</v>
      </c>
      <c r="L406" s="24">
        <v>0.125</v>
      </c>
      <c r="M406" s="24">
        <v>0.05</v>
      </c>
      <c r="N406" s="21"/>
      <c r="O406" s="22" t="s">
        <v>104</v>
      </c>
      <c r="P406" s="18">
        <f t="shared" si="79"/>
        <v>0</v>
      </c>
      <c r="Q406" s="22" t="s">
        <v>104</v>
      </c>
      <c r="R406" s="23">
        <f t="shared" si="80"/>
        <v>0</v>
      </c>
      <c r="S406" s="23">
        <f t="shared" si="81"/>
        <v>0</v>
      </c>
    </row>
    <row r="407" spans="1:19" s="17" customFormat="1">
      <c r="A407" s="16"/>
      <c r="C407" s="18"/>
      <c r="D407" s="19"/>
      <c r="E407" s="20"/>
      <c r="F407" s="21"/>
      <c r="G407" s="22"/>
      <c r="H407" s="21"/>
      <c r="I407" s="22"/>
      <c r="J407" s="23"/>
      <c r="K407" s="19"/>
      <c r="L407" s="24"/>
      <c r="M407" s="24"/>
      <c r="N407" s="21"/>
      <c r="O407" s="22"/>
      <c r="P407" s="18"/>
      <c r="Q407" s="22"/>
      <c r="R407" s="23"/>
      <c r="S407" s="23"/>
    </row>
    <row r="408" spans="1:19" s="26" customFormat="1">
      <c r="A408" s="35" t="s">
        <v>343</v>
      </c>
      <c r="B408" s="36" t="s">
        <v>26</v>
      </c>
      <c r="C408" s="37">
        <v>2112</v>
      </c>
      <c r="D408" s="38" t="s">
        <v>104</v>
      </c>
      <c r="E408" s="39"/>
      <c r="F408" s="40">
        <v>1</v>
      </c>
      <c r="G408" s="41" t="s">
        <v>21</v>
      </c>
      <c r="H408" s="40">
        <v>192</v>
      </c>
      <c r="I408" s="41" t="s">
        <v>104</v>
      </c>
      <c r="J408" s="42">
        <f>729600/192</f>
        <v>3800</v>
      </c>
      <c r="K408" s="38" t="s">
        <v>104</v>
      </c>
      <c r="L408" s="43"/>
      <c r="M408" s="43">
        <v>0.17</v>
      </c>
      <c r="N408" s="40">
        <f>192+50+30</f>
        <v>272</v>
      </c>
      <c r="O408" s="41" t="s">
        <v>104</v>
      </c>
      <c r="P408" s="37">
        <f t="shared" si="79"/>
        <v>1840</v>
      </c>
      <c r="Q408" s="41" t="s">
        <v>104</v>
      </c>
      <c r="R408" s="42">
        <f t="shared" si="80"/>
        <v>5803360</v>
      </c>
      <c r="S408" s="42">
        <f t="shared" si="81"/>
        <v>5228252.2522522518</v>
      </c>
    </row>
    <row r="409" spans="1:19" s="26" customFormat="1">
      <c r="A409" s="35" t="s">
        <v>343</v>
      </c>
      <c r="B409" s="36" t="s">
        <v>26</v>
      </c>
      <c r="C409" s="37"/>
      <c r="D409" s="38" t="s">
        <v>104</v>
      </c>
      <c r="E409" s="39">
        <f>1+1+1</f>
        <v>3</v>
      </c>
      <c r="F409" s="40">
        <v>1</v>
      </c>
      <c r="G409" s="41" t="s">
        <v>21</v>
      </c>
      <c r="H409" s="40">
        <v>192</v>
      </c>
      <c r="I409" s="41" t="s">
        <v>104</v>
      </c>
      <c r="J409" s="42">
        <f>844800/192</f>
        <v>4400</v>
      </c>
      <c r="K409" s="38" t="s">
        <v>104</v>
      </c>
      <c r="L409" s="43"/>
      <c r="M409" s="43">
        <v>0.17</v>
      </c>
      <c r="N409" s="40"/>
      <c r="O409" s="41" t="s">
        <v>104</v>
      </c>
      <c r="P409" s="37">
        <f t="shared" ref="P409" si="82">(C409+(E409*F409*H409))-N409</f>
        <v>576</v>
      </c>
      <c r="Q409" s="41" t="s">
        <v>104</v>
      </c>
      <c r="R409" s="42">
        <f t="shared" ref="R409" si="83">P409*(J409-(J409*L409)-((J409-(J409*L409))*M409))</f>
        <v>2103552</v>
      </c>
      <c r="S409" s="42">
        <f t="shared" ref="S409" si="84">R409/1.11</f>
        <v>1895091.8918918918</v>
      </c>
    </row>
    <row r="410" spans="1:19" s="63" customFormat="1">
      <c r="A410" s="304" t="s">
        <v>344</v>
      </c>
      <c r="B410" s="305" t="s">
        <v>26</v>
      </c>
      <c r="C410" s="306">
        <v>29</v>
      </c>
      <c r="D410" s="307" t="s">
        <v>104</v>
      </c>
      <c r="E410" s="308"/>
      <c r="F410" s="309">
        <v>1</v>
      </c>
      <c r="G410" s="310" t="s">
        <v>21</v>
      </c>
      <c r="H410" s="309">
        <v>96</v>
      </c>
      <c r="I410" s="310" t="s">
        <v>104</v>
      </c>
      <c r="J410" s="311">
        <f>700800/96</f>
        <v>7300</v>
      </c>
      <c r="K410" s="307" t="s">
        <v>104</v>
      </c>
      <c r="L410" s="312"/>
      <c r="M410" s="312">
        <v>0.17</v>
      </c>
      <c r="N410" s="309">
        <f>96-67</f>
        <v>29</v>
      </c>
      <c r="O410" s="310" t="s">
        <v>104</v>
      </c>
      <c r="P410" s="306">
        <f t="shared" si="79"/>
        <v>0</v>
      </c>
      <c r="Q410" s="310" t="s">
        <v>104</v>
      </c>
      <c r="R410" s="311">
        <f t="shared" si="80"/>
        <v>0</v>
      </c>
      <c r="S410" s="311">
        <f t="shared" si="81"/>
        <v>0</v>
      </c>
    </row>
    <row r="411" spans="1:19" s="45" customFormat="1">
      <c r="A411" s="249" t="s">
        <v>344</v>
      </c>
      <c r="B411" s="250" t="s">
        <v>26</v>
      </c>
      <c r="C411" s="251"/>
      <c r="D411" s="252" t="s">
        <v>104</v>
      </c>
      <c r="E411" s="262">
        <f>2+2</f>
        <v>4</v>
      </c>
      <c r="F411" s="263">
        <v>1</v>
      </c>
      <c r="G411" s="264" t="s">
        <v>21</v>
      </c>
      <c r="H411" s="263">
        <v>96</v>
      </c>
      <c r="I411" s="264" t="s">
        <v>104</v>
      </c>
      <c r="J411" s="265">
        <f>801600/96</f>
        <v>8350</v>
      </c>
      <c r="K411" s="252" t="s">
        <v>104</v>
      </c>
      <c r="L411" s="266"/>
      <c r="M411" s="266">
        <v>0.17</v>
      </c>
      <c r="N411" s="263">
        <f>(96-29)+96+96</f>
        <v>259</v>
      </c>
      <c r="O411" s="264" t="s">
        <v>104</v>
      </c>
      <c r="P411" s="251">
        <f t="shared" ref="P411" si="85">(C411+(E411*F411*H411))-N411</f>
        <v>125</v>
      </c>
      <c r="Q411" s="264" t="s">
        <v>104</v>
      </c>
      <c r="R411" s="265">
        <f t="shared" ref="R411" si="86">P411*(J411-(J411*L411)-((J411-(J411*L411))*M411))</f>
        <v>866312.5</v>
      </c>
      <c r="S411" s="265">
        <f t="shared" ref="S411" si="87">R411/1.11</f>
        <v>780461.7117117116</v>
      </c>
    </row>
    <row r="412" spans="1:19" s="17" customFormat="1">
      <c r="A412" s="16" t="s">
        <v>345</v>
      </c>
      <c r="B412" s="17" t="s">
        <v>26</v>
      </c>
      <c r="C412" s="18">
        <v>25</v>
      </c>
      <c r="D412" s="19" t="s">
        <v>104</v>
      </c>
      <c r="E412" s="20"/>
      <c r="F412" s="21">
        <v>1</v>
      </c>
      <c r="G412" s="22" t="s">
        <v>21</v>
      </c>
      <c r="H412" s="21">
        <v>160</v>
      </c>
      <c r="I412" s="22" t="s">
        <v>104</v>
      </c>
      <c r="J412" s="23">
        <f>960000/160</f>
        <v>6000</v>
      </c>
      <c r="K412" s="19" t="s">
        <v>104</v>
      </c>
      <c r="L412" s="24"/>
      <c r="M412" s="24">
        <v>0.17</v>
      </c>
      <c r="N412" s="21">
        <v>25</v>
      </c>
      <c r="O412" s="22" t="s">
        <v>104</v>
      </c>
      <c r="P412" s="18">
        <f t="shared" si="79"/>
        <v>0</v>
      </c>
      <c r="Q412" s="22" t="s">
        <v>104</v>
      </c>
      <c r="R412" s="23">
        <f t="shared" si="80"/>
        <v>0</v>
      </c>
      <c r="S412" s="23">
        <f t="shared" si="81"/>
        <v>0</v>
      </c>
    </row>
    <row r="413" spans="1:19" s="17" customFormat="1">
      <c r="A413" s="95" t="s">
        <v>346</v>
      </c>
      <c r="B413" s="96" t="s">
        <v>26</v>
      </c>
      <c r="C413" s="97">
        <v>4</v>
      </c>
      <c r="D413" s="98" t="s">
        <v>104</v>
      </c>
      <c r="E413" s="105"/>
      <c r="F413" s="100">
        <v>1</v>
      </c>
      <c r="G413" s="101" t="s">
        <v>21</v>
      </c>
      <c r="H413" s="100">
        <v>80</v>
      </c>
      <c r="I413" s="101" t="s">
        <v>104</v>
      </c>
      <c r="J413" s="102">
        <f>852000/80</f>
        <v>10650</v>
      </c>
      <c r="K413" s="98" t="s">
        <v>104</v>
      </c>
      <c r="L413" s="103"/>
      <c r="M413" s="103">
        <v>0.17</v>
      </c>
      <c r="N413" s="100">
        <f>80-76</f>
        <v>4</v>
      </c>
      <c r="O413" s="101" t="s">
        <v>104</v>
      </c>
      <c r="P413" s="97">
        <f t="shared" si="79"/>
        <v>0</v>
      </c>
      <c r="Q413" s="101" t="s">
        <v>104</v>
      </c>
      <c r="R413" s="102">
        <f t="shared" si="80"/>
        <v>0</v>
      </c>
      <c r="S413" s="102">
        <f t="shared" si="81"/>
        <v>0</v>
      </c>
    </row>
    <row r="414" spans="1:19">
      <c r="A414" s="159" t="s">
        <v>346</v>
      </c>
      <c r="B414" s="160" t="s">
        <v>26</v>
      </c>
      <c r="C414" s="161">
        <v>160</v>
      </c>
      <c r="D414" s="162" t="s">
        <v>104</v>
      </c>
      <c r="E414" s="163"/>
      <c r="F414" s="164">
        <v>1</v>
      </c>
      <c r="G414" s="165" t="s">
        <v>21</v>
      </c>
      <c r="H414" s="164">
        <v>80</v>
      </c>
      <c r="I414" s="165" t="s">
        <v>104</v>
      </c>
      <c r="J414" s="166">
        <f>912000/80</f>
        <v>11400</v>
      </c>
      <c r="K414" s="162" t="s">
        <v>104</v>
      </c>
      <c r="L414" s="167"/>
      <c r="M414" s="167">
        <v>0.17</v>
      </c>
      <c r="N414" s="164">
        <f>(80-4)</f>
        <v>76</v>
      </c>
      <c r="O414" s="165" t="s">
        <v>104</v>
      </c>
      <c r="P414" s="161">
        <f t="shared" si="79"/>
        <v>84</v>
      </c>
      <c r="Q414" s="165" t="s">
        <v>104</v>
      </c>
      <c r="R414" s="166">
        <f t="shared" si="80"/>
        <v>794808</v>
      </c>
      <c r="S414" s="42">
        <f t="shared" si="81"/>
        <v>716043.2432432432</v>
      </c>
    </row>
    <row r="415" spans="1:19">
      <c r="A415" s="159" t="s">
        <v>346</v>
      </c>
      <c r="B415" s="160" t="s">
        <v>26</v>
      </c>
      <c r="C415" s="161"/>
      <c r="D415" s="162" t="s">
        <v>104</v>
      </c>
      <c r="E415" s="163">
        <v>1</v>
      </c>
      <c r="F415" s="164">
        <v>1</v>
      </c>
      <c r="G415" s="165" t="s">
        <v>21</v>
      </c>
      <c r="H415" s="164">
        <v>80</v>
      </c>
      <c r="I415" s="165" t="s">
        <v>104</v>
      </c>
      <c r="J415" s="166">
        <f>1040000/80</f>
        <v>13000</v>
      </c>
      <c r="K415" s="162" t="s">
        <v>104</v>
      </c>
      <c r="L415" s="167"/>
      <c r="M415" s="167">
        <v>0.17</v>
      </c>
      <c r="N415" s="164"/>
      <c r="O415" s="165" t="s">
        <v>104</v>
      </c>
      <c r="P415" s="161">
        <f t="shared" ref="P415" si="88">(C415+(E415*F415*H415))-N415</f>
        <v>80</v>
      </c>
      <c r="Q415" s="165" t="s">
        <v>104</v>
      </c>
      <c r="R415" s="166">
        <f t="shared" ref="R415" si="89">P415*(J415-(J415*L415)-((J415-(J415*L415))*M415))</f>
        <v>863200</v>
      </c>
      <c r="S415" s="42">
        <f t="shared" ref="S415" si="90">R415/1.11</f>
        <v>777657.65765765763</v>
      </c>
    </row>
    <row r="416" spans="1:19">
      <c r="S416" s="23"/>
    </row>
    <row r="417" spans="1:20" ht="15.75">
      <c r="A417" s="14" t="s">
        <v>225</v>
      </c>
      <c r="L417" s="112"/>
      <c r="M417" s="112"/>
      <c r="S417" s="23"/>
    </row>
    <row r="418" spans="1:20">
      <c r="A418" s="15" t="s">
        <v>225</v>
      </c>
      <c r="L418" s="112"/>
      <c r="M418" s="112"/>
      <c r="S418" s="23"/>
    </row>
    <row r="419" spans="1:20" s="26" customFormat="1">
      <c r="A419" s="25" t="s">
        <v>347</v>
      </c>
      <c r="B419" s="26" t="s">
        <v>19</v>
      </c>
      <c r="C419" s="27">
        <v>1</v>
      </c>
      <c r="D419" s="28" t="s">
        <v>20</v>
      </c>
      <c r="E419" s="29"/>
      <c r="F419" s="30">
        <v>1</v>
      </c>
      <c r="G419" s="31" t="s">
        <v>21</v>
      </c>
      <c r="H419" s="30">
        <v>48</v>
      </c>
      <c r="I419" s="31" t="s">
        <v>20</v>
      </c>
      <c r="J419" s="32">
        <v>17000</v>
      </c>
      <c r="K419" s="28" t="s">
        <v>20</v>
      </c>
      <c r="L419" s="33">
        <v>0.125</v>
      </c>
      <c r="M419" s="33">
        <v>0.05</v>
      </c>
      <c r="N419" s="30"/>
      <c r="O419" s="31" t="s">
        <v>20</v>
      </c>
      <c r="P419" s="27">
        <f>(C419+(E419*F419*H419))-N419</f>
        <v>1</v>
      </c>
      <c r="Q419" s="31" t="s">
        <v>20</v>
      </c>
      <c r="R419" s="32">
        <f>P419*(J419-(J419*L419)-((J419-(J419*L419))*M419))</f>
        <v>14131.25</v>
      </c>
      <c r="S419" s="32">
        <f t="shared" si="81"/>
        <v>12730.855855855854</v>
      </c>
      <c r="T419" s="32"/>
    </row>
    <row r="420" spans="1:20">
      <c r="S420" s="32"/>
    </row>
    <row r="421" spans="1:20" ht="15.75">
      <c r="A421" s="14" t="s">
        <v>348</v>
      </c>
      <c r="L421" s="112"/>
      <c r="M421" s="112"/>
      <c r="S421" s="32"/>
    </row>
    <row r="422" spans="1:20">
      <c r="A422" s="15" t="s">
        <v>349</v>
      </c>
      <c r="L422" s="112"/>
      <c r="M422" s="112"/>
      <c r="S422" s="32"/>
    </row>
    <row r="423" spans="1:20" s="17" customFormat="1">
      <c r="A423" s="16" t="s">
        <v>350</v>
      </c>
      <c r="B423" s="17" t="s">
        <v>19</v>
      </c>
      <c r="C423" s="18"/>
      <c r="D423" s="19" t="s">
        <v>20</v>
      </c>
      <c r="E423" s="20"/>
      <c r="F423" s="21">
        <v>1</v>
      </c>
      <c r="G423" s="22" t="s">
        <v>21</v>
      </c>
      <c r="H423" s="21">
        <v>24</v>
      </c>
      <c r="I423" s="22" t="s">
        <v>20</v>
      </c>
      <c r="J423" s="23">
        <v>35000</v>
      </c>
      <c r="K423" s="19" t="s">
        <v>20</v>
      </c>
      <c r="L423" s="24">
        <v>0.125</v>
      </c>
      <c r="M423" s="24">
        <v>0.05</v>
      </c>
      <c r="N423" s="21"/>
      <c r="O423" s="22" t="s">
        <v>20</v>
      </c>
      <c r="P423" s="18">
        <f t="shared" ref="P423:P435" si="91">(C423+(E423*F423*H423))-N423</f>
        <v>0</v>
      </c>
      <c r="Q423" s="22" t="s">
        <v>20</v>
      </c>
      <c r="R423" s="23">
        <f t="shared" ref="R423:R432" si="92">P423*(J423-(J423*L423)-((J423-(J423*L423))*M423))</f>
        <v>0</v>
      </c>
      <c r="S423" s="23">
        <f t="shared" si="81"/>
        <v>0</v>
      </c>
    </row>
    <row r="424" spans="1:20" s="45" customFormat="1">
      <c r="A424" s="44" t="s">
        <v>351</v>
      </c>
      <c r="B424" s="45" t="s">
        <v>19</v>
      </c>
      <c r="C424" s="46">
        <v>48</v>
      </c>
      <c r="D424" s="47" t="s">
        <v>20</v>
      </c>
      <c r="E424" s="48">
        <f>(2+1+1+1+1+2+2)+(1+1+1)+(3+1+1+1+1)</f>
        <v>20</v>
      </c>
      <c r="F424" s="49">
        <v>1</v>
      </c>
      <c r="G424" s="50" t="s">
        <v>21</v>
      </c>
      <c r="H424" s="49">
        <v>72</v>
      </c>
      <c r="I424" s="50" t="s">
        <v>20</v>
      </c>
      <c r="J424" s="51">
        <v>15800</v>
      </c>
      <c r="K424" s="47" t="s">
        <v>20</v>
      </c>
      <c r="L424" s="52">
        <v>0.125</v>
      </c>
      <c r="M424" s="52">
        <v>0.05</v>
      </c>
      <c r="N424" s="49">
        <f>720+144+36+216+12+(72+72)+12+(12+12)</f>
        <v>1308</v>
      </c>
      <c r="O424" s="50" t="s">
        <v>20</v>
      </c>
      <c r="P424" s="46">
        <f t="shared" si="91"/>
        <v>180</v>
      </c>
      <c r="Q424" s="50" t="s">
        <v>20</v>
      </c>
      <c r="R424" s="51">
        <f t="shared" si="92"/>
        <v>2364075</v>
      </c>
      <c r="S424" s="51">
        <f t="shared" si="81"/>
        <v>2129797.297297297</v>
      </c>
      <c r="T424" s="51"/>
    </row>
    <row r="425" spans="1:20" s="17" customFormat="1">
      <c r="A425" s="95" t="s">
        <v>352</v>
      </c>
      <c r="B425" s="96" t="s">
        <v>19</v>
      </c>
      <c r="C425" s="97">
        <v>360</v>
      </c>
      <c r="D425" s="98" t="s">
        <v>20</v>
      </c>
      <c r="E425" s="105"/>
      <c r="F425" s="100">
        <v>1</v>
      </c>
      <c r="G425" s="101" t="s">
        <v>21</v>
      </c>
      <c r="H425" s="100">
        <v>72</v>
      </c>
      <c r="I425" s="101" t="s">
        <v>20</v>
      </c>
      <c r="J425" s="102">
        <v>15500</v>
      </c>
      <c r="K425" s="98" t="s">
        <v>20</v>
      </c>
      <c r="L425" s="103">
        <v>0.125</v>
      </c>
      <c r="M425" s="103">
        <v>0.05</v>
      </c>
      <c r="N425" s="100">
        <f>12+144+216-12</f>
        <v>360</v>
      </c>
      <c r="O425" s="101" t="s">
        <v>20</v>
      </c>
      <c r="P425" s="97">
        <f t="shared" si="91"/>
        <v>0</v>
      </c>
      <c r="Q425" s="101" t="s">
        <v>20</v>
      </c>
      <c r="R425" s="102">
        <f t="shared" si="92"/>
        <v>0</v>
      </c>
      <c r="S425" s="102">
        <f t="shared" si="81"/>
        <v>0</v>
      </c>
      <c r="T425" s="23"/>
    </row>
    <row r="426" spans="1:20" s="26" customFormat="1">
      <c r="A426" s="35" t="s">
        <v>352</v>
      </c>
      <c r="B426" s="36" t="s">
        <v>19</v>
      </c>
      <c r="C426" s="37"/>
      <c r="D426" s="38" t="s">
        <v>20</v>
      </c>
      <c r="E426" s="39">
        <f>(2+1)+(0.5+0.5)</f>
        <v>4</v>
      </c>
      <c r="F426" s="40">
        <v>1</v>
      </c>
      <c r="G426" s="41" t="s">
        <v>21</v>
      </c>
      <c r="H426" s="40">
        <v>72</v>
      </c>
      <c r="I426" s="41" t="s">
        <v>20</v>
      </c>
      <c r="J426" s="42">
        <v>15800</v>
      </c>
      <c r="K426" s="38" t="s">
        <v>20</v>
      </c>
      <c r="L426" s="43">
        <v>0.125</v>
      </c>
      <c r="M426" s="43">
        <v>0.05</v>
      </c>
      <c r="N426" s="40">
        <f>(216-204)+72</f>
        <v>84</v>
      </c>
      <c r="O426" s="41" t="s">
        <v>20</v>
      </c>
      <c r="P426" s="37">
        <f t="shared" ref="P426" si="93">(C426+(E426*F426*H426))-N426</f>
        <v>204</v>
      </c>
      <c r="Q426" s="41" t="s">
        <v>20</v>
      </c>
      <c r="R426" s="42">
        <f t="shared" ref="R426" si="94">P426*(J426-(J426*L426)-((J426-(J426*L426))*M426))</f>
        <v>2679285</v>
      </c>
      <c r="S426" s="42">
        <f t="shared" ref="S426" si="95">R426/1.11</f>
        <v>2413770.2702702698</v>
      </c>
      <c r="T426" s="32"/>
    </row>
    <row r="427" spans="1:20" s="63" customFormat="1">
      <c r="A427" s="72" t="s">
        <v>353</v>
      </c>
      <c r="B427" s="63" t="s">
        <v>19</v>
      </c>
      <c r="C427" s="64"/>
      <c r="D427" s="65" t="s">
        <v>20</v>
      </c>
      <c r="E427" s="66">
        <f>1+(1+1+1)+(1+1+1)</f>
        <v>7</v>
      </c>
      <c r="F427" s="67">
        <v>1</v>
      </c>
      <c r="G427" s="68" t="s">
        <v>21</v>
      </c>
      <c r="H427" s="67">
        <v>72</v>
      </c>
      <c r="I427" s="68" t="s">
        <v>20</v>
      </c>
      <c r="J427" s="69">
        <v>20700</v>
      </c>
      <c r="K427" s="65" t="s">
        <v>20</v>
      </c>
      <c r="L427" s="70">
        <v>0.125</v>
      </c>
      <c r="M427" s="70">
        <v>0.05</v>
      </c>
      <c r="N427" s="67">
        <f>72+216+216</f>
        <v>504</v>
      </c>
      <c r="O427" s="68" t="s">
        <v>20</v>
      </c>
      <c r="P427" s="64">
        <f t="shared" si="91"/>
        <v>0</v>
      </c>
      <c r="Q427" s="68" t="s">
        <v>20</v>
      </c>
      <c r="R427" s="69">
        <f t="shared" si="92"/>
        <v>0</v>
      </c>
      <c r="S427" s="69">
        <f t="shared" si="81"/>
        <v>0</v>
      </c>
    </row>
    <row r="428" spans="1:20" s="17" customFormat="1">
      <c r="A428" s="95" t="s">
        <v>354</v>
      </c>
      <c r="B428" s="96" t="s">
        <v>19</v>
      </c>
      <c r="C428" s="97">
        <v>120</v>
      </c>
      <c r="D428" s="98" t="s">
        <v>20</v>
      </c>
      <c r="E428" s="105"/>
      <c r="F428" s="100">
        <v>1</v>
      </c>
      <c r="G428" s="101" t="s">
        <v>21</v>
      </c>
      <c r="H428" s="100">
        <v>72</v>
      </c>
      <c r="I428" s="101" t="s">
        <v>20</v>
      </c>
      <c r="J428" s="102">
        <v>20000</v>
      </c>
      <c r="K428" s="98" t="s">
        <v>20</v>
      </c>
      <c r="L428" s="103">
        <v>0.125</v>
      </c>
      <c r="M428" s="103">
        <v>0.05</v>
      </c>
      <c r="N428" s="100">
        <f>12+72+72-36</f>
        <v>120</v>
      </c>
      <c r="O428" s="101" t="s">
        <v>20</v>
      </c>
      <c r="P428" s="97">
        <f t="shared" si="91"/>
        <v>0</v>
      </c>
      <c r="Q428" s="101" t="s">
        <v>20</v>
      </c>
      <c r="R428" s="102">
        <f t="shared" si="92"/>
        <v>0</v>
      </c>
      <c r="S428" s="102">
        <f t="shared" si="81"/>
        <v>0</v>
      </c>
    </row>
    <row r="429" spans="1:20" s="26" customFormat="1">
      <c r="A429" s="35" t="s">
        <v>354</v>
      </c>
      <c r="B429" s="36" t="s">
        <v>19</v>
      </c>
      <c r="C429" s="37"/>
      <c r="D429" s="38" t="s">
        <v>20</v>
      </c>
      <c r="E429" s="39">
        <v>3</v>
      </c>
      <c r="F429" s="40">
        <v>1</v>
      </c>
      <c r="G429" s="41" t="s">
        <v>21</v>
      </c>
      <c r="H429" s="40">
        <v>72</v>
      </c>
      <c r="I429" s="41" t="s">
        <v>20</v>
      </c>
      <c r="J429" s="42">
        <v>20700</v>
      </c>
      <c r="K429" s="38" t="s">
        <v>20</v>
      </c>
      <c r="L429" s="43">
        <v>0.125</v>
      </c>
      <c r="M429" s="43">
        <v>0.05</v>
      </c>
      <c r="N429" s="40">
        <f>(72-36)+144</f>
        <v>180</v>
      </c>
      <c r="O429" s="41" t="s">
        <v>20</v>
      </c>
      <c r="P429" s="37">
        <f t="shared" ref="P429" si="96">(C429+(E429*F429*H429))-N429</f>
        <v>36</v>
      </c>
      <c r="Q429" s="41" t="s">
        <v>20</v>
      </c>
      <c r="R429" s="42">
        <f t="shared" ref="R429" si="97">P429*(J429-(J429*L429)-((J429-(J429*L429))*M429))</f>
        <v>619447.5</v>
      </c>
      <c r="S429" s="42">
        <f t="shared" ref="S429" si="98">R429/1.11</f>
        <v>558060.81081081077</v>
      </c>
    </row>
    <row r="430" spans="1:20" s="26" customFormat="1">
      <c r="A430" s="25"/>
      <c r="C430" s="27"/>
      <c r="D430" s="28"/>
      <c r="E430" s="29"/>
      <c r="F430" s="30"/>
      <c r="G430" s="31"/>
      <c r="H430" s="30"/>
      <c r="I430" s="31"/>
      <c r="J430" s="32"/>
      <c r="K430" s="28"/>
      <c r="L430" s="33"/>
      <c r="M430" s="33"/>
      <c r="N430" s="30"/>
      <c r="O430" s="31"/>
      <c r="P430" s="27"/>
      <c r="Q430" s="31"/>
      <c r="R430" s="32"/>
      <c r="S430" s="32"/>
    </row>
    <row r="431" spans="1:20" s="17" customFormat="1">
      <c r="A431" s="16" t="s">
        <v>791</v>
      </c>
      <c r="B431" s="17" t="s">
        <v>26</v>
      </c>
      <c r="C431" s="18"/>
      <c r="D431" s="19" t="s">
        <v>20</v>
      </c>
      <c r="E431" s="20"/>
      <c r="F431" s="21">
        <v>1</v>
      </c>
      <c r="G431" s="22" t="s">
        <v>21</v>
      </c>
      <c r="H431" s="21">
        <v>72</v>
      </c>
      <c r="I431" s="22" t="s">
        <v>20</v>
      </c>
      <c r="J431" s="23">
        <f>1224000/72</f>
        <v>17000</v>
      </c>
      <c r="K431" s="19" t="s">
        <v>20</v>
      </c>
      <c r="L431" s="24"/>
      <c r="M431" s="24">
        <v>0.17</v>
      </c>
      <c r="N431" s="21"/>
      <c r="O431" s="22" t="s">
        <v>20</v>
      </c>
      <c r="P431" s="18">
        <f t="shared" si="91"/>
        <v>0</v>
      </c>
      <c r="Q431" s="22" t="s">
        <v>20</v>
      </c>
      <c r="R431" s="23">
        <f t="shared" si="92"/>
        <v>0</v>
      </c>
      <c r="S431" s="23">
        <f t="shared" si="81"/>
        <v>0</v>
      </c>
    </row>
    <row r="432" spans="1:20" s="26" customFormat="1">
      <c r="A432" s="25" t="s">
        <v>356</v>
      </c>
      <c r="B432" s="26" t="s">
        <v>26</v>
      </c>
      <c r="C432" s="27">
        <v>36</v>
      </c>
      <c r="D432" s="28" t="s">
        <v>20</v>
      </c>
      <c r="E432" s="29"/>
      <c r="F432" s="30">
        <v>1</v>
      </c>
      <c r="G432" s="31" t="s">
        <v>21</v>
      </c>
      <c r="H432" s="30">
        <v>72</v>
      </c>
      <c r="I432" s="31" t="s">
        <v>20</v>
      </c>
      <c r="J432" s="32">
        <f>1512000/72</f>
        <v>21000</v>
      </c>
      <c r="K432" s="28" t="s">
        <v>20</v>
      </c>
      <c r="L432" s="33">
        <v>0.125</v>
      </c>
      <c r="M432" s="33">
        <v>0.05</v>
      </c>
      <c r="N432" s="30"/>
      <c r="O432" s="31" t="s">
        <v>20</v>
      </c>
      <c r="P432" s="27">
        <v>36</v>
      </c>
      <c r="Q432" s="31" t="s">
        <v>20</v>
      </c>
      <c r="R432" s="32">
        <f t="shared" si="92"/>
        <v>628425</v>
      </c>
      <c r="S432" s="32">
        <f t="shared" si="81"/>
        <v>566148.64864864864</v>
      </c>
    </row>
    <row r="433" spans="1:20" s="63" customFormat="1">
      <c r="A433" s="95" t="s">
        <v>792</v>
      </c>
      <c r="B433" s="96" t="s">
        <v>26</v>
      </c>
      <c r="C433" s="97">
        <v>144</v>
      </c>
      <c r="D433" s="98" t="s">
        <v>20</v>
      </c>
      <c r="E433" s="105"/>
      <c r="F433" s="100">
        <v>1</v>
      </c>
      <c r="G433" s="101" t="s">
        <v>21</v>
      </c>
      <c r="H433" s="100">
        <v>72</v>
      </c>
      <c r="I433" s="101" t="s">
        <v>20</v>
      </c>
      <c r="J433" s="102">
        <f>1188000/72</f>
        <v>16500</v>
      </c>
      <c r="K433" s="98" t="s">
        <v>20</v>
      </c>
      <c r="L433" s="103"/>
      <c r="M433" s="103">
        <v>0.17</v>
      </c>
      <c r="N433" s="100">
        <f>72+72</f>
        <v>144</v>
      </c>
      <c r="O433" s="101" t="s">
        <v>20</v>
      </c>
      <c r="P433" s="97">
        <f t="shared" ref="P433" si="99">(C433+(E433*F433*H433))-N433</f>
        <v>0</v>
      </c>
      <c r="Q433" s="101" t="s">
        <v>20</v>
      </c>
      <c r="R433" s="102">
        <f>P433*(J433-(J433*L433)-((J433-(J433*L433))*M433))</f>
        <v>0</v>
      </c>
      <c r="S433" s="102">
        <f t="shared" si="81"/>
        <v>0</v>
      </c>
    </row>
    <row r="434" spans="1:20" s="63" customFormat="1">
      <c r="A434" s="95" t="s">
        <v>792</v>
      </c>
      <c r="B434" s="96" t="s">
        <v>26</v>
      </c>
      <c r="C434" s="97">
        <v>24</v>
      </c>
      <c r="D434" s="98" t="s">
        <v>20</v>
      </c>
      <c r="E434" s="105">
        <v>2</v>
      </c>
      <c r="F434" s="100">
        <v>1</v>
      </c>
      <c r="G434" s="101" t="s">
        <v>21</v>
      </c>
      <c r="H434" s="100">
        <v>72</v>
      </c>
      <c r="I434" s="101" t="s">
        <v>20</v>
      </c>
      <c r="J434" s="102">
        <f>1224000/72</f>
        <v>17000</v>
      </c>
      <c r="K434" s="98" t="s">
        <v>20</v>
      </c>
      <c r="L434" s="103"/>
      <c r="M434" s="103">
        <v>0.17</v>
      </c>
      <c r="N434" s="100">
        <f>144+24</f>
        <v>168</v>
      </c>
      <c r="O434" s="101" t="s">
        <v>20</v>
      </c>
      <c r="P434" s="97">
        <f t="shared" ref="P434" si="100">(C434+(E434*F434*H434))-N434</f>
        <v>0</v>
      </c>
      <c r="Q434" s="101" t="s">
        <v>20</v>
      </c>
      <c r="R434" s="102">
        <f>P434*(J434-(J434*L434)-((J434-(J434*L434))*M434))</f>
        <v>0</v>
      </c>
      <c r="S434" s="102">
        <f t="shared" ref="S434" si="101">R434/1.11</f>
        <v>0</v>
      </c>
    </row>
    <row r="435" spans="1:20" s="63" customFormat="1">
      <c r="A435" s="72" t="s">
        <v>357</v>
      </c>
      <c r="B435" s="63" t="s">
        <v>26</v>
      </c>
      <c r="C435" s="64"/>
      <c r="D435" s="65" t="s">
        <v>20</v>
      </c>
      <c r="E435" s="66"/>
      <c r="F435" s="67">
        <v>1</v>
      </c>
      <c r="G435" s="68" t="s">
        <v>21</v>
      </c>
      <c r="H435" s="67">
        <v>120</v>
      </c>
      <c r="I435" s="68" t="s">
        <v>20</v>
      </c>
      <c r="J435" s="69">
        <v>9000</v>
      </c>
      <c r="K435" s="65" t="s">
        <v>20</v>
      </c>
      <c r="L435" s="70"/>
      <c r="M435" s="70">
        <v>0.17</v>
      </c>
      <c r="N435" s="67"/>
      <c r="O435" s="68" t="s">
        <v>20</v>
      </c>
      <c r="P435" s="64">
        <f t="shared" si="91"/>
        <v>0</v>
      </c>
      <c r="Q435" s="68" t="s">
        <v>20</v>
      </c>
      <c r="R435" s="69">
        <f>P435*(J435-(J435*L435)-((J435-(J435*L435))*M435))</f>
        <v>0</v>
      </c>
      <c r="S435" s="23">
        <f t="shared" si="81"/>
        <v>0</v>
      </c>
    </row>
    <row r="436" spans="1:20" s="63" customFormat="1">
      <c r="A436" s="72"/>
      <c r="C436" s="64"/>
      <c r="D436" s="65"/>
      <c r="E436" s="66"/>
      <c r="F436" s="67"/>
      <c r="G436" s="68"/>
      <c r="H436" s="67"/>
      <c r="I436" s="68"/>
      <c r="J436" s="69"/>
      <c r="K436" s="65"/>
      <c r="L436" s="70"/>
      <c r="M436" s="70"/>
      <c r="N436" s="67"/>
      <c r="O436" s="68"/>
      <c r="P436" s="64"/>
      <c r="Q436" s="68"/>
      <c r="R436" s="69"/>
      <c r="S436" s="23"/>
    </row>
    <row r="437" spans="1:20">
      <c r="A437" s="15" t="s">
        <v>358</v>
      </c>
      <c r="S437" s="23"/>
    </row>
    <row r="438" spans="1:20" s="17" customFormat="1">
      <c r="A438" s="16" t="s">
        <v>359</v>
      </c>
      <c r="B438" s="17" t="s">
        <v>19</v>
      </c>
      <c r="C438" s="18">
        <v>84</v>
      </c>
      <c r="D438" s="19" t="s">
        <v>20</v>
      </c>
      <c r="E438" s="20">
        <f>(1.5+1.5+1+1)</f>
        <v>5</v>
      </c>
      <c r="F438" s="21">
        <v>2</v>
      </c>
      <c r="G438" s="22" t="s">
        <v>34</v>
      </c>
      <c r="H438" s="21">
        <v>24</v>
      </c>
      <c r="I438" s="22" t="s">
        <v>20</v>
      </c>
      <c r="J438" s="23">
        <v>9200</v>
      </c>
      <c r="K438" s="19" t="s">
        <v>20</v>
      </c>
      <c r="L438" s="24">
        <v>0.125</v>
      </c>
      <c r="M438" s="24">
        <v>0.05</v>
      </c>
      <c r="N438" s="21">
        <f>12+(216+48+48)</f>
        <v>324</v>
      </c>
      <c r="O438" s="22" t="s">
        <v>20</v>
      </c>
      <c r="P438" s="18">
        <f t="shared" ref="P438" si="102">(C438+(E438*F438*H438))-N438</f>
        <v>0</v>
      </c>
      <c r="Q438" s="22" t="s">
        <v>20</v>
      </c>
      <c r="R438" s="23">
        <f t="shared" ref="R438" si="103">P438*(J438-(J438*L438)-((J438-(J438*L438))*M438))</f>
        <v>0</v>
      </c>
      <c r="S438" s="23">
        <f t="shared" si="81"/>
        <v>0</v>
      </c>
    </row>
    <row r="439" spans="1:20" s="17" customFormat="1">
      <c r="A439" s="16" t="s">
        <v>838</v>
      </c>
      <c r="B439" s="17" t="s">
        <v>19</v>
      </c>
      <c r="C439" s="18"/>
      <c r="D439" s="19" t="s">
        <v>20</v>
      </c>
      <c r="E439" s="20">
        <v>5</v>
      </c>
      <c r="F439" s="21">
        <v>4</v>
      </c>
      <c r="G439" s="22" t="s">
        <v>34</v>
      </c>
      <c r="H439" s="21">
        <v>24</v>
      </c>
      <c r="I439" s="22" t="s">
        <v>20</v>
      </c>
      <c r="J439" s="23">
        <v>6300</v>
      </c>
      <c r="K439" s="19" t="s">
        <v>20</v>
      </c>
      <c r="L439" s="24">
        <v>0.125</v>
      </c>
      <c r="M439" s="24">
        <v>0.05</v>
      </c>
      <c r="N439" s="21">
        <v>480</v>
      </c>
      <c r="O439" s="22" t="s">
        <v>20</v>
      </c>
      <c r="P439" s="18">
        <f t="shared" ref="P439" si="104">(C439+(E439*F439*H439))-N439</f>
        <v>0</v>
      </c>
      <c r="Q439" s="22" t="s">
        <v>20</v>
      </c>
      <c r="R439" s="23">
        <f t="shared" ref="R439" si="105">P439*(J439-(J439*L439)-((J439-(J439*L439))*M439))</f>
        <v>0</v>
      </c>
      <c r="S439" s="23">
        <f t="shared" ref="S439" si="106">R439/1.11</f>
        <v>0</v>
      </c>
    </row>
    <row r="440" spans="1:20" s="17" customFormat="1">
      <c r="A440" s="16"/>
      <c r="C440" s="18"/>
      <c r="D440" s="19"/>
      <c r="E440" s="20"/>
      <c r="F440" s="21"/>
      <c r="G440" s="22"/>
      <c r="H440" s="21"/>
      <c r="I440" s="22"/>
      <c r="J440" s="23"/>
      <c r="K440" s="19"/>
      <c r="L440" s="24"/>
      <c r="M440" s="24"/>
      <c r="N440" s="21"/>
      <c r="O440" s="22"/>
      <c r="P440" s="18"/>
      <c r="Q440" s="22"/>
      <c r="R440" s="23"/>
      <c r="S440" s="23"/>
    </row>
    <row r="441" spans="1:20" s="63" customFormat="1">
      <c r="A441" s="72" t="s">
        <v>360</v>
      </c>
      <c r="B441" s="63" t="s">
        <v>26</v>
      </c>
      <c r="C441" s="64"/>
      <c r="D441" s="65" t="s">
        <v>43</v>
      </c>
      <c r="E441" s="66">
        <f>3+1</f>
        <v>4</v>
      </c>
      <c r="F441" s="67">
        <v>1</v>
      </c>
      <c r="G441" s="68" t="s">
        <v>21</v>
      </c>
      <c r="H441" s="67">
        <v>12</v>
      </c>
      <c r="I441" s="68" t="s">
        <v>43</v>
      </c>
      <c r="J441" s="69">
        <f>669600/12</f>
        <v>55800</v>
      </c>
      <c r="K441" s="65" t="s">
        <v>43</v>
      </c>
      <c r="L441" s="70"/>
      <c r="M441" s="70">
        <v>0.17</v>
      </c>
      <c r="N441" s="67">
        <f>36+12</f>
        <v>48</v>
      </c>
      <c r="O441" s="68" t="s">
        <v>43</v>
      </c>
      <c r="P441" s="64">
        <f>(C441+(E441*F441*H441))-N441</f>
        <v>0</v>
      </c>
      <c r="Q441" s="68" t="s">
        <v>43</v>
      </c>
      <c r="R441" s="69">
        <f>P441*(J441-(J441*L441)-((J441-(J441*L441))*M441))</f>
        <v>0</v>
      </c>
      <c r="S441" s="69">
        <f t="shared" si="81"/>
        <v>0</v>
      </c>
    </row>
    <row r="442" spans="1:20" s="63" customFormat="1">
      <c r="A442" s="72" t="s">
        <v>361</v>
      </c>
      <c r="B442" s="63" t="s">
        <v>26</v>
      </c>
      <c r="C442" s="64">
        <v>12</v>
      </c>
      <c r="D442" s="65" t="s">
        <v>43</v>
      </c>
      <c r="E442" s="66">
        <v>1</v>
      </c>
      <c r="F442" s="67">
        <v>1</v>
      </c>
      <c r="G442" s="68" t="s">
        <v>21</v>
      </c>
      <c r="H442" s="67">
        <v>20</v>
      </c>
      <c r="I442" s="68" t="s">
        <v>43</v>
      </c>
      <c r="J442" s="69">
        <f>804000/20</f>
        <v>40200</v>
      </c>
      <c r="K442" s="65" t="s">
        <v>43</v>
      </c>
      <c r="L442" s="70"/>
      <c r="M442" s="70">
        <v>0.17</v>
      </c>
      <c r="N442" s="67">
        <f>1+20+3+5+3</f>
        <v>32</v>
      </c>
      <c r="O442" s="68" t="s">
        <v>43</v>
      </c>
      <c r="P442" s="64">
        <f>(C442+(E442*F442*H442))-N442</f>
        <v>0</v>
      </c>
      <c r="Q442" s="68" t="s">
        <v>43</v>
      </c>
      <c r="R442" s="69">
        <f>P442*(J442-(J442*L442)-((J442-(J442*L442))*M442))</f>
        <v>0</v>
      </c>
      <c r="S442" s="23">
        <f t="shared" si="81"/>
        <v>0</v>
      </c>
    </row>
    <row r="443" spans="1:20" s="63" customFormat="1">
      <c r="A443" s="95" t="s">
        <v>362</v>
      </c>
      <c r="B443" s="96" t="s">
        <v>26</v>
      </c>
      <c r="C443" s="97">
        <v>3</v>
      </c>
      <c r="D443" s="98" t="s">
        <v>43</v>
      </c>
      <c r="E443" s="105"/>
      <c r="F443" s="100">
        <v>1</v>
      </c>
      <c r="G443" s="101" t="s">
        <v>21</v>
      </c>
      <c r="H443" s="100">
        <v>6</v>
      </c>
      <c r="I443" s="101" t="s">
        <v>43</v>
      </c>
      <c r="J443" s="102">
        <f>720000/6</f>
        <v>120000</v>
      </c>
      <c r="K443" s="98" t="s">
        <v>43</v>
      </c>
      <c r="L443" s="103"/>
      <c r="M443" s="103">
        <v>0.17</v>
      </c>
      <c r="N443" s="100">
        <v>3</v>
      </c>
      <c r="O443" s="101" t="s">
        <v>43</v>
      </c>
      <c r="P443" s="97">
        <f>(C443+(E443*F443*H443))-N443</f>
        <v>0</v>
      </c>
      <c r="Q443" s="101" t="s">
        <v>43</v>
      </c>
      <c r="R443" s="102">
        <f>P443*(J443-(J443*L443)-((J443-(J443*L443))*M443))</f>
        <v>0</v>
      </c>
      <c r="S443" s="102">
        <f t="shared" si="81"/>
        <v>0</v>
      </c>
    </row>
    <row r="444" spans="1:20" s="63" customFormat="1">
      <c r="A444" s="95" t="s">
        <v>362</v>
      </c>
      <c r="B444" s="96" t="s">
        <v>26</v>
      </c>
      <c r="C444" s="97"/>
      <c r="D444" s="98" t="s">
        <v>43</v>
      </c>
      <c r="E444" s="105">
        <v>1</v>
      </c>
      <c r="F444" s="100">
        <v>1</v>
      </c>
      <c r="G444" s="101" t="s">
        <v>21</v>
      </c>
      <c r="H444" s="100">
        <v>6</v>
      </c>
      <c r="I444" s="101" t="s">
        <v>43</v>
      </c>
      <c r="J444" s="102">
        <f>810000/6</f>
        <v>135000</v>
      </c>
      <c r="K444" s="98" t="s">
        <v>43</v>
      </c>
      <c r="L444" s="103"/>
      <c r="M444" s="103">
        <v>0.17</v>
      </c>
      <c r="N444" s="100">
        <v>6</v>
      </c>
      <c r="O444" s="101" t="s">
        <v>43</v>
      </c>
      <c r="P444" s="97">
        <f>(C444+(E444*F444*H444))-N444</f>
        <v>0</v>
      </c>
      <c r="Q444" s="101" t="s">
        <v>43</v>
      </c>
      <c r="R444" s="102">
        <f>P444*(J444-(J444*L444)-((J444-(J444*L444))*M444))</f>
        <v>0</v>
      </c>
      <c r="S444" s="102">
        <f t="shared" ref="S444" si="107">R444/1.11</f>
        <v>0</v>
      </c>
    </row>
    <row r="445" spans="1:20" s="45" customFormat="1">
      <c r="A445" s="44"/>
      <c r="C445" s="46"/>
      <c r="D445" s="47"/>
      <c r="E445" s="48"/>
      <c r="F445" s="49"/>
      <c r="G445" s="50"/>
      <c r="H445" s="49"/>
      <c r="I445" s="50"/>
      <c r="J445" s="51"/>
      <c r="K445" s="47"/>
      <c r="L445" s="52"/>
      <c r="M445" s="52"/>
      <c r="N445" s="49"/>
      <c r="O445" s="50"/>
      <c r="P445" s="46"/>
      <c r="Q445" s="50"/>
      <c r="R445" s="51"/>
      <c r="S445" s="51"/>
    </row>
    <row r="446" spans="1:20">
      <c r="A446" s="15" t="s">
        <v>363</v>
      </c>
      <c r="L446" s="112"/>
      <c r="M446" s="112"/>
      <c r="S446" s="23"/>
    </row>
    <row r="447" spans="1:20" s="17" customFormat="1">
      <c r="A447" s="16" t="s">
        <v>364</v>
      </c>
      <c r="B447" s="17" t="s">
        <v>19</v>
      </c>
      <c r="C447" s="18"/>
      <c r="D447" s="19" t="s">
        <v>162</v>
      </c>
      <c r="E447" s="20"/>
      <c r="F447" s="21">
        <v>36</v>
      </c>
      <c r="G447" s="22" t="s">
        <v>34</v>
      </c>
      <c r="H447" s="21">
        <v>30</v>
      </c>
      <c r="I447" s="22" t="s">
        <v>162</v>
      </c>
      <c r="J447" s="23">
        <v>3200</v>
      </c>
      <c r="K447" s="19" t="s">
        <v>162</v>
      </c>
      <c r="L447" s="24">
        <v>0.125</v>
      </c>
      <c r="M447" s="24">
        <v>0.05</v>
      </c>
      <c r="N447" s="21"/>
      <c r="O447" s="22" t="s">
        <v>162</v>
      </c>
      <c r="P447" s="18">
        <f>(C447+(E447*F447*H447))-N447</f>
        <v>0</v>
      </c>
      <c r="Q447" s="22" t="s">
        <v>162</v>
      </c>
      <c r="R447" s="23">
        <f>P447*(J447-(J447*L447)-((J447-(J447*L447))*M447))</f>
        <v>0</v>
      </c>
      <c r="S447" s="23">
        <f t="shared" si="81"/>
        <v>0</v>
      </c>
      <c r="T447" s="23"/>
    </row>
    <row r="448" spans="1:20" s="17" customFormat="1">
      <c r="A448" s="16" t="s">
        <v>365</v>
      </c>
      <c r="B448" s="17" t="s">
        <v>19</v>
      </c>
      <c r="C448" s="18"/>
      <c r="D448" s="19" t="s">
        <v>162</v>
      </c>
      <c r="E448" s="20"/>
      <c r="F448" s="21">
        <v>36</v>
      </c>
      <c r="G448" s="22" t="s">
        <v>34</v>
      </c>
      <c r="H448" s="21">
        <v>30</v>
      </c>
      <c r="I448" s="22" t="s">
        <v>162</v>
      </c>
      <c r="J448" s="23">
        <v>2900</v>
      </c>
      <c r="K448" s="19" t="s">
        <v>162</v>
      </c>
      <c r="L448" s="24">
        <v>0.125</v>
      </c>
      <c r="M448" s="24">
        <v>0.05</v>
      </c>
      <c r="N448" s="21"/>
      <c r="O448" s="22" t="s">
        <v>162</v>
      </c>
      <c r="P448" s="18">
        <f>(C448+(E448*F448*H448))-N448</f>
        <v>0</v>
      </c>
      <c r="Q448" s="22" t="s">
        <v>162</v>
      </c>
      <c r="R448" s="23">
        <f>P448*(J448-(J448*L448)-((J448-(J448*L448))*M448))</f>
        <v>0</v>
      </c>
      <c r="S448" s="23">
        <f t="shared" si="81"/>
        <v>0</v>
      </c>
      <c r="T448" s="23"/>
    </row>
    <row r="449" spans="1:20">
      <c r="S449" s="23"/>
    </row>
    <row r="450" spans="1:20" ht="15.75">
      <c r="A450" s="14" t="s">
        <v>366</v>
      </c>
      <c r="S450" s="23"/>
    </row>
    <row r="451" spans="1:20" s="17" customFormat="1">
      <c r="A451" s="93" t="s">
        <v>369</v>
      </c>
      <c r="B451" s="17" t="s">
        <v>19</v>
      </c>
      <c r="C451" s="18"/>
      <c r="D451" s="19" t="s">
        <v>104</v>
      </c>
      <c r="E451" s="20"/>
      <c r="F451" s="21">
        <v>1</v>
      </c>
      <c r="G451" s="22" t="s">
        <v>21</v>
      </c>
      <c r="H451" s="21">
        <v>100</v>
      </c>
      <c r="I451" s="22" t="s">
        <v>104</v>
      </c>
      <c r="J451" s="23">
        <v>7800</v>
      </c>
      <c r="K451" s="19" t="s">
        <v>104</v>
      </c>
      <c r="L451" s="24">
        <v>0.125</v>
      </c>
      <c r="M451" s="24">
        <v>0.05</v>
      </c>
      <c r="N451" s="21"/>
      <c r="O451" s="22" t="s">
        <v>104</v>
      </c>
      <c r="P451" s="18">
        <f>(C451+(E451*F451*H451))-N451</f>
        <v>0</v>
      </c>
      <c r="Q451" s="22" t="s">
        <v>104</v>
      </c>
      <c r="R451" s="23">
        <f>P451*(J451-(J451*L451)-((J451-(J451*L451))*M451))</f>
        <v>0</v>
      </c>
      <c r="S451" s="23">
        <f>R451/1.11</f>
        <v>0</v>
      </c>
      <c r="T451" s="23"/>
    </row>
    <row r="452" spans="1:20" s="17" customFormat="1">
      <c r="A452" s="93" t="s">
        <v>370</v>
      </c>
      <c r="B452" s="17" t="s">
        <v>19</v>
      </c>
      <c r="C452" s="18"/>
      <c r="D452" s="19" t="s">
        <v>104</v>
      </c>
      <c r="E452" s="20"/>
      <c r="F452" s="21">
        <v>1</v>
      </c>
      <c r="G452" s="22" t="s">
        <v>21</v>
      </c>
      <c r="H452" s="21">
        <v>100</v>
      </c>
      <c r="I452" s="22" t="s">
        <v>104</v>
      </c>
      <c r="J452" s="23">
        <v>7800</v>
      </c>
      <c r="K452" s="19" t="s">
        <v>104</v>
      </c>
      <c r="L452" s="24">
        <v>0.125</v>
      </c>
      <c r="M452" s="24">
        <v>0.05</v>
      </c>
      <c r="N452" s="21"/>
      <c r="O452" s="22" t="s">
        <v>104</v>
      </c>
      <c r="P452" s="18">
        <f>(C452+(E452*F452*H452))-N452</f>
        <v>0</v>
      </c>
      <c r="Q452" s="22" t="s">
        <v>104</v>
      </c>
      <c r="R452" s="23">
        <f>P452*(J452-(J452*L452)-((J452-(J452*L452))*M452))</f>
        <v>0</v>
      </c>
      <c r="S452" s="23">
        <f>R452/1.11</f>
        <v>0</v>
      </c>
      <c r="T452" s="23"/>
    </row>
    <row r="453" spans="1:20" s="17" customFormat="1">
      <c r="A453" s="93"/>
      <c r="C453" s="18"/>
      <c r="D453" s="19"/>
      <c r="E453" s="20"/>
      <c r="F453" s="21"/>
      <c r="G453" s="22"/>
      <c r="H453" s="21"/>
      <c r="I453" s="22"/>
      <c r="J453" s="23"/>
      <c r="K453" s="19"/>
      <c r="L453" s="24"/>
      <c r="M453" s="24"/>
      <c r="N453" s="21"/>
      <c r="O453" s="22"/>
      <c r="P453" s="18"/>
      <c r="Q453" s="22"/>
      <c r="R453" s="23"/>
      <c r="S453" s="23"/>
      <c r="T453" s="23"/>
    </row>
    <row r="454" spans="1:20" s="26" customFormat="1">
      <c r="A454" s="94" t="s">
        <v>367</v>
      </c>
      <c r="B454" s="26" t="s">
        <v>26</v>
      </c>
      <c r="C454" s="27">
        <v>80</v>
      </c>
      <c r="D454" s="28" t="s">
        <v>34</v>
      </c>
      <c r="E454" s="29"/>
      <c r="F454" s="30">
        <v>10</v>
      </c>
      <c r="G454" s="31" t="s">
        <v>104</v>
      </c>
      <c r="H454" s="30">
        <v>10</v>
      </c>
      <c r="I454" s="31" t="s">
        <v>34</v>
      </c>
      <c r="J454" s="32">
        <f>980000/100</f>
        <v>9800</v>
      </c>
      <c r="K454" s="28" t="s">
        <v>34</v>
      </c>
      <c r="L454" s="33"/>
      <c r="M454" s="33">
        <v>0.17</v>
      </c>
      <c r="N454" s="30"/>
      <c r="O454" s="31" t="s">
        <v>34</v>
      </c>
      <c r="P454" s="27">
        <f>(C454+(E454*F454*H454))-N454</f>
        <v>80</v>
      </c>
      <c r="Q454" s="31" t="s">
        <v>34</v>
      </c>
      <c r="R454" s="32">
        <f>P454*(J454-(J454*L454)-((J454-(J454*L454))*M454))</f>
        <v>650720</v>
      </c>
      <c r="S454" s="32">
        <f t="shared" si="81"/>
        <v>586234.2342342342</v>
      </c>
    </row>
    <row r="455" spans="1:20" s="26" customFormat="1">
      <c r="A455" s="94" t="s">
        <v>368</v>
      </c>
      <c r="B455" s="26" t="s">
        <v>26</v>
      </c>
      <c r="C455" s="27">
        <v>10</v>
      </c>
      <c r="D455" s="28" t="s">
        <v>34</v>
      </c>
      <c r="E455" s="29"/>
      <c r="F455" s="30">
        <v>10</v>
      </c>
      <c r="G455" s="31" t="s">
        <v>104</v>
      </c>
      <c r="H455" s="30">
        <v>10</v>
      </c>
      <c r="I455" s="31" t="s">
        <v>34</v>
      </c>
      <c r="J455" s="32">
        <f>980000/100</f>
        <v>9800</v>
      </c>
      <c r="K455" s="28" t="s">
        <v>34</v>
      </c>
      <c r="L455" s="33"/>
      <c r="M455" s="33">
        <v>0.17</v>
      </c>
      <c r="N455" s="30"/>
      <c r="O455" s="31" t="s">
        <v>34</v>
      </c>
      <c r="P455" s="27">
        <f>(C455+(E455*F455*H455))-N455</f>
        <v>10</v>
      </c>
      <c r="Q455" s="31" t="s">
        <v>34</v>
      </c>
      <c r="R455" s="32">
        <f>P455*(J455-(J455*L455)-((J455-(J455*L455))*M455))</f>
        <v>81340</v>
      </c>
      <c r="S455" s="32">
        <f t="shared" si="81"/>
        <v>73279.279279279275</v>
      </c>
    </row>
    <row r="456" spans="1:20">
      <c r="S456" s="23"/>
    </row>
    <row r="457" spans="1:20" ht="15.75">
      <c r="A457" s="14" t="s">
        <v>371</v>
      </c>
      <c r="S457" s="23"/>
    </row>
    <row r="458" spans="1:20">
      <c r="A458" s="15" t="s">
        <v>372</v>
      </c>
      <c r="S458" s="23"/>
    </row>
    <row r="459" spans="1:20" s="17" customFormat="1">
      <c r="A459" s="16" t="s">
        <v>373</v>
      </c>
      <c r="B459" s="17" t="s">
        <v>19</v>
      </c>
      <c r="C459" s="18"/>
      <c r="D459" s="19" t="s">
        <v>43</v>
      </c>
      <c r="E459" s="20"/>
      <c r="F459" s="21">
        <v>1</v>
      </c>
      <c r="G459" s="22" t="s">
        <v>21</v>
      </c>
      <c r="H459" s="21">
        <v>144</v>
      </c>
      <c r="I459" s="22" t="s">
        <v>43</v>
      </c>
      <c r="J459" s="23">
        <v>28200</v>
      </c>
      <c r="K459" s="19" t="s">
        <v>43</v>
      </c>
      <c r="L459" s="24">
        <v>0.125</v>
      </c>
      <c r="M459" s="24">
        <v>0.05</v>
      </c>
      <c r="N459" s="21"/>
      <c r="O459" s="22" t="s">
        <v>43</v>
      </c>
      <c r="P459" s="18">
        <f t="shared" ref="P459:P477" si="108">(C459+(E459*F459*H459))-N459</f>
        <v>0</v>
      </c>
      <c r="Q459" s="22" t="s">
        <v>43</v>
      </c>
      <c r="R459" s="23">
        <f t="shared" ref="R459:R477" si="109">P459*(J459-(J459*L459)-((J459-(J459*L459))*M459))</f>
        <v>0</v>
      </c>
      <c r="S459" s="69">
        <f t="shared" si="81"/>
        <v>0</v>
      </c>
    </row>
    <row r="460" spans="1:20" s="63" customFormat="1">
      <c r="A460" s="72" t="s">
        <v>374</v>
      </c>
      <c r="B460" s="63" t="s">
        <v>19</v>
      </c>
      <c r="C460" s="64"/>
      <c r="D460" s="65" t="s">
        <v>43</v>
      </c>
      <c r="E460" s="66"/>
      <c r="F460" s="67">
        <v>1</v>
      </c>
      <c r="G460" s="68" t="s">
        <v>21</v>
      </c>
      <c r="H460" s="67">
        <v>144</v>
      </c>
      <c r="I460" s="68" t="s">
        <v>43</v>
      </c>
      <c r="J460" s="69">
        <v>7800</v>
      </c>
      <c r="K460" s="65" t="s">
        <v>43</v>
      </c>
      <c r="L460" s="70">
        <v>0.1</v>
      </c>
      <c r="M460" s="70">
        <v>0.05</v>
      </c>
      <c r="N460" s="67"/>
      <c r="O460" s="68" t="s">
        <v>43</v>
      </c>
      <c r="P460" s="64">
        <f t="shared" si="108"/>
        <v>0</v>
      </c>
      <c r="Q460" s="68" t="s">
        <v>43</v>
      </c>
      <c r="R460" s="69">
        <f t="shared" si="109"/>
        <v>0</v>
      </c>
      <c r="S460" s="69">
        <f t="shared" si="81"/>
        <v>0</v>
      </c>
    </row>
    <row r="461" spans="1:20" s="45" customFormat="1">
      <c r="A461" s="44" t="s">
        <v>376</v>
      </c>
      <c r="B461" s="45" t="s">
        <v>19</v>
      </c>
      <c r="C461" s="46">
        <v>102</v>
      </c>
      <c r="D461" s="47" t="s">
        <v>43</v>
      </c>
      <c r="E461" s="48"/>
      <c r="F461" s="49">
        <v>1</v>
      </c>
      <c r="G461" s="50" t="s">
        <v>21</v>
      </c>
      <c r="H461" s="49">
        <v>144</v>
      </c>
      <c r="I461" s="50" t="s">
        <v>43</v>
      </c>
      <c r="J461" s="51">
        <v>6900</v>
      </c>
      <c r="K461" s="47" t="s">
        <v>43</v>
      </c>
      <c r="L461" s="52">
        <v>0.125</v>
      </c>
      <c r="M461" s="52">
        <v>0.05</v>
      </c>
      <c r="N461" s="49"/>
      <c r="O461" s="50" t="s">
        <v>43</v>
      </c>
      <c r="P461" s="46">
        <f t="shared" si="108"/>
        <v>102</v>
      </c>
      <c r="Q461" s="50" t="s">
        <v>43</v>
      </c>
      <c r="R461" s="51">
        <f t="shared" si="109"/>
        <v>585033.75</v>
      </c>
      <c r="S461" s="51">
        <f t="shared" si="81"/>
        <v>527057.43243243243</v>
      </c>
    </row>
    <row r="462" spans="1:20" s="17" customFormat="1">
      <c r="A462" s="16" t="s">
        <v>377</v>
      </c>
      <c r="B462" s="17" t="s">
        <v>19</v>
      </c>
      <c r="C462" s="18"/>
      <c r="D462" s="19" t="s">
        <v>43</v>
      </c>
      <c r="E462" s="20"/>
      <c r="F462" s="21">
        <v>1</v>
      </c>
      <c r="G462" s="22" t="s">
        <v>21</v>
      </c>
      <c r="H462" s="21">
        <v>144</v>
      </c>
      <c r="I462" s="22" t="s">
        <v>43</v>
      </c>
      <c r="J462" s="23">
        <v>7020</v>
      </c>
      <c r="K462" s="19" t="s">
        <v>43</v>
      </c>
      <c r="L462" s="24">
        <v>0.125</v>
      </c>
      <c r="M462" s="24">
        <v>0.05</v>
      </c>
      <c r="N462" s="21"/>
      <c r="O462" s="22" t="s">
        <v>43</v>
      </c>
      <c r="P462" s="18">
        <f t="shared" si="108"/>
        <v>0</v>
      </c>
      <c r="Q462" s="22" t="s">
        <v>43</v>
      </c>
      <c r="R462" s="23">
        <f t="shared" si="109"/>
        <v>0</v>
      </c>
      <c r="S462" s="23">
        <f t="shared" si="81"/>
        <v>0</v>
      </c>
    </row>
    <row r="463" spans="1:20" s="17" customFormat="1">
      <c r="A463" s="16" t="s">
        <v>825</v>
      </c>
      <c r="B463" s="17" t="s">
        <v>19</v>
      </c>
      <c r="C463" s="18"/>
      <c r="D463" s="19" t="s">
        <v>43</v>
      </c>
      <c r="E463" s="20"/>
      <c r="F463" s="21">
        <v>1</v>
      </c>
      <c r="G463" s="22" t="s">
        <v>21</v>
      </c>
      <c r="H463" s="21">
        <v>144</v>
      </c>
      <c r="I463" s="22" t="s">
        <v>43</v>
      </c>
      <c r="J463" s="23">
        <v>6600</v>
      </c>
      <c r="K463" s="19" t="s">
        <v>43</v>
      </c>
      <c r="L463" s="24">
        <v>0.125</v>
      </c>
      <c r="M463" s="24">
        <v>0.05</v>
      </c>
      <c r="N463" s="21"/>
      <c r="O463" s="22" t="s">
        <v>43</v>
      </c>
      <c r="P463" s="18">
        <f t="shared" si="108"/>
        <v>0</v>
      </c>
      <c r="Q463" s="22" t="s">
        <v>43</v>
      </c>
      <c r="R463" s="23">
        <f t="shared" si="109"/>
        <v>0</v>
      </c>
      <c r="S463" s="23">
        <f t="shared" si="81"/>
        <v>0</v>
      </c>
    </row>
    <row r="464" spans="1:20" s="17" customFormat="1">
      <c r="A464" s="16" t="s">
        <v>721</v>
      </c>
      <c r="B464" s="17" t="s">
        <v>19</v>
      </c>
      <c r="C464" s="18"/>
      <c r="D464" s="19" t="s">
        <v>43</v>
      </c>
      <c r="E464" s="20"/>
      <c r="F464" s="21">
        <v>1</v>
      </c>
      <c r="G464" s="22" t="s">
        <v>21</v>
      </c>
      <c r="H464" s="21">
        <v>144</v>
      </c>
      <c r="I464" s="22" t="s">
        <v>43</v>
      </c>
      <c r="J464" s="23">
        <v>6000</v>
      </c>
      <c r="K464" s="19" t="s">
        <v>43</v>
      </c>
      <c r="L464" s="24">
        <v>0.125</v>
      </c>
      <c r="M464" s="24">
        <v>0.05</v>
      </c>
      <c r="N464" s="21"/>
      <c r="O464" s="22" t="s">
        <v>43</v>
      </c>
      <c r="P464" s="18">
        <f t="shared" si="108"/>
        <v>0</v>
      </c>
      <c r="Q464" s="22" t="s">
        <v>43</v>
      </c>
      <c r="R464" s="23">
        <f t="shared" si="109"/>
        <v>0</v>
      </c>
      <c r="S464" s="23">
        <f t="shared" si="81"/>
        <v>0</v>
      </c>
    </row>
    <row r="465" spans="1:19" s="17" customFormat="1">
      <c r="A465" s="16" t="s">
        <v>774</v>
      </c>
      <c r="B465" s="17" t="s">
        <v>19</v>
      </c>
      <c r="C465" s="18"/>
      <c r="D465" s="19" t="s">
        <v>43</v>
      </c>
      <c r="E465" s="20"/>
      <c r="F465" s="21">
        <v>1</v>
      </c>
      <c r="G465" s="22" t="s">
        <v>21</v>
      </c>
      <c r="H465" s="21">
        <v>144</v>
      </c>
      <c r="I465" s="22" t="s">
        <v>43</v>
      </c>
      <c r="J465" s="23">
        <v>6000</v>
      </c>
      <c r="K465" s="19" t="s">
        <v>43</v>
      </c>
      <c r="L465" s="24">
        <v>0.125</v>
      </c>
      <c r="M465" s="24">
        <v>0.05</v>
      </c>
      <c r="N465" s="21"/>
      <c r="O465" s="22" t="s">
        <v>43</v>
      </c>
      <c r="P465" s="18">
        <f t="shared" si="108"/>
        <v>0</v>
      </c>
      <c r="Q465" s="22" t="s">
        <v>43</v>
      </c>
      <c r="R465" s="23">
        <f t="shared" si="109"/>
        <v>0</v>
      </c>
      <c r="S465" s="23">
        <f t="shared" si="81"/>
        <v>0</v>
      </c>
    </row>
    <row r="466" spans="1:19" s="26" customFormat="1">
      <c r="A466" s="25" t="s">
        <v>378</v>
      </c>
      <c r="B466" s="26" t="s">
        <v>19</v>
      </c>
      <c r="C466" s="27">
        <v>864</v>
      </c>
      <c r="D466" s="28" t="s">
        <v>43</v>
      </c>
      <c r="E466" s="29"/>
      <c r="F466" s="30">
        <v>1</v>
      </c>
      <c r="G466" s="31" t="s">
        <v>21</v>
      </c>
      <c r="H466" s="30">
        <v>144</v>
      </c>
      <c r="I466" s="31" t="s">
        <v>43</v>
      </c>
      <c r="J466" s="32">
        <v>5100</v>
      </c>
      <c r="K466" s="28" t="s">
        <v>43</v>
      </c>
      <c r="L466" s="33">
        <v>0.125</v>
      </c>
      <c r="M466" s="33">
        <v>0.05</v>
      </c>
      <c r="N466" s="30"/>
      <c r="O466" s="31" t="s">
        <v>43</v>
      </c>
      <c r="P466" s="27">
        <f t="shared" si="108"/>
        <v>864</v>
      </c>
      <c r="Q466" s="31" t="s">
        <v>43</v>
      </c>
      <c r="R466" s="32">
        <f t="shared" si="109"/>
        <v>3662820</v>
      </c>
      <c r="S466" s="32">
        <f t="shared" si="81"/>
        <v>3299837.8378378376</v>
      </c>
    </row>
    <row r="467" spans="1:19" s="26" customFormat="1">
      <c r="A467" s="35" t="s">
        <v>379</v>
      </c>
      <c r="B467" s="36" t="s">
        <v>19</v>
      </c>
      <c r="C467" s="198">
        <v>363</v>
      </c>
      <c r="D467" s="38" t="s">
        <v>43</v>
      </c>
      <c r="E467" s="39"/>
      <c r="F467" s="40">
        <v>1</v>
      </c>
      <c r="G467" s="41" t="s">
        <v>21</v>
      </c>
      <c r="H467" s="40">
        <v>144</v>
      </c>
      <c r="I467" s="41" t="s">
        <v>43</v>
      </c>
      <c r="J467" s="42">
        <v>12000</v>
      </c>
      <c r="K467" s="38" t="s">
        <v>43</v>
      </c>
      <c r="L467" s="43">
        <v>0.125</v>
      </c>
      <c r="M467" s="43">
        <v>0.05</v>
      </c>
      <c r="N467" s="40">
        <f>24+12+36+24+12+24+36</f>
        <v>168</v>
      </c>
      <c r="O467" s="41" t="s">
        <v>43</v>
      </c>
      <c r="P467" s="37">
        <f t="shared" si="108"/>
        <v>195</v>
      </c>
      <c r="Q467" s="41" t="s">
        <v>43</v>
      </c>
      <c r="R467" s="42">
        <f t="shared" si="109"/>
        <v>1945125</v>
      </c>
      <c r="S467" s="42">
        <f t="shared" si="81"/>
        <v>1752364.8648648646</v>
      </c>
    </row>
    <row r="468" spans="1:19" s="26" customFormat="1">
      <c r="A468" s="35" t="s">
        <v>379</v>
      </c>
      <c r="B468" s="36" t="s">
        <v>19</v>
      </c>
      <c r="C468" s="198">
        <f>420+24+36+24</f>
        <v>504</v>
      </c>
      <c r="D468" s="38" t="s">
        <v>43</v>
      </c>
      <c r="E468" s="39"/>
      <c r="F468" s="40">
        <v>1</v>
      </c>
      <c r="G468" s="41" t="s">
        <v>21</v>
      </c>
      <c r="H468" s="40">
        <v>144</v>
      </c>
      <c r="I468" s="41" t="s">
        <v>43</v>
      </c>
      <c r="J468" s="42">
        <v>12600</v>
      </c>
      <c r="K468" s="38" t="s">
        <v>43</v>
      </c>
      <c r="L468" s="43">
        <v>0.1</v>
      </c>
      <c r="M468" s="43">
        <v>0.05</v>
      </c>
      <c r="N468" s="40"/>
      <c r="O468" s="41" t="s">
        <v>43</v>
      </c>
      <c r="P468" s="37">
        <f t="shared" si="108"/>
        <v>504</v>
      </c>
      <c r="Q468" s="41" t="s">
        <v>43</v>
      </c>
      <c r="R468" s="42">
        <f t="shared" si="109"/>
        <v>5429592</v>
      </c>
      <c r="S468" s="42">
        <f t="shared" si="81"/>
        <v>4891524.3243243238</v>
      </c>
    </row>
    <row r="469" spans="1:19" s="26" customFormat="1">
      <c r="A469" s="35" t="s">
        <v>379</v>
      </c>
      <c r="B469" s="36" t="s">
        <v>19</v>
      </c>
      <c r="C469" s="198">
        <f>600+12+216+192+36+60</f>
        <v>1116</v>
      </c>
      <c r="D469" s="38" t="s">
        <v>43</v>
      </c>
      <c r="E469" s="39"/>
      <c r="F469" s="40">
        <v>1</v>
      </c>
      <c r="G469" s="41" t="s">
        <v>21</v>
      </c>
      <c r="H469" s="40">
        <v>144</v>
      </c>
      <c r="I469" s="41" t="s">
        <v>43</v>
      </c>
      <c r="J469" s="42">
        <v>12600</v>
      </c>
      <c r="K469" s="38" t="s">
        <v>43</v>
      </c>
      <c r="L469" s="43">
        <v>0.125</v>
      </c>
      <c r="M469" s="43">
        <v>0.05</v>
      </c>
      <c r="N469" s="40"/>
      <c r="O469" s="41" t="s">
        <v>43</v>
      </c>
      <c r="P469" s="37">
        <f t="shared" si="108"/>
        <v>1116</v>
      </c>
      <c r="Q469" s="41" t="s">
        <v>43</v>
      </c>
      <c r="R469" s="42">
        <f t="shared" si="109"/>
        <v>11688705</v>
      </c>
      <c r="S469" s="42">
        <f t="shared" si="81"/>
        <v>10530364.864864863</v>
      </c>
    </row>
    <row r="470" spans="1:19" s="45" customFormat="1">
      <c r="A470" s="44"/>
      <c r="C470" s="139"/>
      <c r="D470" s="47"/>
      <c r="E470" s="48"/>
      <c r="F470" s="49"/>
      <c r="G470" s="50"/>
      <c r="H470" s="49"/>
      <c r="I470" s="50"/>
      <c r="J470" s="51"/>
      <c r="K470" s="47"/>
      <c r="L470" s="52"/>
      <c r="M470" s="52"/>
      <c r="N470" s="49"/>
      <c r="O470" s="50"/>
      <c r="P470" s="46"/>
      <c r="Q470" s="50"/>
      <c r="R470" s="51"/>
      <c r="S470" s="51"/>
    </row>
    <row r="471" spans="1:19" s="17" customFormat="1">
      <c r="A471" s="93" t="s">
        <v>380</v>
      </c>
      <c r="B471" s="17" t="s">
        <v>26</v>
      </c>
      <c r="C471" s="18"/>
      <c r="D471" s="19" t="s">
        <v>43</v>
      </c>
      <c r="E471" s="20"/>
      <c r="F471" s="21">
        <v>1</v>
      </c>
      <c r="G471" s="22" t="s">
        <v>21</v>
      </c>
      <c r="H471" s="21">
        <v>144</v>
      </c>
      <c r="I471" s="22" t="s">
        <v>43</v>
      </c>
      <c r="J471" s="23">
        <v>22200</v>
      </c>
      <c r="K471" s="19" t="s">
        <v>43</v>
      </c>
      <c r="L471" s="24"/>
      <c r="M471" s="24">
        <v>0.17</v>
      </c>
      <c r="N471" s="21"/>
      <c r="O471" s="22" t="s">
        <v>43</v>
      </c>
      <c r="P471" s="18">
        <f t="shared" si="108"/>
        <v>0</v>
      </c>
      <c r="Q471" s="22" t="s">
        <v>43</v>
      </c>
      <c r="R471" s="23">
        <f t="shared" si="109"/>
        <v>0</v>
      </c>
      <c r="S471" s="23">
        <f t="shared" si="81"/>
        <v>0</v>
      </c>
    </row>
    <row r="472" spans="1:19" s="26" customFormat="1">
      <c r="A472" s="94" t="s">
        <v>381</v>
      </c>
      <c r="B472" s="26" t="s">
        <v>26</v>
      </c>
      <c r="C472" s="27"/>
      <c r="D472" s="28" t="s">
        <v>43</v>
      </c>
      <c r="E472" s="29">
        <v>3</v>
      </c>
      <c r="F472" s="30">
        <v>1</v>
      </c>
      <c r="G472" s="31" t="s">
        <v>21</v>
      </c>
      <c r="H472" s="30">
        <v>144</v>
      </c>
      <c r="I472" s="31" t="s">
        <v>43</v>
      </c>
      <c r="J472" s="32">
        <f>1728000/144</f>
        <v>12000</v>
      </c>
      <c r="K472" s="28" t="s">
        <v>43</v>
      </c>
      <c r="L472" s="33"/>
      <c r="M472" s="33">
        <v>0.17</v>
      </c>
      <c r="N472" s="30">
        <f>2+2+12+12+72+72</f>
        <v>172</v>
      </c>
      <c r="O472" s="31" t="s">
        <v>43</v>
      </c>
      <c r="P472" s="27">
        <f t="shared" si="108"/>
        <v>260</v>
      </c>
      <c r="Q472" s="31" t="s">
        <v>43</v>
      </c>
      <c r="R472" s="32">
        <f t="shared" si="109"/>
        <v>2589600</v>
      </c>
      <c r="S472" s="32">
        <f t="shared" si="81"/>
        <v>2332972.9729729728</v>
      </c>
    </row>
    <row r="473" spans="1:19" s="17" customFormat="1">
      <c r="A473" s="93" t="s">
        <v>382</v>
      </c>
      <c r="B473" s="17" t="s">
        <v>26</v>
      </c>
      <c r="C473" s="18"/>
      <c r="D473" s="19" t="s">
        <v>43</v>
      </c>
      <c r="E473" s="20"/>
      <c r="F473" s="21">
        <v>1</v>
      </c>
      <c r="G473" s="22" t="s">
        <v>21</v>
      </c>
      <c r="H473" s="21">
        <v>144</v>
      </c>
      <c r="I473" s="22" t="s">
        <v>43</v>
      </c>
      <c r="J473" s="23">
        <v>13800</v>
      </c>
      <c r="K473" s="19" t="s">
        <v>43</v>
      </c>
      <c r="L473" s="24"/>
      <c r="M473" s="24">
        <v>0.17</v>
      </c>
      <c r="N473" s="21"/>
      <c r="O473" s="22" t="s">
        <v>43</v>
      </c>
      <c r="P473" s="18">
        <f t="shared" si="108"/>
        <v>0</v>
      </c>
      <c r="Q473" s="22" t="s">
        <v>43</v>
      </c>
      <c r="R473" s="23">
        <f t="shared" si="109"/>
        <v>0</v>
      </c>
      <c r="S473" s="23">
        <f t="shared" si="81"/>
        <v>0</v>
      </c>
    </row>
    <row r="474" spans="1:19" s="17" customFormat="1">
      <c r="A474" s="93" t="s">
        <v>383</v>
      </c>
      <c r="B474" s="17" t="s">
        <v>26</v>
      </c>
      <c r="C474" s="18"/>
      <c r="D474" s="19" t="s">
        <v>43</v>
      </c>
      <c r="E474" s="20"/>
      <c r="F474" s="21">
        <v>1</v>
      </c>
      <c r="G474" s="22" t="s">
        <v>21</v>
      </c>
      <c r="H474" s="21">
        <v>144</v>
      </c>
      <c r="I474" s="22" t="s">
        <v>43</v>
      </c>
      <c r="J474" s="23">
        <v>13800</v>
      </c>
      <c r="K474" s="19" t="s">
        <v>43</v>
      </c>
      <c r="L474" s="24"/>
      <c r="M474" s="24">
        <v>0.17</v>
      </c>
      <c r="N474" s="21"/>
      <c r="O474" s="22" t="s">
        <v>43</v>
      </c>
      <c r="P474" s="18">
        <f t="shared" si="108"/>
        <v>0</v>
      </c>
      <c r="Q474" s="22" t="s">
        <v>43</v>
      </c>
      <c r="R474" s="23">
        <f t="shared" si="109"/>
        <v>0</v>
      </c>
      <c r="S474" s="23">
        <f t="shared" si="81"/>
        <v>0</v>
      </c>
    </row>
    <row r="475" spans="1:19" s="17" customFormat="1">
      <c r="A475" s="93" t="s">
        <v>384</v>
      </c>
      <c r="B475" s="17" t="s">
        <v>26</v>
      </c>
      <c r="C475" s="18"/>
      <c r="D475" s="19" t="s">
        <v>43</v>
      </c>
      <c r="E475" s="20"/>
      <c r="F475" s="21">
        <v>1</v>
      </c>
      <c r="G475" s="22" t="s">
        <v>21</v>
      </c>
      <c r="H475" s="21">
        <v>144</v>
      </c>
      <c r="I475" s="22" t="s">
        <v>43</v>
      </c>
      <c r="J475" s="23">
        <v>13800</v>
      </c>
      <c r="K475" s="19" t="s">
        <v>43</v>
      </c>
      <c r="L475" s="24"/>
      <c r="M475" s="24">
        <v>0.17</v>
      </c>
      <c r="N475" s="21"/>
      <c r="O475" s="22" t="s">
        <v>43</v>
      </c>
      <c r="P475" s="18">
        <f t="shared" si="108"/>
        <v>0</v>
      </c>
      <c r="Q475" s="22" t="s">
        <v>43</v>
      </c>
      <c r="R475" s="23">
        <f t="shared" si="109"/>
        <v>0</v>
      </c>
      <c r="S475" s="23">
        <f t="shared" si="81"/>
        <v>0</v>
      </c>
    </row>
    <row r="476" spans="1:19" s="17" customFormat="1">
      <c r="A476" s="93" t="s">
        <v>385</v>
      </c>
      <c r="B476" s="17" t="s">
        <v>26</v>
      </c>
      <c r="C476" s="18"/>
      <c r="D476" s="19" t="s">
        <v>43</v>
      </c>
      <c r="E476" s="20"/>
      <c r="F476" s="21">
        <v>1</v>
      </c>
      <c r="G476" s="22" t="s">
        <v>21</v>
      </c>
      <c r="H476" s="21">
        <v>144</v>
      </c>
      <c r="I476" s="22" t="s">
        <v>43</v>
      </c>
      <c r="J476" s="23">
        <f>1987200/144</f>
        <v>13800</v>
      </c>
      <c r="K476" s="19" t="s">
        <v>43</v>
      </c>
      <c r="L476" s="24"/>
      <c r="M476" s="24">
        <v>0.17</v>
      </c>
      <c r="N476" s="21"/>
      <c r="O476" s="22" t="s">
        <v>43</v>
      </c>
      <c r="P476" s="18">
        <f t="shared" si="108"/>
        <v>0</v>
      </c>
      <c r="Q476" s="22" t="s">
        <v>43</v>
      </c>
      <c r="R476" s="23">
        <f t="shared" si="109"/>
        <v>0</v>
      </c>
      <c r="S476" s="23">
        <f t="shared" si="81"/>
        <v>0</v>
      </c>
    </row>
    <row r="477" spans="1:19" s="17" customFormat="1">
      <c r="A477" s="93" t="s">
        <v>386</v>
      </c>
      <c r="B477" s="17" t="s">
        <v>26</v>
      </c>
      <c r="C477" s="18"/>
      <c r="D477" s="19" t="s">
        <v>43</v>
      </c>
      <c r="E477" s="20"/>
      <c r="F477" s="21">
        <v>1</v>
      </c>
      <c r="G477" s="22" t="s">
        <v>21</v>
      </c>
      <c r="H477" s="21">
        <v>144</v>
      </c>
      <c r="I477" s="22" t="s">
        <v>43</v>
      </c>
      <c r="J477" s="23">
        <f>2073600/12/12</f>
        <v>14400</v>
      </c>
      <c r="K477" s="19" t="s">
        <v>43</v>
      </c>
      <c r="L477" s="24"/>
      <c r="M477" s="24">
        <v>0.17</v>
      </c>
      <c r="N477" s="21"/>
      <c r="O477" s="22" t="s">
        <v>43</v>
      </c>
      <c r="P477" s="18">
        <f t="shared" si="108"/>
        <v>0</v>
      </c>
      <c r="Q477" s="22" t="s">
        <v>43</v>
      </c>
      <c r="R477" s="23">
        <f t="shared" si="109"/>
        <v>0</v>
      </c>
      <c r="S477" s="23">
        <f t="shared" si="81"/>
        <v>0</v>
      </c>
    </row>
    <row r="478" spans="1:19" s="17" customFormat="1">
      <c r="A478" s="93"/>
      <c r="C478" s="18"/>
      <c r="D478" s="19"/>
      <c r="E478" s="20"/>
      <c r="F478" s="21"/>
      <c r="G478" s="22"/>
      <c r="H478" s="21"/>
      <c r="I478" s="22"/>
      <c r="J478" s="23"/>
      <c r="K478" s="19"/>
      <c r="L478" s="24"/>
      <c r="M478" s="24"/>
      <c r="N478" s="21"/>
      <c r="O478" s="22"/>
      <c r="P478" s="18"/>
      <c r="Q478" s="22"/>
      <c r="R478" s="23"/>
      <c r="S478" s="23"/>
    </row>
    <row r="479" spans="1:19">
      <c r="A479" s="15" t="s">
        <v>387</v>
      </c>
      <c r="S479" s="23"/>
    </row>
    <row r="480" spans="1:19">
      <c r="A480" s="34" t="s">
        <v>388</v>
      </c>
      <c r="B480" s="2" t="s">
        <v>192</v>
      </c>
      <c r="C480" s="3">
        <v>2112</v>
      </c>
      <c r="D480" s="4" t="s">
        <v>43</v>
      </c>
      <c r="F480" s="6">
        <v>1</v>
      </c>
      <c r="G480" s="7" t="s">
        <v>21</v>
      </c>
      <c r="H480" s="6">
        <v>240</v>
      </c>
      <c r="I480" s="7" t="s">
        <v>43</v>
      </c>
      <c r="J480" s="8">
        <v>10000</v>
      </c>
      <c r="K480" s="4" t="s">
        <v>43</v>
      </c>
      <c r="N480" s="30">
        <f>(36/12)</f>
        <v>3</v>
      </c>
      <c r="O480" s="7" t="s">
        <v>43</v>
      </c>
      <c r="P480" s="3">
        <f t="shared" ref="P480:P528" si="110">(C480+(E480*F480*H480))-N480</f>
        <v>2109</v>
      </c>
      <c r="Q480" s="7" t="s">
        <v>43</v>
      </c>
      <c r="R480" s="8">
        <f t="shared" ref="R480:R528" si="111">P480*(J480-(J480*L480)-((J480-(J480*L480))*M480))</f>
        <v>21090000</v>
      </c>
      <c r="S480" s="32">
        <f t="shared" si="81"/>
        <v>19000000</v>
      </c>
    </row>
    <row r="481" spans="1:19" s="26" customFormat="1">
      <c r="A481" s="25" t="s">
        <v>389</v>
      </c>
      <c r="B481" s="26" t="s">
        <v>192</v>
      </c>
      <c r="C481" s="27">
        <v>1510</v>
      </c>
      <c r="D481" s="28" t="s">
        <v>43</v>
      </c>
      <c r="E481" s="29"/>
      <c r="F481" s="30">
        <v>1</v>
      </c>
      <c r="G481" s="31" t="s">
        <v>21</v>
      </c>
      <c r="H481" s="30">
        <v>240</v>
      </c>
      <c r="I481" s="31" t="s">
        <v>43</v>
      </c>
      <c r="J481" s="32">
        <v>10000</v>
      </c>
      <c r="K481" s="28" t="s">
        <v>43</v>
      </c>
      <c r="L481" s="33"/>
      <c r="M481" s="33"/>
      <c r="N481" s="30">
        <f>(36/12)+2</f>
        <v>5</v>
      </c>
      <c r="O481" s="31" t="s">
        <v>43</v>
      </c>
      <c r="P481" s="27">
        <f t="shared" si="110"/>
        <v>1505</v>
      </c>
      <c r="Q481" s="31" t="s">
        <v>43</v>
      </c>
      <c r="R481" s="32">
        <f t="shared" si="111"/>
        <v>15050000</v>
      </c>
      <c r="S481" s="32">
        <f t="shared" si="81"/>
        <v>13558558.558558557</v>
      </c>
    </row>
    <row r="482" spans="1:19" s="26" customFormat="1">
      <c r="A482" s="25" t="s">
        <v>390</v>
      </c>
      <c r="B482" s="26" t="s">
        <v>192</v>
      </c>
      <c r="C482" s="27">
        <v>1154</v>
      </c>
      <c r="D482" s="28" t="s">
        <v>43</v>
      </c>
      <c r="E482" s="29"/>
      <c r="F482" s="30">
        <v>1</v>
      </c>
      <c r="G482" s="31" t="s">
        <v>21</v>
      </c>
      <c r="H482" s="30">
        <v>240</v>
      </c>
      <c r="I482" s="31" t="s">
        <v>43</v>
      </c>
      <c r="J482" s="32">
        <v>10000</v>
      </c>
      <c r="K482" s="28" t="s">
        <v>43</v>
      </c>
      <c r="L482" s="33"/>
      <c r="M482" s="33"/>
      <c r="N482" s="30"/>
      <c r="O482" s="31" t="s">
        <v>43</v>
      </c>
      <c r="P482" s="27">
        <f t="shared" si="110"/>
        <v>1154</v>
      </c>
      <c r="Q482" s="31" t="s">
        <v>43</v>
      </c>
      <c r="R482" s="32">
        <f t="shared" si="111"/>
        <v>11540000</v>
      </c>
      <c r="S482" s="32">
        <f t="shared" si="81"/>
        <v>10396396.396396395</v>
      </c>
    </row>
    <row r="483" spans="1:19" s="26" customFormat="1">
      <c r="A483" s="25" t="s">
        <v>391</v>
      </c>
      <c r="B483" s="26" t="s">
        <v>192</v>
      </c>
      <c r="C483" s="27">
        <v>19</v>
      </c>
      <c r="D483" s="28" t="s">
        <v>43</v>
      </c>
      <c r="E483" s="29"/>
      <c r="F483" s="30">
        <v>1</v>
      </c>
      <c r="G483" s="31" t="s">
        <v>21</v>
      </c>
      <c r="H483" s="30">
        <v>240</v>
      </c>
      <c r="I483" s="31" t="s">
        <v>43</v>
      </c>
      <c r="J483" s="32">
        <v>10000</v>
      </c>
      <c r="K483" s="28" t="s">
        <v>43</v>
      </c>
      <c r="L483" s="33"/>
      <c r="M483" s="33"/>
      <c r="N483" s="30"/>
      <c r="O483" s="31" t="s">
        <v>43</v>
      </c>
      <c r="P483" s="27">
        <f t="shared" si="110"/>
        <v>19</v>
      </c>
      <c r="Q483" s="31" t="s">
        <v>43</v>
      </c>
      <c r="R483" s="32">
        <f t="shared" si="111"/>
        <v>190000</v>
      </c>
      <c r="S483" s="32">
        <f t="shared" si="81"/>
        <v>171171.17117117115</v>
      </c>
    </row>
    <row r="484" spans="1:19" s="17" customFormat="1">
      <c r="A484" s="16"/>
      <c r="C484" s="18"/>
      <c r="D484" s="19"/>
      <c r="E484" s="20"/>
      <c r="F484" s="21"/>
      <c r="G484" s="22"/>
      <c r="H484" s="21"/>
      <c r="I484" s="22"/>
      <c r="J484" s="23"/>
      <c r="K484" s="19"/>
      <c r="L484" s="24"/>
      <c r="M484" s="24"/>
      <c r="N484" s="21"/>
      <c r="O484" s="22"/>
      <c r="P484" s="18"/>
      <c r="Q484" s="22"/>
      <c r="R484" s="23"/>
      <c r="S484" s="23"/>
    </row>
    <row r="485" spans="1:19" s="17" customFormat="1">
      <c r="A485" s="16" t="s">
        <v>421</v>
      </c>
      <c r="B485" s="17" t="s">
        <v>275</v>
      </c>
      <c r="C485" s="18"/>
      <c r="D485" s="19" t="s">
        <v>43</v>
      </c>
      <c r="E485" s="20">
        <v>1</v>
      </c>
      <c r="F485" s="21">
        <v>1</v>
      </c>
      <c r="G485" s="22" t="s">
        <v>21</v>
      </c>
      <c r="H485" s="21">
        <v>120</v>
      </c>
      <c r="I485" s="22" t="s">
        <v>43</v>
      </c>
      <c r="J485" s="23">
        <v>25500</v>
      </c>
      <c r="K485" s="19" t="s">
        <v>43</v>
      </c>
      <c r="L485" s="24"/>
      <c r="M485" s="24"/>
      <c r="N485" s="21">
        <v>120</v>
      </c>
      <c r="O485" s="22" t="s">
        <v>43</v>
      </c>
      <c r="P485" s="18">
        <f>(C485+(E485*F485*H485))-N485</f>
        <v>0</v>
      </c>
      <c r="Q485" s="22" t="s">
        <v>43</v>
      </c>
      <c r="R485" s="23">
        <f>P485*(J485-(J485*L485)-((J485-(J485*L485))*M485))</f>
        <v>0</v>
      </c>
      <c r="S485" s="23">
        <f>R485/1.11</f>
        <v>0</v>
      </c>
    </row>
    <row r="486" spans="1:19" s="17" customFormat="1">
      <c r="A486" s="16" t="s">
        <v>849</v>
      </c>
      <c r="B486" s="17" t="s">
        <v>275</v>
      </c>
      <c r="C486" s="18"/>
      <c r="D486" s="19" t="s">
        <v>43</v>
      </c>
      <c r="E486" s="20">
        <v>1</v>
      </c>
      <c r="F486" s="21">
        <v>1</v>
      </c>
      <c r="G486" s="22" t="s">
        <v>21</v>
      </c>
      <c r="H486" s="21">
        <v>120</v>
      </c>
      <c r="I486" s="22" t="s">
        <v>43</v>
      </c>
      <c r="J486" s="23">
        <v>19000</v>
      </c>
      <c r="K486" s="19" t="s">
        <v>43</v>
      </c>
      <c r="L486" s="24"/>
      <c r="M486" s="24"/>
      <c r="N486" s="21">
        <v>120</v>
      </c>
      <c r="O486" s="22" t="s">
        <v>43</v>
      </c>
      <c r="P486" s="18">
        <f>(C486+(E486*F486*H486))-N486</f>
        <v>0</v>
      </c>
      <c r="Q486" s="22" t="s">
        <v>43</v>
      </c>
      <c r="R486" s="23">
        <f>P486*(J486-(J486*L486)-((J486-(J486*L486))*M486))</f>
        <v>0</v>
      </c>
      <c r="S486" s="23">
        <f t="shared" ref="S486" si="112">R486/1.11</f>
        <v>0</v>
      </c>
    </row>
    <row r="487" spans="1:19" s="26" customFormat="1">
      <c r="A487" s="25"/>
      <c r="C487" s="27"/>
      <c r="D487" s="28"/>
      <c r="E487" s="29"/>
      <c r="F487" s="30"/>
      <c r="G487" s="31"/>
      <c r="H487" s="30"/>
      <c r="I487" s="31"/>
      <c r="J487" s="32"/>
      <c r="K487" s="28"/>
      <c r="L487" s="33"/>
      <c r="M487" s="33"/>
      <c r="N487" s="30"/>
      <c r="O487" s="31"/>
      <c r="P487" s="27"/>
      <c r="Q487" s="31"/>
      <c r="R487" s="32"/>
      <c r="S487" s="32"/>
    </row>
    <row r="488" spans="1:19" s="17" customFormat="1">
      <c r="A488" s="16" t="s">
        <v>392</v>
      </c>
      <c r="B488" s="17" t="s">
        <v>19</v>
      </c>
      <c r="C488" s="18"/>
      <c r="D488" s="19" t="s">
        <v>43</v>
      </c>
      <c r="E488" s="20"/>
      <c r="F488" s="21">
        <v>1</v>
      </c>
      <c r="G488" s="22" t="s">
        <v>21</v>
      </c>
      <c r="H488" s="21">
        <v>144</v>
      </c>
      <c r="I488" s="22" t="s">
        <v>43</v>
      </c>
      <c r="J488" s="23">
        <v>19800</v>
      </c>
      <c r="K488" s="19" t="s">
        <v>43</v>
      </c>
      <c r="L488" s="24">
        <v>0.125</v>
      </c>
      <c r="M488" s="24">
        <v>0.05</v>
      </c>
      <c r="N488" s="21"/>
      <c r="O488" s="22" t="s">
        <v>43</v>
      </c>
      <c r="P488" s="18">
        <f t="shared" si="110"/>
        <v>0</v>
      </c>
      <c r="Q488" s="22" t="s">
        <v>43</v>
      </c>
      <c r="R488" s="23">
        <f t="shared" si="111"/>
        <v>0</v>
      </c>
      <c r="S488" s="23">
        <f t="shared" si="81"/>
        <v>0</v>
      </c>
    </row>
    <row r="489" spans="1:19" s="17" customFormat="1">
      <c r="A489" s="16" t="s">
        <v>393</v>
      </c>
      <c r="B489" s="17" t="s">
        <v>19</v>
      </c>
      <c r="C489" s="18"/>
      <c r="D489" s="19" t="s">
        <v>43</v>
      </c>
      <c r="E489" s="20"/>
      <c r="F489" s="21">
        <v>1</v>
      </c>
      <c r="G489" s="22" t="s">
        <v>21</v>
      </c>
      <c r="H489" s="21">
        <v>144</v>
      </c>
      <c r="I489" s="22" t="s">
        <v>43</v>
      </c>
      <c r="J489" s="23">
        <v>20400</v>
      </c>
      <c r="K489" s="19" t="s">
        <v>43</v>
      </c>
      <c r="L489" s="24">
        <v>0.125</v>
      </c>
      <c r="M489" s="24">
        <v>0.05</v>
      </c>
      <c r="N489" s="21"/>
      <c r="O489" s="22" t="s">
        <v>43</v>
      </c>
      <c r="P489" s="18">
        <f t="shared" si="110"/>
        <v>0</v>
      </c>
      <c r="Q489" s="22" t="s">
        <v>43</v>
      </c>
      <c r="R489" s="23">
        <f t="shared" si="111"/>
        <v>0</v>
      </c>
      <c r="S489" s="23">
        <f t="shared" si="81"/>
        <v>0</v>
      </c>
    </row>
    <row r="490" spans="1:19" s="17" customFormat="1">
      <c r="A490" s="93" t="s">
        <v>732</v>
      </c>
      <c r="B490" s="17" t="s">
        <v>19</v>
      </c>
      <c r="C490" s="18"/>
      <c r="D490" s="19" t="s">
        <v>43</v>
      </c>
      <c r="E490" s="20"/>
      <c r="F490" s="21">
        <v>1</v>
      </c>
      <c r="G490" s="22" t="s">
        <v>21</v>
      </c>
      <c r="H490" s="21">
        <v>144</v>
      </c>
      <c r="I490" s="22" t="s">
        <v>43</v>
      </c>
      <c r="J490" s="23">
        <v>69600</v>
      </c>
      <c r="K490" s="19" t="s">
        <v>43</v>
      </c>
      <c r="L490" s="24">
        <v>0.125</v>
      </c>
      <c r="M490" s="24">
        <v>0.05</v>
      </c>
      <c r="N490" s="21"/>
      <c r="O490" s="22" t="s">
        <v>43</v>
      </c>
      <c r="P490" s="18">
        <f t="shared" si="110"/>
        <v>0</v>
      </c>
      <c r="Q490" s="22" t="s">
        <v>43</v>
      </c>
      <c r="R490" s="23">
        <f t="shared" si="111"/>
        <v>0</v>
      </c>
      <c r="S490" s="23">
        <f t="shared" si="81"/>
        <v>0</v>
      </c>
    </row>
    <row r="491" spans="1:19" s="17" customFormat="1">
      <c r="A491" s="93" t="s">
        <v>394</v>
      </c>
      <c r="B491" s="17" t="s">
        <v>19</v>
      </c>
      <c r="C491" s="18"/>
      <c r="D491" s="19" t="s">
        <v>43</v>
      </c>
      <c r="E491" s="20"/>
      <c r="F491" s="21">
        <v>1</v>
      </c>
      <c r="G491" s="22" t="s">
        <v>21</v>
      </c>
      <c r="H491" s="21">
        <v>144</v>
      </c>
      <c r="I491" s="22" t="s">
        <v>43</v>
      </c>
      <c r="J491" s="23">
        <v>27000</v>
      </c>
      <c r="K491" s="19" t="s">
        <v>43</v>
      </c>
      <c r="L491" s="24">
        <v>0.125</v>
      </c>
      <c r="M491" s="24">
        <v>0.05</v>
      </c>
      <c r="N491" s="21"/>
      <c r="O491" s="22" t="s">
        <v>43</v>
      </c>
      <c r="P491" s="18">
        <f t="shared" si="110"/>
        <v>0</v>
      </c>
      <c r="Q491" s="22" t="s">
        <v>43</v>
      </c>
      <c r="R491" s="23">
        <f t="shared" si="111"/>
        <v>0</v>
      </c>
      <c r="S491" s="23">
        <f t="shared" si="81"/>
        <v>0</v>
      </c>
    </row>
    <row r="492" spans="1:19" s="17" customFormat="1">
      <c r="A492" s="93" t="s">
        <v>797</v>
      </c>
      <c r="B492" s="17" t="s">
        <v>19</v>
      </c>
      <c r="C492" s="18"/>
      <c r="D492" s="19" t="s">
        <v>43</v>
      </c>
      <c r="E492" s="20">
        <v>1</v>
      </c>
      <c r="F492" s="21">
        <v>1</v>
      </c>
      <c r="G492" s="22" t="s">
        <v>21</v>
      </c>
      <c r="H492" s="21">
        <v>144</v>
      </c>
      <c r="I492" s="22" t="s">
        <v>43</v>
      </c>
      <c r="J492" s="23">
        <v>21600</v>
      </c>
      <c r="K492" s="19" t="s">
        <v>43</v>
      </c>
      <c r="L492" s="24">
        <v>0.125</v>
      </c>
      <c r="M492" s="24">
        <v>0.05</v>
      </c>
      <c r="N492" s="21">
        <v>144</v>
      </c>
      <c r="O492" s="22" t="s">
        <v>43</v>
      </c>
      <c r="P492" s="18">
        <f t="shared" si="110"/>
        <v>0</v>
      </c>
      <c r="Q492" s="22" t="s">
        <v>43</v>
      </c>
      <c r="R492" s="23">
        <f t="shared" si="111"/>
        <v>0</v>
      </c>
      <c r="S492" s="23">
        <f t="shared" ref="S492:S565" si="113">R492/1.11</f>
        <v>0</v>
      </c>
    </row>
    <row r="493" spans="1:19" s="17" customFormat="1">
      <c r="A493" s="93" t="s">
        <v>395</v>
      </c>
      <c r="B493" s="17" t="s">
        <v>19</v>
      </c>
      <c r="C493" s="18"/>
      <c r="D493" s="19" t="s">
        <v>43</v>
      </c>
      <c r="E493" s="20"/>
      <c r="F493" s="21">
        <v>1</v>
      </c>
      <c r="G493" s="22" t="s">
        <v>21</v>
      </c>
      <c r="H493" s="21">
        <v>144</v>
      </c>
      <c r="I493" s="22" t="s">
        <v>43</v>
      </c>
      <c r="J493" s="23">
        <v>43200</v>
      </c>
      <c r="K493" s="19" t="s">
        <v>43</v>
      </c>
      <c r="L493" s="24">
        <v>0.125</v>
      </c>
      <c r="M493" s="24">
        <v>0.05</v>
      </c>
      <c r="N493" s="21"/>
      <c r="O493" s="22" t="s">
        <v>43</v>
      </c>
      <c r="P493" s="18">
        <f t="shared" si="110"/>
        <v>0</v>
      </c>
      <c r="Q493" s="22" t="s">
        <v>43</v>
      </c>
      <c r="R493" s="23">
        <f t="shared" si="111"/>
        <v>0</v>
      </c>
      <c r="S493" s="23">
        <f t="shared" si="113"/>
        <v>0</v>
      </c>
    </row>
    <row r="494" spans="1:19" s="17" customFormat="1">
      <c r="A494" s="93" t="s">
        <v>396</v>
      </c>
      <c r="B494" s="17" t="s">
        <v>19</v>
      </c>
      <c r="C494" s="18"/>
      <c r="D494" s="19" t="s">
        <v>43</v>
      </c>
      <c r="E494" s="20"/>
      <c r="F494" s="21">
        <v>1</v>
      </c>
      <c r="G494" s="22" t="s">
        <v>21</v>
      </c>
      <c r="H494" s="21">
        <v>144</v>
      </c>
      <c r="I494" s="22" t="s">
        <v>43</v>
      </c>
      <c r="J494" s="23">
        <v>22800</v>
      </c>
      <c r="K494" s="19" t="s">
        <v>43</v>
      </c>
      <c r="L494" s="24">
        <v>0.125</v>
      </c>
      <c r="M494" s="24">
        <v>0.05</v>
      </c>
      <c r="N494" s="21"/>
      <c r="O494" s="22" t="s">
        <v>43</v>
      </c>
      <c r="P494" s="18">
        <f t="shared" si="110"/>
        <v>0</v>
      </c>
      <c r="Q494" s="22" t="s">
        <v>43</v>
      </c>
      <c r="R494" s="23">
        <f t="shared" si="111"/>
        <v>0</v>
      </c>
      <c r="S494" s="23">
        <f t="shared" si="113"/>
        <v>0</v>
      </c>
    </row>
    <row r="495" spans="1:19" s="45" customFormat="1">
      <c r="A495" s="302" t="s">
        <v>397</v>
      </c>
      <c r="B495" s="254" t="s">
        <v>19</v>
      </c>
      <c r="C495" s="255">
        <v>964</v>
      </c>
      <c r="D495" s="256" t="s">
        <v>43</v>
      </c>
      <c r="E495" s="257"/>
      <c r="F495" s="258">
        <v>1</v>
      </c>
      <c r="G495" s="259" t="s">
        <v>21</v>
      </c>
      <c r="H495" s="258">
        <v>144</v>
      </c>
      <c r="I495" s="259" t="s">
        <v>43</v>
      </c>
      <c r="J495" s="260">
        <v>26400</v>
      </c>
      <c r="K495" s="256" t="s">
        <v>43</v>
      </c>
      <c r="L495" s="261">
        <v>0.125</v>
      </c>
      <c r="M495" s="261">
        <v>0.05</v>
      </c>
      <c r="N495" s="258">
        <f>144+36+(2+2)</f>
        <v>184</v>
      </c>
      <c r="O495" s="303" t="s">
        <v>43</v>
      </c>
      <c r="P495" s="255">
        <f t="shared" si="110"/>
        <v>780</v>
      </c>
      <c r="Q495" s="259" t="s">
        <v>43</v>
      </c>
      <c r="R495" s="260">
        <f t="shared" si="111"/>
        <v>17117100</v>
      </c>
      <c r="S495" s="260">
        <f t="shared" si="113"/>
        <v>15420810.81081081</v>
      </c>
    </row>
    <row r="496" spans="1:19" s="45" customFormat="1">
      <c r="A496" s="302" t="s">
        <v>850</v>
      </c>
      <c r="B496" s="254" t="s">
        <v>19</v>
      </c>
      <c r="C496" s="255">
        <f>4+30+6+60+24+14</f>
        <v>138</v>
      </c>
      <c r="D496" s="256" t="s">
        <v>43</v>
      </c>
      <c r="E496" s="257"/>
      <c r="F496" s="258">
        <v>1</v>
      </c>
      <c r="G496" s="259" t="s">
        <v>21</v>
      </c>
      <c r="H496" s="258">
        <v>144</v>
      </c>
      <c r="I496" s="259" t="s">
        <v>43</v>
      </c>
      <c r="J496" s="260"/>
      <c r="K496" s="256" t="s">
        <v>43</v>
      </c>
      <c r="L496" s="261"/>
      <c r="M496" s="261"/>
      <c r="N496" s="258"/>
      <c r="O496" s="303" t="s">
        <v>43</v>
      </c>
      <c r="P496" s="255">
        <f t="shared" ref="P496" si="114">(C496+(E496*F496*H496))-N496</f>
        <v>138</v>
      </c>
      <c r="Q496" s="259" t="s">
        <v>43</v>
      </c>
      <c r="R496" s="260">
        <f t="shared" ref="R496" si="115">P496*(J496-(J496*L496)-((J496-(J496*L496))*M496))</f>
        <v>0</v>
      </c>
      <c r="S496" s="260">
        <f t="shared" ref="S496" si="116">R496/1.11</f>
        <v>0</v>
      </c>
    </row>
    <row r="497" spans="1:20" s="17" customFormat="1">
      <c r="A497" s="286" t="s">
        <v>398</v>
      </c>
      <c r="B497" s="96" t="s">
        <v>19</v>
      </c>
      <c r="C497" s="97">
        <v>111</v>
      </c>
      <c r="D497" s="98" t="s">
        <v>43</v>
      </c>
      <c r="E497" s="105"/>
      <c r="F497" s="100">
        <v>1</v>
      </c>
      <c r="G497" s="101" t="s">
        <v>21</v>
      </c>
      <c r="H497" s="100">
        <v>144</v>
      </c>
      <c r="I497" s="101" t="s">
        <v>43</v>
      </c>
      <c r="J497" s="102">
        <v>27000</v>
      </c>
      <c r="K497" s="98" t="s">
        <v>43</v>
      </c>
      <c r="L497" s="103">
        <v>0.125</v>
      </c>
      <c r="M497" s="103">
        <v>0.05</v>
      </c>
      <c r="N497" s="100">
        <f>36+3+2+24+144-98</f>
        <v>111</v>
      </c>
      <c r="O497" s="101" t="s">
        <v>43</v>
      </c>
      <c r="P497" s="97">
        <f t="shared" si="110"/>
        <v>0</v>
      </c>
      <c r="Q497" s="101" t="s">
        <v>43</v>
      </c>
      <c r="R497" s="102">
        <f t="shared" si="111"/>
        <v>0</v>
      </c>
      <c r="S497" s="102">
        <f t="shared" si="113"/>
        <v>0</v>
      </c>
    </row>
    <row r="498" spans="1:20" s="26" customFormat="1">
      <c r="A498" s="210" t="s">
        <v>398</v>
      </c>
      <c r="B498" s="36" t="s">
        <v>19</v>
      </c>
      <c r="C498" s="37">
        <v>288</v>
      </c>
      <c r="D498" s="38" t="s">
        <v>43</v>
      </c>
      <c r="E498" s="39">
        <v>3</v>
      </c>
      <c r="F498" s="40">
        <v>1</v>
      </c>
      <c r="G498" s="41" t="s">
        <v>21</v>
      </c>
      <c r="H498" s="40">
        <v>144</v>
      </c>
      <c r="I498" s="41" t="s">
        <v>43</v>
      </c>
      <c r="J498" s="42">
        <v>27600</v>
      </c>
      <c r="K498" s="38" t="s">
        <v>43</v>
      </c>
      <c r="L498" s="43">
        <v>0.125</v>
      </c>
      <c r="M498" s="43">
        <v>0.05</v>
      </c>
      <c r="N498" s="40">
        <f>(144-46)+144</f>
        <v>242</v>
      </c>
      <c r="O498" s="41" t="s">
        <v>43</v>
      </c>
      <c r="P498" s="37">
        <f t="shared" si="110"/>
        <v>478</v>
      </c>
      <c r="Q498" s="41" t="s">
        <v>43</v>
      </c>
      <c r="R498" s="42">
        <f t="shared" si="111"/>
        <v>10966515</v>
      </c>
      <c r="S498" s="42">
        <f t="shared" si="113"/>
        <v>9879743.2432432417</v>
      </c>
    </row>
    <row r="499" spans="1:20" s="17" customFormat="1">
      <c r="A499" s="93" t="s">
        <v>399</v>
      </c>
      <c r="B499" s="17" t="s">
        <v>19</v>
      </c>
      <c r="C499" s="18"/>
      <c r="D499" s="19" t="s">
        <v>43</v>
      </c>
      <c r="E499" s="20"/>
      <c r="F499" s="21">
        <v>1</v>
      </c>
      <c r="G499" s="22" t="s">
        <v>21</v>
      </c>
      <c r="H499" s="21">
        <v>144</v>
      </c>
      <c r="I499" s="22" t="s">
        <v>43</v>
      </c>
      <c r="J499" s="23">
        <v>25800</v>
      </c>
      <c r="K499" s="19" t="s">
        <v>43</v>
      </c>
      <c r="L499" s="24">
        <v>0.125</v>
      </c>
      <c r="M499" s="24">
        <v>0.05</v>
      </c>
      <c r="N499" s="21"/>
      <c r="O499" s="22" t="s">
        <v>43</v>
      </c>
      <c r="P499" s="18">
        <f t="shared" si="110"/>
        <v>0</v>
      </c>
      <c r="Q499" s="22" t="s">
        <v>43</v>
      </c>
      <c r="R499" s="23">
        <f t="shared" si="111"/>
        <v>0</v>
      </c>
      <c r="S499" s="23">
        <f t="shared" si="113"/>
        <v>0</v>
      </c>
    </row>
    <row r="500" spans="1:20" s="26" customFormat="1">
      <c r="A500" s="25" t="s">
        <v>400</v>
      </c>
      <c r="B500" s="26" t="s">
        <v>19</v>
      </c>
      <c r="C500" s="27"/>
      <c r="D500" s="28" t="s">
        <v>43</v>
      </c>
      <c r="E500" s="29">
        <f>2+2</f>
        <v>4</v>
      </c>
      <c r="F500" s="30">
        <v>1</v>
      </c>
      <c r="G500" s="31" t="s">
        <v>21</v>
      </c>
      <c r="H500" s="30">
        <v>144</v>
      </c>
      <c r="I500" s="31" t="s">
        <v>43</v>
      </c>
      <c r="J500" s="32">
        <v>14100</v>
      </c>
      <c r="K500" s="28" t="s">
        <v>43</v>
      </c>
      <c r="L500" s="33">
        <v>0.125</v>
      </c>
      <c r="M500" s="33">
        <v>0.05</v>
      </c>
      <c r="N500" s="30">
        <f>288+36+33+72</f>
        <v>429</v>
      </c>
      <c r="O500" s="31" t="s">
        <v>43</v>
      </c>
      <c r="P500" s="27">
        <f t="shared" si="110"/>
        <v>147</v>
      </c>
      <c r="Q500" s="31" t="s">
        <v>43</v>
      </c>
      <c r="R500" s="32">
        <f t="shared" si="111"/>
        <v>1722931.875</v>
      </c>
      <c r="S500" s="32">
        <f t="shared" si="113"/>
        <v>1552190.8783783782</v>
      </c>
    </row>
    <row r="501" spans="1:20" s="17" customFormat="1">
      <c r="A501" s="16" t="s">
        <v>780</v>
      </c>
      <c r="B501" s="17" t="s">
        <v>19</v>
      </c>
      <c r="C501" s="18"/>
      <c r="D501" s="19" t="s">
        <v>43</v>
      </c>
      <c r="E501" s="20"/>
      <c r="F501" s="21">
        <v>1</v>
      </c>
      <c r="G501" s="22" t="s">
        <v>21</v>
      </c>
      <c r="H501" s="21">
        <v>144</v>
      </c>
      <c r="I501" s="22" t="s">
        <v>43</v>
      </c>
      <c r="J501" s="23">
        <v>25800</v>
      </c>
      <c r="K501" s="19" t="s">
        <v>43</v>
      </c>
      <c r="L501" s="24">
        <v>0.125</v>
      </c>
      <c r="M501" s="24">
        <v>0.05</v>
      </c>
      <c r="N501" s="21"/>
      <c r="O501" s="22" t="s">
        <v>43</v>
      </c>
      <c r="P501" s="18">
        <f t="shared" si="110"/>
        <v>0</v>
      </c>
      <c r="Q501" s="22" t="s">
        <v>43</v>
      </c>
      <c r="R501" s="23">
        <f t="shared" si="111"/>
        <v>0</v>
      </c>
      <c r="S501" s="23">
        <f t="shared" si="113"/>
        <v>0</v>
      </c>
    </row>
    <row r="502" spans="1:20" s="26" customFormat="1">
      <c r="A502" s="25" t="s">
        <v>401</v>
      </c>
      <c r="B502" s="26" t="s">
        <v>19</v>
      </c>
      <c r="C502" s="27">
        <v>288</v>
      </c>
      <c r="D502" s="28" t="s">
        <v>43</v>
      </c>
      <c r="E502" s="29"/>
      <c r="F502" s="30">
        <v>1</v>
      </c>
      <c r="G502" s="31" t="s">
        <v>21</v>
      </c>
      <c r="H502" s="30">
        <v>144</v>
      </c>
      <c r="I502" s="31" t="s">
        <v>43</v>
      </c>
      <c r="J502" s="32">
        <v>20400</v>
      </c>
      <c r="K502" s="28" t="s">
        <v>43</v>
      </c>
      <c r="L502" s="33">
        <v>0.125</v>
      </c>
      <c r="M502" s="33">
        <v>0.05</v>
      </c>
      <c r="N502" s="30"/>
      <c r="O502" s="31" t="s">
        <v>43</v>
      </c>
      <c r="P502" s="27">
        <f t="shared" si="110"/>
        <v>288</v>
      </c>
      <c r="Q502" s="31" t="s">
        <v>43</v>
      </c>
      <c r="R502" s="32">
        <f t="shared" si="111"/>
        <v>4883760</v>
      </c>
      <c r="S502" s="32">
        <f t="shared" si="113"/>
        <v>4399783.7837837832</v>
      </c>
    </row>
    <row r="503" spans="1:20" s="26" customFormat="1">
      <c r="A503" s="25"/>
      <c r="C503" s="27"/>
      <c r="D503" s="28"/>
      <c r="E503" s="29"/>
      <c r="F503" s="30"/>
      <c r="G503" s="31"/>
      <c r="H503" s="30"/>
      <c r="I503" s="31"/>
      <c r="J503" s="32"/>
      <c r="K503" s="28"/>
      <c r="L503" s="33"/>
      <c r="M503" s="33"/>
      <c r="N503" s="30"/>
      <c r="O503" s="31"/>
      <c r="P503" s="27"/>
      <c r="Q503" s="31"/>
      <c r="R503" s="32"/>
      <c r="S503" s="32"/>
    </row>
    <row r="504" spans="1:20" s="17" customFormat="1">
      <c r="A504" s="16" t="s">
        <v>402</v>
      </c>
      <c r="B504" s="17" t="s">
        <v>26</v>
      </c>
      <c r="C504" s="18"/>
      <c r="D504" s="19" t="s">
        <v>43</v>
      </c>
      <c r="E504" s="20"/>
      <c r="F504" s="21">
        <v>1</v>
      </c>
      <c r="G504" s="22" t="s">
        <v>21</v>
      </c>
      <c r="H504" s="21">
        <v>144</v>
      </c>
      <c r="I504" s="22" t="s">
        <v>43</v>
      </c>
      <c r="J504" s="23">
        <v>25200</v>
      </c>
      <c r="K504" s="19" t="s">
        <v>43</v>
      </c>
      <c r="L504" s="24"/>
      <c r="M504" s="24">
        <v>0.17</v>
      </c>
      <c r="N504" s="21"/>
      <c r="O504" s="22" t="s">
        <v>43</v>
      </c>
      <c r="P504" s="18">
        <f t="shared" si="110"/>
        <v>0</v>
      </c>
      <c r="Q504" s="22" t="s">
        <v>43</v>
      </c>
      <c r="R504" s="23">
        <f t="shared" si="111"/>
        <v>0</v>
      </c>
      <c r="S504" s="23">
        <f t="shared" si="113"/>
        <v>0</v>
      </c>
    </row>
    <row r="505" spans="1:20" s="26" customFormat="1">
      <c r="A505" s="25" t="s">
        <v>751</v>
      </c>
      <c r="B505" s="26" t="s">
        <v>26</v>
      </c>
      <c r="C505" s="27">
        <v>144</v>
      </c>
      <c r="D505" s="28" t="s">
        <v>43</v>
      </c>
      <c r="E505" s="29">
        <v>2</v>
      </c>
      <c r="F505" s="30">
        <v>1</v>
      </c>
      <c r="G505" s="31" t="s">
        <v>21</v>
      </c>
      <c r="H505" s="30">
        <v>144</v>
      </c>
      <c r="I505" s="31" t="s">
        <v>43</v>
      </c>
      <c r="J505" s="32">
        <f>3758400/144</f>
        <v>26100</v>
      </c>
      <c r="K505" s="28" t="s">
        <v>43</v>
      </c>
      <c r="L505" s="33"/>
      <c r="M505" s="33">
        <v>0.17</v>
      </c>
      <c r="N505" s="30">
        <v>288</v>
      </c>
      <c r="O505" s="31" t="s">
        <v>43</v>
      </c>
      <c r="P505" s="27">
        <f t="shared" si="110"/>
        <v>144</v>
      </c>
      <c r="Q505" s="31" t="s">
        <v>43</v>
      </c>
      <c r="R505" s="32">
        <f t="shared" si="111"/>
        <v>3119472</v>
      </c>
      <c r="S505" s="32">
        <f t="shared" si="113"/>
        <v>2810335.1351351347</v>
      </c>
    </row>
    <row r="506" spans="1:20" s="26" customFormat="1">
      <c r="A506" s="25" t="s">
        <v>403</v>
      </c>
      <c r="B506" s="26" t="s">
        <v>26</v>
      </c>
      <c r="C506" s="27">
        <v>96</v>
      </c>
      <c r="D506" s="28" t="s">
        <v>43</v>
      </c>
      <c r="E506" s="29"/>
      <c r="F506" s="30">
        <v>1</v>
      </c>
      <c r="G506" s="31" t="s">
        <v>21</v>
      </c>
      <c r="H506" s="30">
        <v>144</v>
      </c>
      <c r="I506" s="31" t="s">
        <v>43</v>
      </c>
      <c r="J506" s="32">
        <f>3715200/144</f>
        <v>25800</v>
      </c>
      <c r="K506" s="28" t="s">
        <v>43</v>
      </c>
      <c r="L506" s="33"/>
      <c r="M506" s="33">
        <v>0.17</v>
      </c>
      <c r="N506" s="30">
        <v>36</v>
      </c>
      <c r="O506" s="31" t="s">
        <v>43</v>
      </c>
      <c r="P506" s="27">
        <f t="shared" si="110"/>
        <v>60</v>
      </c>
      <c r="Q506" s="31" t="s">
        <v>43</v>
      </c>
      <c r="R506" s="32">
        <f t="shared" si="111"/>
        <v>1284840</v>
      </c>
      <c r="S506" s="32">
        <f t="shared" si="113"/>
        <v>1157513.5135135134</v>
      </c>
    </row>
    <row r="507" spans="1:20" s="17" customFormat="1">
      <c r="A507" s="16" t="s">
        <v>414</v>
      </c>
      <c r="B507" s="17" t="s">
        <v>26</v>
      </c>
      <c r="C507" s="18"/>
      <c r="D507" s="19" t="s">
        <v>43</v>
      </c>
      <c r="E507" s="20"/>
      <c r="F507" s="21">
        <v>1</v>
      </c>
      <c r="G507" s="22" t="s">
        <v>21</v>
      </c>
      <c r="H507" s="21">
        <v>144</v>
      </c>
      <c r="I507" s="22" t="s">
        <v>43</v>
      </c>
      <c r="J507" s="23">
        <v>25800</v>
      </c>
      <c r="K507" s="19" t="s">
        <v>43</v>
      </c>
      <c r="L507" s="24"/>
      <c r="M507" s="24">
        <v>0.17</v>
      </c>
      <c r="N507" s="21"/>
      <c r="O507" s="22" t="s">
        <v>43</v>
      </c>
      <c r="P507" s="18">
        <f>(C507+(E507*F507*H507))-N507</f>
        <v>0</v>
      </c>
      <c r="Q507" s="22" t="s">
        <v>43</v>
      </c>
      <c r="R507" s="23">
        <f>P507*(J507-(J507*L507)-((J507-(J507*L507))*M507))</f>
        <v>0</v>
      </c>
      <c r="S507" s="23">
        <f>R507/1.11</f>
        <v>0</v>
      </c>
    </row>
    <row r="508" spans="1:20" s="26" customFormat="1">
      <c r="A508" s="94" t="s">
        <v>404</v>
      </c>
      <c r="B508" s="26" t="s">
        <v>26</v>
      </c>
      <c r="C508" s="27">
        <v>406</v>
      </c>
      <c r="D508" s="28" t="s">
        <v>43</v>
      </c>
      <c r="E508" s="29">
        <f>5+5+1</f>
        <v>11</v>
      </c>
      <c r="F508" s="30">
        <v>1</v>
      </c>
      <c r="G508" s="31" t="s">
        <v>21</v>
      </c>
      <c r="H508" s="30">
        <v>144</v>
      </c>
      <c r="I508" s="31" t="s">
        <v>43</v>
      </c>
      <c r="J508" s="32">
        <f>3758400/144</f>
        <v>26100</v>
      </c>
      <c r="K508" s="28" t="s">
        <v>43</v>
      </c>
      <c r="L508" s="33"/>
      <c r="M508" s="33">
        <v>0.17</v>
      </c>
      <c r="N508" s="30">
        <f>24+36+36+144+144+288+144+8+36+72+1</f>
        <v>933</v>
      </c>
      <c r="O508" s="31" t="s">
        <v>43</v>
      </c>
      <c r="P508" s="27">
        <f t="shared" si="110"/>
        <v>1057</v>
      </c>
      <c r="Q508" s="31" t="s">
        <v>43</v>
      </c>
      <c r="R508" s="32">
        <f t="shared" si="111"/>
        <v>22897791</v>
      </c>
      <c r="S508" s="32">
        <f t="shared" si="113"/>
        <v>20628640.540540539</v>
      </c>
    </row>
    <row r="509" spans="1:20">
      <c r="A509" s="93" t="s">
        <v>405</v>
      </c>
      <c r="B509" s="17" t="s">
        <v>26</v>
      </c>
      <c r="C509" s="18">
        <v>8</v>
      </c>
      <c r="D509" s="19" t="s">
        <v>43</v>
      </c>
      <c r="E509" s="20"/>
      <c r="F509" s="21">
        <v>1</v>
      </c>
      <c r="G509" s="22" t="s">
        <v>21</v>
      </c>
      <c r="H509" s="21">
        <v>144</v>
      </c>
      <c r="I509" s="22" t="s">
        <v>43</v>
      </c>
      <c r="J509" s="23">
        <f>3628800/144</f>
        <v>25200</v>
      </c>
      <c r="K509" s="19" t="s">
        <v>43</v>
      </c>
      <c r="L509" s="24"/>
      <c r="M509" s="24">
        <v>0.17</v>
      </c>
      <c r="N509" s="21">
        <f>3+3+2</f>
        <v>8</v>
      </c>
      <c r="O509" s="22" t="s">
        <v>43</v>
      </c>
      <c r="P509" s="18">
        <f t="shared" si="110"/>
        <v>0</v>
      </c>
      <c r="Q509" s="22" t="s">
        <v>43</v>
      </c>
      <c r="R509" s="23">
        <f t="shared" si="111"/>
        <v>0</v>
      </c>
      <c r="S509" s="23">
        <f t="shared" si="113"/>
        <v>0</v>
      </c>
      <c r="T509" s="17"/>
    </row>
    <row r="510" spans="1:20" s="17" customFormat="1">
      <c r="A510" s="93" t="s">
        <v>406</v>
      </c>
      <c r="B510" s="17" t="s">
        <v>26</v>
      </c>
      <c r="C510" s="18"/>
      <c r="D510" s="19" t="s">
        <v>43</v>
      </c>
      <c r="E510" s="20"/>
      <c r="F510" s="21">
        <v>1</v>
      </c>
      <c r="G510" s="22" t="s">
        <v>21</v>
      </c>
      <c r="H510" s="21">
        <v>144</v>
      </c>
      <c r="I510" s="22" t="s">
        <v>43</v>
      </c>
      <c r="J510" s="23">
        <f>3628800/144</f>
        <v>25200</v>
      </c>
      <c r="K510" s="19" t="s">
        <v>43</v>
      </c>
      <c r="L510" s="24"/>
      <c r="M510" s="24">
        <v>0.17</v>
      </c>
      <c r="N510" s="21"/>
      <c r="O510" s="22" t="s">
        <v>43</v>
      </c>
      <c r="P510" s="18">
        <f t="shared" si="110"/>
        <v>0</v>
      </c>
      <c r="Q510" s="22" t="s">
        <v>43</v>
      </c>
      <c r="R510" s="23">
        <f t="shared" si="111"/>
        <v>0</v>
      </c>
      <c r="S510" s="23">
        <f t="shared" si="113"/>
        <v>0</v>
      </c>
    </row>
    <row r="511" spans="1:20" s="63" customFormat="1">
      <c r="A511" s="95" t="s">
        <v>407</v>
      </c>
      <c r="B511" s="96" t="s">
        <v>26</v>
      </c>
      <c r="C511" s="97">
        <v>973</v>
      </c>
      <c r="D511" s="98" t="s">
        <v>43</v>
      </c>
      <c r="E511" s="105"/>
      <c r="F511" s="100">
        <v>1</v>
      </c>
      <c r="G511" s="101" t="s">
        <v>21</v>
      </c>
      <c r="H511" s="100">
        <v>144</v>
      </c>
      <c r="I511" s="101" t="s">
        <v>43</v>
      </c>
      <c r="J511" s="102">
        <f>5356800/144</f>
        <v>37200</v>
      </c>
      <c r="K511" s="98" t="s">
        <v>43</v>
      </c>
      <c r="L511" s="103"/>
      <c r="M511" s="103">
        <v>0.17</v>
      </c>
      <c r="N511" s="100">
        <f>288+3+(144+36)+288+288-74</f>
        <v>973</v>
      </c>
      <c r="O511" s="101" t="s">
        <v>43</v>
      </c>
      <c r="P511" s="97">
        <f t="shared" si="110"/>
        <v>0</v>
      </c>
      <c r="Q511" s="101" t="s">
        <v>43</v>
      </c>
      <c r="R511" s="102">
        <f t="shared" si="111"/>
        <v>0</v>
      </c>
      <c r="S511" s="102">
        <f t="shared" si="113"/>
        <v>0</v>
      </c>
    </row>
    <row r="512" spans="1:20" s="45" customFormat="1">
      <c r="A512" s="35" t="s">
        <v>407</v>
      </c>
      <c r="B512" s="36" t="s">
        <v>26</v>
      </c>
      <c r="C512" s="37"/>
      <c r="D512" s="38" t="s">
        <v>43</v>
      </c>
      <c r="E512" s="39">
        <f>10+2+10+(5+2)+(15+5)+(6+2)+3+((25+3)+15)</f>
        <v>103</v>
      </c>
      <c r="F512" s="40">
        <v>1</v>
      </c>
      <c r="G512" s="41" t="s">
        <v>21</v>
      </c>
      <c r="H512" s="40">
        <v>144</v>
      </c>
      <c r="I512" s="41" t="s">
        <v>43</v>
      </c>
      <c r="J512" s="42">
        <f>5616000/144</f>
        <v>39000</v>
      </c>
      <c r="K512" s="38" t="s">
        <v>43</v>
      </c>
      <c r="L512" s="43"/>
      <c r="M512" s="43">
        <v>0.17</v>
      </c>
      <c r="N512" s="40">
        <f>(288-214)+144+5+144+144+144+144+72+12+144+144+36+36+288+144+144+144+144+144+144+144+288+144+24+36+144+3+24+144+144+(288+144)+144+144+12+12+144+(288+144)+144+144+6+288+144+72+288+12+144+144+144+36+72+144+144+144+288+720+720+432+576+144+144+288+144+144+(288+72)+288+288+60+288+720+(720+144)</f>
        <v>13348</v>
      </c>
      <c r="O512" s="41" t="s">
        <v>43</v>
      </c>
      <c r="P512" s="37">
        <f t="shared" ref="P512" si="117">(C512+(E512*F512*H512))-N512</f>
        <v>1484</v>
      </c>
      <c r="Q512" s="41" t="s">
        <v>43</v>
      </c>
      <c r="R512" s="42">
        <f t="shared" ref="R512" si="118">P512*(J512-(J512*L512)-((J512-(J512*L512))*M512))</f>
        <v>48037080</v>
      </c>
      <c r="S512" s="42">
        <f t="shared" ref="S512" si="119">R512/1.11</f>
        <v>43276648.648648642</v>
      </c>
    </row>
    <row r="513" spans="1:20" s="17" customFormat="1">
      <c r="A513" s="16" t="s">
        <v>408</v>
      </c>
      <c r="B513" s="17" t="s">
        <v>26</v>
      </c>
      <c r="C513" s="18"/>
      <c r="D513" s="19" t="s">
        <v>43</v>
      </c>
      <c r="E513" s="20"/>
      <c r="F513" s="21">
        <v>1</v>
      </c>
      <c r="G513" s="22" t="s">
        <v>21</v>
      </c>
      <c r="H513" s="21">
        <v>144</v>
      </c>
      <c r="I513" s="22" t="s">
        <v>43</v>
      </c>
      <c r="J513" s="23">
        <f>5356800/144</f>
        <v>37200</v>
      </c>
      <c r="K513" s="19" t="s">
        <v>43</v>
      </c>
      <c r="L513" s="24"/>
      <c r="M513" s="24">
        <v>0.17</v>
      </c>
      <c r="N513" s="21"/>
      <c r="O513" s="22" t="s">
        <v>43</v>
      </c>
      <c r="P513" s="18">
        <f t="shared" si="110"/>
        <v>0</v>
      </c>
      <c r="Q513" s="22" t="s">
        <v>43</v>
      </c>
      <c r="R513" s="23">
        <f t="shared" si="111"/>
        <v>0</v>
      </c>
      <c r="S513" s="23">
        <f t="shared" si="113"/>
        <v>0</v>
      </c>
    </row>
    <row r="514" spans="1:20" s="45" customFormat="1">
      <c r="A514" s="44" t="s">
        <v>409</v>
      </c>
      <c r="B514" s="45" t="s">
        <v>26</v>
      </c>
      <c r="C514" s="46">
        <v>186</v>
      </c>
      <c r="D514" s="47" t="s">
        <v>43</v>
      </c>
      <c r="E514" s="48">
        <f>(3+3+3+3)</f>
        <v>12</v>
      </c>
      <c r="F514" s="49">
        <v>1</v>
      </c>
      <c r="G514" s="50" t="s">
        <v>21</v>
      </c>
      <c r="H514" s="49">
        <v>144</v>
      </c>
      <c r="I514" s="50" t="s">
        <v>43</v>
      </c>
      <c r="J514" s="51">
        <f>5356800/144</f>
        <v>37200</v>
      </c>
      <c r="K514" s="47" t="s">
        <v>43</v>
      </c>
      <c r="L514" s="52"/>
      <c r="M514" s="52">
        <v>0.17</v>
      </c>
      <c r="N514" s="49">
        <f>48+576+24+4+48+48+12+3+4+12+18+12+144+12+48</f>
        <v>1013</v>
      </c>
      <c r="O514" s="50" t="s">
        <v>43</v>
      </c>
      <c r="P514" s="46">
        <f t="shared" si="110"/>
        <v>901</v>
      </c>
      <c r="Q514" s="50" t="s">
        <v>43</v>
      </c>
      <c r="R514" s="51">
        <f t="shared" si="111"/>
        <v>27819276</v>
      </c>
      <c r="S514" s="51">
        <f t="shared" si="113"/>
        <v>25062410.810810808</v>
      </c>
    </row>
    <row r="515" spans="1:20" s="63" customFormat="1">
      <c r="A515" s="95" t="s">
        <v>410</v>
      </c>
      <c r="B515" s="96" t="s">
        <v>26</v>
      </c>
      <c r="C515" s="97">
        <v>276</v>
      </c>
      <c r="D515" s="98" t="s">
        <v>43</v>
      </c>
      <c r="E515" s="105"/>
      <c r="F515" s="100">
        <v>1</v>
      </c>
      <c r="G515" s="101" t="s">
        <v>21</v>
      </c>
      <c r="H515" s="100">
        <v>144</v>
      </c>
      <c r="I515" s="101" t="s">
        <v>43</v>
      </c>
      <c r="J515" s="102">
        <f>5443200/144</f>
        <v>37800</v>
      </c>
      <c r="K515" s="98" t="s">
        <v>43</v>
      </c>
      <c r="L515" s="103"/>
      <c r="M515" s="103">
        <v>0.17</v>
      </c>
      <c r="N515" s="100">
        <f>3+48+5+36+144+144-104</f>
        <v>276</v>
      </c>
      <c r="O515" s="101" t="s">
        <v>43</v>
      </c>
      <c r="P515" s="97">
        <f t="shared" si="110"/>
        <v>0</v>
      </c>
      <c r="Q515" s="101" t="s">
        <v>43</v>
      </c>
      <c r="R515" s="102">
        <f t="shared" si="111"/>
        <v>0</v>
      </c>
      <c r="S515" s="102">
        <f t="shared" si="113"/>
        <v>0</v>
      </c>
    </row>
    <row r="516" spans="1:20" s="45" customFormat="1">
      <c r="A516" s="35" t="s">
        <v>410</v>
      </c>
      <c r="B516" s="36" t="s">
        <v>26</v>
      </c>
      <c r="C516" s="37"/>
      <c r="D516" s="38" t="s">
        <v>43</v>
      </c>
      <c r="E516" s="39">
        <f>2+2+1</f>
        <v>5</v>
      </c>
      <c r="F516" s="40">
        <v>1</v>
      </c>
      <c r="G516" s="41" t="s">
        <v>21</v>
      </c>
      <c r="H516" s="40">
        <v>144</v>
      </c>
      <c r="I516" s="41" t="s">
        <v>43</v>
      </c>
      <c r="J516" s="42">
        <f>5702400/144</f>
        <v>39600</v>
      </c>
      <c r="K516" s="38" t="s">
        <v>43</v>
      </c>
      <c r="L516" s="43"/>
      <c r="M516" s="43">
        <v>0.17</v>
      </c>
      <c r="N516" s="40">
        <f>(144-40)+144+12+12+60+24+2+19+6+12+24+72+12+24</f>
        <v>527</v>
      </c>
      <c r="O516" s="41" t="s">
        <v>43</v>
      </c>
      <c r="P516" s="37">
        <f t="shared" ref="P516" si="120">(C516+(E516*F516*H516))-N516</f>
        <v>193</v>
      </c>
      <c r="Q516" s="41" t="s">
        <v>43</v>
      </c>
      <c r="R516" s="42">
        <f t="shared" ref="R516" si="121">P516*(J516-(J516*L516)-((J516-(J516*L516))*M516))</f>
        <v>6343524</v>
      </c>
      <c r="S516" s="42">
        <f t="shared" ref="S516" si="122">R516/1.11</f>
        <v>5714886.4864864862</v>
      </c>
    </row>
    <row r="517" spans="1:20" s="17" customFormat="1">
      <c r="A517" s="25" t="s">
        <v>411</v>
      </c>
      <c r="B517" s="26" t="s">
        <v>26</v>
      </c>
      <c r="C517" s="27">
        <v>260</v>
      </c>
      <c r="D517" s="28" t="s">
        <v>43</v>
      </c>
      <c r="E517" s="29">
        <v>2</v>
      </c>
      <c r="F517" s="30">
        <v>1</v>
      </c>
      <c r="G517" s="31" t="s">
        <v>21</v>
      </c>
      <c r="H517" s="30">
        <v>144</v>
      </c>
      <c r="I517" s="31" t="s">
        <v>43</v>
      </c>
      <c r="J517" s="32">
        <f>2764800/144</f>
        <v>19200</v>
      </c>
      <c r="K517" s="28" t="s">
        <v>43</v>
      </c>
      <c r="L517" s="33"/>
      <c r="M517" s="33">
        <v>0.17</v>
      </c>
      <c r="N517" s="30">
        <v>36</v>
      </c>
      <c r="O517" s="31" t="s">
        <v>43</v>
      </c>
      <c r="P517" s="27">
        <f t="shared" si="110"/>
        <v>512</v>
      </c>
      <c r="Q517" s="31" t="s">
        <v>43</v>
      </c>
      <c r="R517" s="32">
        <f t="shared" si="111"/>
        <v>8159232</v>
      </c>
      <c r="S517" s="32">
        <f t="shared" si="113"/>
        <v>7350659.4594594585</v>
      </c>
      <c r="T517" s="26"/>
    </row>
    <row r="518" spans="1:20" s="26" customFormat="1">
      <c r="A518" s="16" t="s">
        <v>412</v>
      </c>
      <c r="B518" s="17" t="s">
        <v>26</v>
      </c>
      <c r="C518" s="18"/>
      <c r="D518" s="19" t="s">
        <v>43</v>
      </c>
      <c r="E518" s="20"/>
      <c r="F518" s="21">
        <v>1</v>
      </c>
      <c r="G518" s="22" t="s">
        <v>21</v>
      </c>
      <c r="H518" s="21">
        <v>144</v>
      </c>
      <c r="I518" s="22" t="s">
        <v>43</v>
      </c>
      <c r="J518" s="23">
        <f>2764800/144</f>
        <v>19200</v>
      </c>
      <c r="K518" s="19" t="s">
        <v>43</v>
      </c>
      <c r="L518" s="24"/>
      <c r="M518" s="24">
        <v>0.17</v>
      </c>
      <c r="N518" s="21"/>
      <c r="O518" s="22" t="s">
        <v>43</v>
      </c>
      <c r="P518" s="18">
        <f t="shared" si="110"/>
        <v>0</v>
      </c>
      <c r="Q518" s="22" t="s">
        <v>43</v>
      </c>
      <c r="R518" s="23">
        <f t="shared" si="111"/>
        <v>0</v>
      </c>
      <c r="S518" s="23">
        <f t="shared" si="113"/>
        <v>0</v>
      </c>
      <c r="T518" s="17"/>
    </row>
    <row r="519" spans="1:20" s="26" customFormat="1">
      <c r="A519" s="16" t="s">
        <v>413</v>
      </c>
      <c r="B519" s="17" t="s">
        <v>26</v>
      </c>
      <c r="C519" s="18"/>
      <c r="D519" s="19" t="s">
        <v>43</v>
      </c>
      <c r="E519" s="20"/>
      <c r="F519" s="21">
        <v>1</v>
      </c>
      <c r="G519" s="22" t="s">
        <v>21</v>
      </c>
      <c r="H519" s="21">
        <v>144</v>
      </c>
      <c r="I519" s="22" t="s">
        <v>43</v>
      </c>
      <c r="J519" s="23">
        <v>23400</v>
      </c>
      <c r="K519" s="19" t="s">
        <v>43</v>
      </c>
      <c r="L519" s="24"/>
      <c r="M519" s="24">
        <v>0.17</v>
      </c>
      <c r="N519" s="21"/>
      <c r="O519" s="22" t="s">
        <v>43</v>
      </c>
      <c r="P519" s="18">
        <f t="shared" si="110"/>
        <v>0</v>
      </c>
      <c r="Q519" s="22" t="s">
        <v>43</v>
      </c>
      <c r="R519" s="23">
        <f t="shared" si="111"/>
        <v>0</v>
      </c>
      <c r="S519" s="23">
        <f t="shared" si="113"/>
        <v>0</v>
      </c>
      <c r="T519" s="17"/>
    </row>
    <row r="520" spans="1:20" s="45" customFormat="1">
      <c r="A520" s="35" t="s">
        <v>415</v>
      </c>
      <c r="B520" s="36" t="s">
        <v>26</v>
      </c>
      <c r="C520" s="37">
        <v>276</v>
      </c>
      <c r="D520" s="38" t="s">
        <v>43</v>
      </c>
      <c r="E520" s="39"/>
      <c r="F520" s="40">
        <v>1</v>
      </c>
      <c r="G520" s="41" t="s">
        <v>21</v>
      </c>
      <c r="H520" s="40">
        <v>144</v>
      </c>
      <c r="I520" s="41" t="s">
        <v>43</v>
      </c>
      <c r="J520" s="42">
        <f>3369600/144</f>
        <v>23400</v>
      </c>
      <c r="K520" s="38" t="s">
        <v>43</v>
      </c>
      <c r="L520" s="43"/>
      <c r="M520" s="43">
        <v>0.17</v>
      </c>
      <c r="N520" s="40">
        <f>12+2+72</f>
        <v>86</v>
      </c>
      <c r="O520" s="41" t="s">
        <v>43</v>
      </c>
      <c r="P520" s="37">
        <f t="shared" si="110"/>
        <v>190</v>
      </c>
      <c r="Q520" s="41" t="s">
        <v>43</v>
      </c>
      <c r="R520" s="42">
        <f t="shared" si="111"/>
        <v>3690180</v>
      </c>
      <c r="S520" s="42">
        <f t="shared" si="113"/>
        <v>3324486.4864864862</v>
      </c>
    </row>
    <row r="521" spans="1:20" s="45" customFormat="1">
      <c r="A521" s="35" t="s">
        <v>415</v>
      </c>
      <c r="B521" s="36" t="s">
        <v>26</v>
      </c>
      <c r="C521" s="37"/>
      <c r="D521" s="38" t="s">
        <v>43</v>
      </c>
      <c r="E521" s="39">
        <f>1+1</f>
        <v>2</v>
      </c>
      <c r="F521" s="40">
        <v>1</v>
      </c>
      <c r="G521" s="41" t="s">
        <v>21</v>
      </c>
      <c r="H521" s="40">
        <v>144</v>
      </c>
      <c r="I521" s="41" t="s">
        <v>43</v>
      </c>
      <c r="J521" s="42">
        <f>3542400/144</f>
        <v>24600</v>
      </c>
      <c r="K521" s="38" t="s">
        <v>43</v>
      </c>
      <c r="L521" s="43"/>
      <c r="M521" s="43">
        <v>0.17</v>
      </c>
      <c r="N521" s="40"/>
      <c r="O521" s="41" t="s">
        <v>43</v>
      </c>
      <c r="P521" s="37">
        <f t="shared" ref="P521" si="123">(C521+(E521*F521*H521))-N521</f>
        <v>288</v>
      </c>
      <c r="Q521" s="41" t="s">
        <v>43</v>
      </c>
      <c r="R521" s="42">
        <f t="shared" ref="R521" si="124">P521*(J521-(J521*L521)-((J521-(J521*L521))*M521))</f>
        <v>5880384</v>
      </c>
      <c r="S521" s="42">
        <f t="shared" ref="S521" si="125">R521/1.11</f>
        <v>5297643.2432432426</v>
      </c>
    </row>
    <row r="522" spans="1:20" s="45" customFormat="1">
      <c r="A522" s="44" t="s">
        <v>416</v>
      </c>
      <c r="B522" s="45" t="s">
        <v>26</v>
      </c>
      <c r="C522" s="46">
        <v>2460</v>
      </c>
      <c r="D522" s="47" t="s">
        <v>43</v>
      </c>
      <c r="E522" s="48">
        <f>5+5+5+2</f>
        <v>17</v>
      </c>
      <c r="F522" s="49">
        <v>1</v>
      </c>
      <c r="G522" s="50" t="s">
        <v>21</v>
      </c>
      <c r="H522" s="49">
        <v>144</v>
      </c>
      <c r="I522" s="50" t="s">
        <v>43</v>
      </c>
      <c r="J522" s="51">
        <f>3110400/144</f>
        <v>21600</v>
      </c>
      <c r="K522" s="47" t="s">
        <v>43</v>
      </c>
      <c r="L522" s="52"/>
      <c r="M522" s="52">
        <v>0.17</v>
      </c>
      <c r="N522" s="49">
        <f>288+144+288+24+144+144+144+288+144+12+144+144+12+144+144</f>
        <v>2208</v>
      </c>
      <c r="O522" s="50" t="s">
        <v>43</v>
      </c>
      <c r="P522" s="46">
        <f t="shared" si="110"/>
        <v>2700</v>
      </c>
      <c r="Q522" s="50" t="s">
        <v>43</v>
      </c>
      <c r="R522" s="51">
        <f t="shared" si="111"/>
        <v>48405600</v>
      </c>
      <c r="S522" s="51">
        <f t="shared" si="113"/>
        <v>43608648.648648642</v>
      </c>
    </row>
    <row r="523" spans="1:20" s="45" customFormat="1">
      <c r="A523" s="44" t="s">
        <v>417</v>
      </c>
      <c r="B523" s="45" t="s">
        <v>26</v>
      </c>
      <c r="C523" s="46">
        <v>288</v>
      </c>
      <c r="D523" s="47" t="s">
        <v>43</v>
      </c>
      <c r="E523" s="48">
        <v>2</v>
      </c>
      <c r="F523" s="49">
        <v>1</v>
      </c>
      <c r="G523" s="50" t="s">
        <v>21</v>
      </c>
      <c r="H523" s="49">
        <v>144</v>
      </c>
      <c r="I523" s="50" t="s">
        <v>43</v>
      </c>
      <c r="J523" s="51">
        <f>3758400/144</f>
        <v>26100</v>
      </c>
      <c r="K523" s="47" t="s">
        <v>43</v>
      </c>
      <c r="L523" s="52"/>
      <c r="M523" s="52">
        <v>0.17</v>
      </c>
      <c r="N523" s="49">
        <f>84+144+60</f>
        <v>288</v>
      </c>
      <c r="O523" s="50" t="s">
        <v>43</v>
      </c>
      <c r="P523" s="46">
        <f t="shared" si="110"/>
        <v>288</v>
      </c>
      <c r="Q523" s="50" t="s">
        <v>43</v>
      </c>
      <c r="R523" s="51">
        <f t="shared" si="111"/>
        <v>6238944</v>
      </c>
      <c r="S523" s="51">
        <f t="shared" si="113"/>
        <v>5620670.2702702694</v>
      </c>
    </row>
    <row r="524" spans="1:20" s="45" customFormat="1">
      <c r="A524" s="44" t="s">
        <v>789</v>
      </c>
      <c r="B524" s="45" t="s">
        <v>26</v>
      </c>
      <c r="C524" s="46">
        <v>276</v>
      </c>
      <c r="D524" s="47" t="s">
        <v>43</v>
      </c>
      <c r="E524" s="48"/>
      <c r="F524" s="49">
        <v>1</v>
      </c>
      <c r="G524" s="50" t="s">
        <v>21</v>
      </c>
      <c r="H524" s="49">
        <v>144</v>
      </c>
      <c r="I524" s="50" t="s">
        <v>43</v>
      </c>
      <c r="J524" s="51">
        <f>5616000/144</f>
        <v>39000</v>
      </c>
      <c r="K524" s="47" t="s">
        <v>43</v>
      </c>
      <c r="L524" s="52"/>
      <c r="M524" s="52">
        <v>0.17</v>
      </c>
      <c r="N524" s="49">
        <f>36+72+72+48</f>
        <v>228</v>
      </c>
      <c r="O524" s="50" t="s">
        <v>43</v>
      </c>
      <c r="P524" s="46">
        <f t="shared" si="110"/>
        <v>48</v>
      </c>
      <c r="Q524" s="50" t="s">
        <v>43</v>
      </c>
      <c r="R524" s="51">
        <f t="shared" si="111"/>
        <v>1553760</v>
      </c>
      <c r="S524" s="51">
        <f t="shared" si="113"/>
        <v>1399783.7837837837</v>
      </c>
    </row>
    <row r="525" spans="1:20" s="45" customFormat="1">
      <c r="A525" s="44" t="s">
        <v>418</v>
      </c>
      <c r="B525" s="45" t="s">
        <v>26</v>
      </c>
      <c r="C525" s="46"/>
      <c r="D525" s="47" t="s">
        <v>43</v>
      </c>
      <c r="E525" s="48">
        <v>1</v>
      </c>
      <c r="F525" s="49">
        <v>1</v>
      </c>
      <c r="G525" s="50" t="s">
        <v>21</v>
      </c>
      <c r="H525" s="49">
        <v>144</v>
      </c>
      <c r="I525" s="50" t="s">
        <v>43</v>
      </c>
      <c r="J525" s="51">
        <f>5270400/144</f>
        <v>36600</v>
      </c>
      <c r="K525" s="47" t="s">
        <v>43</v>
      </c>
      <c r="L525" s="52"/>
      <c r="M525" s="52">
        <v>0.17</v>
      </c>
      <c r="N525" s="49">
        <f>12+12+24+12</f>
        <v>60</v>
      </c>
      <c r="O525" s="50" t="s">
        <v>43</v>
      </c>
      <c r="P525" s="46">
        <f t="shared" si="110"/>
        <v>84</v>
      </c>
      <c r="Q525" s="50" t="s">
        <v>43</v>
      </c>
      <c r="R525" s="51">
        <f t="shared" si="111"/>
        <v>2551752</v>
      </c>
      <c r="S525" s="51">
        <f t="shared" si="113"/>
        <v>2298875.6756756753</v>
      </c>
    </row>
    <row r="526" spans="1:20" s="26" customFormat="1">
      <c r="A526" s="159" t="s">
        <v>419</v>
      </c>
      <c r="B526" s="160" t="s">
        <v>26</v>
      </c>
      <c r="C526" s="161">
        <v>46</v>
      </c>
      <c r="D526" s="162" t="s">
        <v>43</v>
      </c>
      <c r="E526" s="163"/>
      <c r="F526" s="164">
        <v>1</v>
      </c>
      <c r="G526" s="165" t="s">
        <v>21</v>
      </c>
      <c r="H526" s="164">
        <v>144</v>
      </c>
      <c r="I526" s="165" t="s">
        <v>43</v>
      </c>
      <c r="J526" s="166">
        <f>5616000/144</f>
        <v>39000</v>
      </c>
      <c r="K526" s="162" t="s">
        <v>43</v>
      </c>
      <c r="L526" s="167">
        <v>0.05</v>
      </c>
      <c r="M526" s="167">
        <v>0.17</v>
      </c>
      <c r="N526" s="164">
        <f>1+12+12</f>
        <v>25</v>
      </c>
      <c r="O526" s="165" t="s">
        <v>43</v>
      </c>
      <c r="P526" s="161">
        <f t="shared" si="110"/>
        <v>21</v>
      </c>
      <c r="Q526" s="165" t="s">
        <v>43</v>
      </c>
      <c r="R526" s="166">
        <f t="shared" si="111"/>
        <v>645781.5</v>
      </c>
      <c r="S526" s="42">
        <f t="shared" si="113"/>
        <v>581785.13513513503</v>
      </c>
      <c r="T526" s="2"/>
    </row>
    <row r="527" spans="1:20" s="26" customFormat="1">
      <c r="A527" s="159" t="s">
        <v>419</v>
      </c>
      <c r="B527" s="160" t="s">
        <v>26</v>
      </c>
      <c r="C527" s="161"/>
      <c r="D527" s="162" t="s">
        <v>43</v>
      </c>
      <c r="E527" s="163">
        <v>1</v>
      </c>
      <c r="F527" s="164">
        <v>1</v>
      </c>
      <c r="G527" s="165" t="s">
        <v>21</v>
      </c>
      <c r="H527" s="164">
        <v>144</v>
      </c>
      <c r="I527" s="165" t="s">
        <v>43</v>
      </c>
      <c r="J527" s="166">
        <f>5616000/144</f>
        <v>39000</v>
      </c>
      <c r="K527" s="162" t="s">
        <v>43</v>
      </c>
      <c r="L527" s="167"/>
      <c r="M527" s="167">
        <v>0.17</v>
      </c>
      <c r="N527" s="164"/>
      <c r="O527" s="165" t="s">
        <v>43</v>
      </c>
      <c r="P527" s="161">
        <f t="shared" ref="P527" si="126">(C527+(E527*F527*H527))-N527</f>
        <v>144</v>
      </c>
      <c r="Q527" s="165" t="s">
        <v>43</v>
      </c>
      <c r="R527" s="166">
        <f t="shared" ref="R527" si="127">P527*(J527-(J527*L527)-((J527-(J527*L527))*M527))</f>
        <v>4661280</v>
      </c>
      <c r="S527" s="42">
        <f t="shared" ref="S527" si="128">R527/1.11</f>
        <v>4199351.3513513505</v>
      </c>
      <c r="T527" s="2"/>
    </row>
    <row r="528" spans="1:20" s="26" customFormat="1">
      <c r="A528" s="25" t="s">
        <v>420</v>
      </c>
      <c r="B528" s="26" t="s">
        <v>26</v>
      </c>
      <c r="C528" s="27"/>
      <c r="D528" s="28" t="s">
        <v>43</v>
      </c>
      <c r="E528" s="29">
        <v>1</v>
      </c>
      <c r="F528" s="30">
        <v>1</v>
      </c>
      <c r="G528" s="31" t="s">
        <v>21</v>
      </c>
      <c r="H528" s="30">
        <v>144</v>
      </c>
      <c r="I528" s="31" t="s">
        <v>43</v>
      </c>
      <c r="J528" s="32">
        <f>5616000/144</f>
        <v>39000</v>
      </c>
      <c r="K528" s="28" t="s">
        <v>43</v>
      </c>
      <c r="L528" s="33"/>
      <c r="M528" s="33">
        <v>0.17</v>
      </c>
      <c r="N528" s="30">
        <f>12+3+12</f>
        <v>27</v>
      </c>
      <c r="O528" s="31" t="s">
        <v>43</v>
      </c>
      <c r="P528" s="27">
        <f t="shared" si="110"/>
        <v>117</v>
      </c>
      <c r="Q528" s="31" t="s">
        <v>43</v>
      </c>
      <c r="R528" s="32">
        <f t="shared" si="111"/>
        <v>3787290</v>
      </c>
      <c r="S528" s="32">
        <f t="shared" si="113"/>
        <v>3411972.9729729728</v>
      </c>
    </row>
    <row r="529" spans="1:20" s="26" customFormat="1">
      <c r="A529" s="25"/>
      <c r="C529" s="27"/>
      <c r="D529" s="28"/>
      <c r="E529" s="29"/>
      <c r="F529" s="30"/>
      <c r="G529" s="31"/>
      <c r="H529" s="30"/>
      <c r="I529" s="31"/>
      <c r="J529" s="32"/>
      <c r="K529" s="28"/>
      <c r="L529" s="33"/>
      <c r="M529" s="33"/>
      <c r="N529" s="30"/>
      <c r="O529" s="31"/>
      <c r="P529" s="27"/>
      <c r="Q529" s="31"/>
      <c r="R529" s="32"/>
      <c r="S529" s="32"/>
    </row>
    <row r="530" spans="1:20" s="17" customFormat="1">
      <c r="A530" s="25" t="s">
        <v>422</v>
      </c>
      <c r="B530" s="26" t="s">
        <v>275</v>
      </c>
      <c r="C530" s="27">
        <v>288</v>
      </c>
      <c r="D530" s="28" t="s">
        <v>43</v>
      </c>
      <c r="E530" s="29"/>
      <c r="F530" s="30">
        <v>1</v>
      </c>
      <c r="G530" s="31" t="s">
        <v>21</v>
      </c>
      <c r="H530" s="30">
        <v>144</v>
      </c>
      <c r="I530" s="31" t="s">
        <v>43</v>
      </c>
      <c r="J530" s="32">
        <v>21000</v>
      </c>
      <c r="K530" s="28" t="s">
        <v>43</v>
      </c>
      <c r="L530" s="33"/>
      <c r="M530" s="33"/>
      <c r="N530" s="30"/>
      <c r="O530" s="31" t="s">
        <v>43</v>
      </c>
      <c r="P530" s="27">
        <f>(C530+(E530*F530*H530))-N530</f>
        <v>288</v>
      </c>
      <c r="Q530" s="31" t="s">
        <v>43</v>
      </c>
      <c r="R530" s="32">
        <f>P530*(J530-(J530*L530)-((J530-(J530*L530))*M530))</f>
        <v>6048000</v>
      </c>
      <c r="S530" s="32">
        <f t="shared" si="113"/>
        <v>5448648.6486486485</v>
      </c>
      <c r="T530" s="26"/>
    </row>
    <row r="531" spans="1:20" s="17" customFormat="1">
      <c r="A531" s="16" t="s">
        <v>423</v>
      </c>
      <c r="B531" s="17" t="s">
        <v>275</v>
      </c>
      <c r="C531" s="18"/>
      <c r="D531" s="19" t="s">
        <v>43</v>
      </c>
      <c r="E531" s="20"/>
      <c r="F531" s="21">
        <v>1</v>
      </c>
      <c r="G531" s="22" t="s">
        <v>21</v>
      </c>
      <c r="H531" s="21">
        <v>144</v>
      </c>
      <c r="I531" s="22" t="s">
        <v>43</v>
      </c>
      <c r="J531" s="23">
        <v>26000</v>
      </c>
      <c r="K531" s="19" t="s">
        <v>43</v>
      </c>
      <c r="L531" s="24"/>
      <c r="M531" s="24"/>
      <c r="N531" s="21"/>
      <c r="O531" s="22" t="s">
        <v>43</v>
      </c>
      <c r="P531" s="18">
        <f t="shared" ref="P531:P562" si="129">(C531+(E531*F531*H531))-N531</f>
        <v>0</v>
      </c>
      <c r="Q531" s="22" t="s">
        <v>43</v>
      </c>
      <c r="R531" s="23">
        <f t="shared" ref="R531:R562" si="130">P531*(J531-(J531*L531)-((J531-(J531*L531))*M531))</f>
        <v>0</v>
      </c>
      <c r="S531" s="23">
        <f t="shared" si="113"/>
        <v>0</v>
      </c>
    </row>
    <row r="532" spans="1:20" s="26" customFormat="1">
      <c r="A532" s="25" t="s">
        <v>424</v>
      </c>
      <c r="B532" s="26" t="s">
        <v>275</v>
      </c>
      <c r="C532" s="27">
        <v>306</v>
      </c>
      <c r="D532" s="28" t="s">
        <v>43</v>
      </c>
      <c r="E532" s="29"/>
      <c r="F532" s="30">
        <v>1</v>
      </c>
      <c r="G532" s="31" t="s">
        <v>21</v>
      </c>
      <c r="H532" s="30">
        <v>96</v>
      </c>
      <c r="I532" s="31" t="s">
        <v>43</v>
      </c>
      <c r="J532" s="32">
        <v>29500</v>
      </c>
      <c r="K532" s="28" t="s">
        <v>43</v>
      </c>
      <c r="L532" s="33"/>
      <c r="M532" s="33"/>
      <c r="N532" s="30">
        <f>72+96+24</f>
        <v>192</v>
      </c>
      <c r="O532" s="31" t="s">
        <v>43</v>
      </c>
      <c r="P532" s="27">
        <f t="shared" si="129"/>
        <v>114</v>
      </c>
      <c r="Q532" s="31" t="s">
        <v>43</v>
      </c>
      <c r="R532" s="32">
        <f t="shared" si="130"/>
        <v>3363000</v>
      </c>
      <c r="S532" s="32">
        <f t="shared" si="113"/>
        <v>3029729.7297297292</v>
      </c>
    </row>
    <row r="533" spans="1:20" s="17" customFormat="1">
      <c r="A533" s="16" t="s">
        <v>798</v>
      </c>
      <c r="B533" s="17" t="s">
        <v>275</v>
      </c>
      <c r="C533" s="18"/>
      <c r="D533" s="19" t="s">
        <v>43</v>
      </c>
      <c r="E533" s="20"/>
      <c r="F533" s="21">
        <v>1</v>
      </c>
      <c r="G533" s="22" t="s">
        <v>21</v>
      </c>
      <c r="H533" s="21">
        <v>144</v>
      </c>
      <c r="I533" s="22" t="s">
        <v>43</v>
      </c>
      <c r="J533" s="23">
        <f>31818+(31818*10%)</f>
        <v>34999.800000000003</v>
      </c>
      <c r="K533" s="19" t="s">
        <v>43</v>
      </c>
      <c r="L533" s="24"/>
      <c r="M533" s="24"/>
      <c r="N533" s="21"/>
      <c r="O533" s="22" t="s">
        <v>43</v>
      </c>
      <c r="P533" s="18">
        <f t="shared" si="129"/>
        <v>0</v>
      </c>
      <c r="Q533" s="22" t="s">
        <v>43</v>
      </c>
      <c r="R533" s="23">
        <f t="shared" si="130"/>
        <v>0</v>
      </c>
      <c r="S533" s="23">
        <f t="shared" si="113"/>
        <v>0</v>
      </c>
    </row>
    <row r="534" spans="1:20" s="17" customFormat="1">
      <c r="A534" s="16" t="s">
        <v>799</v>
      </c>
      <c r="B534" s="17" t="s">
        <v>275</v>
      </c>
      <c r="C534" s="18"/>
      <c r="D534" s="19" t="s">
        <v>43</v>
      </c>
      <c r="E534" s="20"/>
      <c r="F534" s="21">
        <v>1</v>
      </c>
      <c r="G534" s="22" t="s">
        <v>21</v>
      </c>
      <c r="H534" s="21">
        <v>144</v>
      </c>
      <c r="I534" s="22" t="s">
        <v>43</v>
      </c>
      <c r="J534" s="23">
        <v>16175</v>
      </c>
      <c r="K534" s="19" t="s">
        <v>43</v>
      </c>
      <c r="L534" s="24"/>
      <c r="M534" s="24"/>
      <c r="N534" s="21"/>
      <c r="O534" s="22" t="s">
        <v>43</v>
      </c>
      <c r="P534" s="18">
        <f t="shared" si="129"/>
        <v>0</v>
      </c>
      <c r="Q534" s="22" t="s">
        <v>43</v>
      </c>
      <c r="R534" s="23">
        <f t="shared" si="130"/>
        <v>0</v>
      </c>
      <c r="S534" s="23">
        <f t="shared" si="113"/>
        <v>0</v>
      </c>
    </row>
    <row r="535" spans="1:20" s="17" customFormat="1">
      <c r="A535" s="16" t="s">
        <v>800</v>
      </c>
      <c r="B535" s="17" t="s">
        <v>275</v>
      </c>
      <c r="C535" s="18"/>
      <c r="D535" s="19" t="s">
        <v>43</v>
      </c>
      <c r="E535" s="20"/>
      <c r="F535" s="21">
        <v>1</v>
      </c>
      <c r="G535" s="22" t="s">
        <v>21</v>
      </c>
      <c r="H535" s="21">
        <v>144</v>
      </c>
      <c r="I535" s="22" t="s">
        <v>43</v>
      </c>
      <c r="J535" s="23">
        <v>16175</v>
      </c>
      <c r="K535" s="19" t="s">
        <v>43</v>
      </c>
      <c r="L535" s="24"/>
      <c r="M535" s="24"/>
      <c r="N535" s="21"/>
      <c r="O535" s="22" t="s">
        <v>43</v>
      </c>
      <c r="P535" s="18">
        <f t="shared" si="129"/>
        <v>0</v>
      </c>
      <c r="Q535" s="22" t="s">
        <v>43</v>
      </c>
      <c r="R535" s="23">
        <f t="shared" si="130"/>
        <v>0</v>
      </c>
      <c r="S535" s="23">
        <f t="shared" si="113"/>
        <v>0</v>
      </c>
    </row>
    <row r="536" spans="1:20" s="17" customFormat="1">
      <c r="A536" s="16" t="s">
        <v>801</v>
      </c>
      <c r="B536" s="17" t="s">
        <v>275</v>
      </c>
      <c r="C536" s="18"/>
      <c r="D536" s="19" t="s">
        <v>43</v>
      </c>
      <c r="E536" s="20"/>
      <c r="F536" s="21">
        <v>1</v>
      </c>
      <c r="G536" s="22" t="s">
        <v>21</v>
      </c>
      <c r="H536" s="21">
        <v>144</v>
      </c>
      <c r="I536" s="22" t="s">
        <v>43</v>
      </c>
      <c r="J536" s="23">
        <v>16175</v>
      </c>
      <c r="K536" s="19" t="s">
        <v>43</v>
      </c>
      <c r="L536" s="24"/>
      <c r="M536" s="24"/>
      <c r="N536" s="21"/>
      <c r="O536" s="22" t="s">
        <v>43</v>
      </c>
      <c r="P536" s="18">
        <f t="shared" si="129"/>
        <v>0</v>
      </c>
      <c r="Q536" s="22" t="s">
        <v>43</v>
      </c>
      <c r="R536" s="23">
        <f t="shared" si="130"/>
        <v>0</v>
      </c>
      <c r="S536" s="23">
        <f t="shared" si="113"/>
        <v>0</v>
      </c>
    </row>
    <row r="537" spans="1:20" s="17" customFormat="1">
      <c r="A537" s="16" t="s">
        <v>802</v>
      </c>
      <c r="B537" s="17" t="s">
        <v>275</v>
      </c>
      <c r="C537" s="18"/>
      <c r="D537" s="19" t="s">
        <v>43</v>
      </c>
      <c r="E537" s="20"/>
      <c r="F537" s="21">
        <v>1</v>
      </c>
      <c r="G537" s="22" t="s">
        <v>21</v>
      </c>
      <c r="H537" s="21">
        <v>144</v>
      </c>
      <c r="I537" s="22" t="s">
        <v>43</v>
      </c>
      <c r="J537" s="23">
        <v>16175</v>
      </c>
      <c r="K537" s="19" t="s">
        <v>43</v>
      </c>
      <c r="L537" s="24"/>
      <c r="M537" s="24"/>
      <c r="N537" s="21"/>
      <c r="O537" s="22" t="s">
        <v>43</v>
      </c>
      <c r="P537" s="18">
        <f t="shared" si="129"/>
        <v>0</v>
      </c>
      <c r="Q537" s="22" t="s">
        <v>43</v>
      </c>
      <c r="R537" s="23">
        <f t="shared" si="130"/>
        <v>0</v>
      </c>
      <c r="S537" s="23">
        <f t="shared" si="113"/>
        <v>0</v>
      </c>
    </row>
    <row r="538" spans="1:20" s="17" customFormat="1">
      <c r="A538" s="16" t="s">
        <v>803</v>
      </c>
      <c r="B538" s="17" t="s">
        <v>275</v>
      </c>
      <c r="C538" s="18"/>
      <c r="D538" s="19" t="s">
        <v>43</v>
      </c>
      <c r="E538" s="20"/>
      <c r="F538" s="21">
        <v>1</v>
      </c>
      <c r="G538" s="22" t="s">
        <v>21</v>
      </c>
      <c r="H538" s="21">
        <v>144</v>
      </c>
      <c r="I538" s="22" t="s">
        <v>43</v>
      </c>
      <c r="J538" s="23">
        <v>16175</v>
      </c>
      <c r="K538" s="19" t="s">
        <v>43</v>
      </c>
      <c r="L538" s="24"/>
      <c r="M538" s="24"/>
      <c r="N538" s="21"/>
      <c r="O538" s="22" t="s">
        <v>43</v>
      </c>
      <c r="P538" s="18">
        <f t="shared" si="129"/>
        <v>0</v>
      </c>
      <c r="Q538" s="22" t="s">
        <v>43</v>
      </c>
      <c r="R538" s="23">
        <f t="shared" si="130"/>
        <v>0</v>
      </c>
      <c r="S538" s="23">
        <f t="shared" si="113"/>
        <v>0</v>
      </c>
    </row>
    <row r="539" spans="1:20" s="17" customFormat="1">
      <c r="A539" s="16" t="s">
        <v>804</v>
      </c>
      <c r="B539" s="17" t="s">
        <v>275</v>
      </c>
      <c r="C539" s="18"/>
      <c r="D539" s="19" t="s">
        <v>43</v>
      </c>
      <c r="E539" s="20"/>
      <c r="F539" s="21">
        <v>1</v>
      </c>
      <c r="G539" s="22" t="s">
        <v>21</v>
      </c>
      <c r="H539" s="21">
        <v>144</v>
      </c>
      <c r="I539" s="22" t="s">
        <v>43</v>
      </c>
      <c r="J539" s="23">
        <v>16175</v>
      </c>
      <c r="K539" s="19" t="s">
        <v>43</v>
      </c>
      <c r="L539" s="24"/>
      <c r="M539" s="24"/>
      <c r="N539" s="21"/>
      <c r="O539" s="22" t="s">
        <v>43</v>
      </c>
      <c r="P539" s="18">
        <f t="shared" si="129"/>
        <v>0</v>
      </c>
      <c r="Q539" s="22" t="s">
        <v>43</v>
      </c>
      <c r="R539" s="23">
        <f t="shared" si="130"/>
        <v>0</v>
      </c>
      <c r="S539" s="23">
        <f t="shared" si="113"/>
        <v>0</v>
      </c>
    </row>
    <row r="540" spans="1:20" s="17" customFormat="1">
      <c r="A540" s="16" t="s">
        <v>805</v>
      </c>
      <c r="B540" s="17" t="s">
        <v>275</v>
      </c>
      <c r="C540" s="18"/>
      <c r="D540" s="19" t="s">
        <v>43</v>
      </c>
      <c r="E540" s="20"/>
      <c r="F540" s="21">
        <v>1</v>
      </c>
      <c r="G540" s="22" t="s">
        <v>21</v>
      </c>
      <c r="H540" s="21">
        <v>144</v>
      </c>
      <c r="I540" s="22" t="s">
        <v>43</v>
      </c>
      <c r="J540" s="23">
        <v>16175</v>
      </c>
      <c r="K540" s="19" t="s">
        <v>43</v>
      </c>
      <c r="L540" s="24"/>
      <c r="M540" s="24"/>
      <c r="N540" s="21"/>
      <c r="O540" s="22" t="s">
        <v>43</v>
      </c>
      <c r="P540" s="18">
        <f t="shared" si="129"/>
        <v>0</v>
      </c>
      <c r="Q540" s="22" t="s">
        <v>43</v>
      </c>
      <c r="R540" s="23">
        <f t="shared" si="130"/>
        <v>0</v>
      </c>
      <c r="S540" s="23">
        <f t="shared" si="113"/>
        <v>0</v>
      </c>
    </row>
    <row r="541" spans="1:20" s="26" customFormat="1">
      <c r="A541" s="25" t="s">
        <v>806</v>
      </c>
      <c r="B541" s="26" t="s">
        <v>275</v>
      </c>
      <c r="C541" s="27">
        <v>145</v>
      </c>
      <c r="D541" s="28" t="s">
        <v>43</v>
      </c>
      <c r="E541" s="29"/>
      <c r="F541" s="30">
        <v>1</v>
      </c>
      <c r="G541" s="31" t="s">
        <v>21</v>
      </c>
      <c r="H541" s="30">
        <v>144</v>
      </c>
      <c r="I541" s="31" t="s">
        <v>43</v>
      </c>
      <c r="J541" s="32">
        <v>16175</v>
      </c>
      <c r="K541" s="28" t="s">
        <v>43</v>
      </c>
      <c r="L541" s="33"/>
      <c r="M541" s="33"/>
      <c r="N541" s="30">
        <v>24</v>
      </c>
      <c r="O541" s="31" t="s">
        <v>43</v>
      </c>
      <c r="P541" s="27">
        <f t="shared" si="129"/>
        <v>121</v>
      </c>
      <c r="Q541" s="31" t="s">
        <v>43</v>
      </c>
      <c r="R541" s="32">
        <f t="shared" si="130"/>
        <v>1957175</v>
      </c>
      <c r="S541" s="32">
        <f t="shared" si="113"/>
        <v>1763220.7207207205</v>
      </c>
    </row>
    <row r="542" spans="1:20" s="17" customFormat="1">
      <c r="A542" s="16" t="s">
        <v>807</v>
      </c>
      <c r="B542" s="17" t="s">
        <v>275</v>
      </c>
      <c r="C542" s="18"/>
      <c r="D542" s="19" t="s">
        <v>43</v>
      </c>
      <c r="E542" s="20"/>
      <c r="F542" s="21">
        <v>1</v>
      </c>
      <c r="G542" s="22" t="s">
        <v>21</v>
      </c>
      <c r="H542" s="21">
        <v>144</v>
      </c>
      <c r="I542" s="22" t="s">
        <v>43</v>
      </c>
      <c r="J542" s="23">
        <v>16175</v>
      </c>
      <c r="K542" s="19" t="s">
        <v>43</v>
      </c>
      <c r="L542" s="24"/>
      <c r="M542" s="24"/>
      <c r="N542" s="21"/>
      <c r="O542" s="22" t="s">
        <v>43</v>
      </c>
      <c r="P542" s="18">
        <f t="shared" si="129"/>
        <v>0</v>
      </c>
      <c r="Q542" s="22" t="s">
        <v>43</v>
      </c>
      <c r="R542" s="23">
        <f t="shared" si="130"/>
        <v>0</v>
      </c>
      <c r="S542" s="23">
        <f t="shared" si="113"/>
        <v>0</v>
      </c>
    </row>
    <row r="543" spans="1:20" s="17" customFormat="1">
      <c r="A543" s="16" t="s">
        <v>808</v>
      </c>
      <c r="B543" s="17" t="s">
        <v>275</v>
      </c>
      <c r="C543" s="18"/>
      <c r="D543" s="19" t="s">
        <v>43</v>
      </c>
      <c r="E543" s="20"/>
      <c r="F543" s="21">
        <v>1</v>
      </c>
      <c r="G543" s="22" t="s">
        <v>21</v>
      </c>
      <c r="H543" s="21">
        <v>144</v>
      </c>
      <c r="I543" s="22" t="s">
        <v>43</v>
      </c>
      <c r="J543" s="23">
        <v>16175</v>
      </c>
      <c r="K543" s="19" t="s">
        <v>43</v>
      </c>
      <c r="L543" s="24"/>
      <c r="M543" s="24"/>
      <c r="N543" s="21"/>
      <c r="O543" s="22" t="s">
        <v>43</v>
      </c>
      <c r="P543" s="18">
        <f t="shared" si="129"/>
        <v>0</v>
      </c>
      <c r="Q543" s="22" t="s">
        <v>43</v>
      </c>
      <c r="R543" s="23">
        <f t="shared" si="130"/>
        <v>0</v>
      </c>
      <c r="S543" s="23">
        <f t="shared" si="113"/>
        <v>0</v>
      </c>
    </row>
    <row r="544" spans="1:20" s="17" customFormat="1">
      <c r="A544" s="16" t="s">
        <v>809</v>
      </c>
      <c r="B544" s="17" t="s">
        <v>275</v>
      </c>
      <c r="C544" s="18"/>
      <c r="D544" s="19" t="s">
        <v>43</v>
      </c>
      <c r="E544" s="20"/>
      <c r="F544" s="21">
        <v>1</v>
      </c>
      <c r="G544" s="22" t="s">
        <v>21</v>
      </c>
      <c r="H544" s="21">
        <v>144</v>
      </c>
      <c r="I544" s="22" t="s">
        <v>43</v>
      </c>
      <c r="J544" s="23">
        <v>16175</v>
      </c>
      <c r="K544" s="19" t="s">
        <v>43</v>
      </c>
      <c r="L544" s="24"/>
      <c r="M544" s="24"/>
      <c r="N544" s="21"/>
      <c r="O544" s="22" t="s">
        <v>43</v>
      </c>
      <c r="P544" s="18">
        <f t="shared" si="129"/>
        <v>0</v>
      </c>
      <c r="Q544" s="22" t="s">
        <v>43</v>
      </c>
      <c r="R544" s="23">
        <f t="shared" si="130"/>
        <v>0</v>
      </c>
      <c r="S544" s="23">
        <f t="shared" si="113"/>
        <v>0</v>
      </c>
    </row>
    <row r="545" spans="1:19" s="26" customFormat="1">
      <c r="A545" s="25" t="s">
        <v>810</v>
      </c>
      <c r="B545" s="26" t="s">
        <v>275</v>
      </c>
      <c r="C545" s="27">
        <v>228</v>
      </c>
      <c r="D545" s="28" t="s">
        <v>43</v>
      </c>
      <c r="E545" s="29"/>
      <c r="F545" s="30">
        <v>1</v>
      </c>
      <c r="G545" s="31" t="s">
        <v>21</v>
      </c>
      <c r="H545" s="30">
        <v>144</v>
      </c>
      <c r="I545" s="31" t="s">
        <v>43</v>
      </c>
      <c r="J545" s="32">
        <v>16175</v>
      </c>
      <c r="K545" s="28" t="s">
        <v>43</v>
      </c>
      <c r="L545" s="33"/>
      <c r="M545" s="33"/>
      <c r="N545" s="30">
        <f>24+4+144+24+24</f>
        <v>220</v>
      </c>
      <c r="O545" s="31" t="s">
        <v>43</v>
      </c>
      <c r="P545" s="27">
        <f t="shared" si="129"/>
        <v>8</v>
      </c>
      <c r="Q545" s="31" t="s">
        <v>43</v>
      </c>
      <c r="R545" s="32">
        <f t="shared" si="130"/>
        <v>129400</v>
      </c>
      <c r="S545" s="32">
        <f t="shared" si="113"/>
        <v>116576.57657657657</v>
      </c>
    </row>
    <row r="546" spans="1:19" s="17" customFormat="1">
      <c r="A546" s="16" t="s">
        <v>811</v>
      </c>
      <c r="B546" s="17" t="s">
        <v>275</v>
      </c>
      <c r="C546" s="18"/>
      <c r="D546" s="19" t="s">
        <v>43</v>
      </c>
      <c r="E546" s="20"/>
      <c r="F546" s="21">
        <v>1</v>
      </c>
      <c r="G546" s="22" t="s">
        <v>21</v>
      </c>
      <c r="H546" s="21">
        <v>144</v>
      </c>
      <c r="I546" s="22" t="s">
        <v>43</v>
      </c>
      <c r="J546" s="23">
        <v>16175</v>
      </c>
      <c r="K546" s="19" t="s">
        <v>43</v>
      </c>
      <c r="L546" s="24"/>
      <c r="M546" s="24"/>
      <c r="N546" s="21"/>
      <c r="O546" s="22" t="s">
        <v>43</v>
      </c>
      <c r="P546" s="18">
        <f t="shared" si="129"/>
        <v>0</v>
      </c>
      <c r="Q546" s="22" t="s">
        <v>43</v>
      </c>
      <c r="R546" s="23">
        <f t="shared" si="130"/>
        <v>0</v>
      </c>
      <c r="S546" s="23">
        <f t="shared" si="113"/>
        <v>0</v>
      </c>
    </row>
    <row r="547" spans="1:19" s="17" customFormat="1">
      <c r="A547" s="16" t="s">
        <v>812</v>
      </c>
      <c r="B547" s="17" t="s">
        <v>275</v>
      </c>
      <c r="C547" s="18"/>
      <c r="D547" s="19" t="s">
        <v>43</v>
      </c>
      <c r="E547" s="20"/>
      <c r="F547" s="21">
        <v>1</v>
      </c>
      <c r="G547" s="22" t="s">
        <v>21</v>
      </c>
      <c r="H547" s="21">
        <v>144</v>
      </c>
      <c r="I547" s="22" t="s">
        <v>43</v>
      </c>
      <c r="J547" s="23">
        <v>16175</v>
      </c>
      <c r="K547" s="19" t="s">
        <v>43</v>
      </c>
      <c r="L547" s="24"/>
      <c r="M547" s="24"/>
      <c r="N547" s="21"/>
      <c r="O547" s="22" t="s">
        <v>43</v>
      </c>
      <c r="P547" s="18">
        <f t="shared" si="129"/>
        <v>0</v>
      </c>
      <c r="Q547" s="22" t="s">
        <v>43</v>
      </c>
      <c r="R547" s="23">
        <f t="shared" si="130"/>
        <v>0</v>
      </c>
      <c r="S547" s="23">
        <f t="shared" si="113"/>
        <v>0</v>
      </c>
    </row>
    <row r="548" spans="1:19" s="26" customFormat="1">
      <c r="A548" s="25" t="s">
        <v>813</v>
      </c>
      <c r="B548" s="26" t="s">
        <v>275</v>
      </c>
      <c r="C548" s="27">
        <v>75</v>
      </c>
      <c r="D548" s="28" t="s">
        <v>43</v>
      </c>
      <c r="E548" s="29"/>
      <c r="F548" s="30">
        <v>1</v>
      </c>
      <c r="G548" s="31" t="s">
        <v>21</v>
      </c>
      <c r="H548" s="30">
        <v>144</v>
      </c>
      <c r="I548" s="31" t="s">
        <v>43</v>
      </c>
      <c r="J548" s="32">
        <v>16175</v>
      </c>
      <c r="K548" s="28" t="s">
        <v>43</v>
      </c>
      <c r="L548" s="33"/>
      <c r="M548" s="33"/>
      <c r="N548" s="30">
        <f>4+2</f>
        <v>6</v>
      </c>
      <c r="O548" s="31" t="s">
        <v>43</v>
      </c>
      <c r="P548" s="27">
        <f t="shared" si="129"/>
        <v>69</v>
      </c>
      <c r="Q548" s="31" t="s">
        <v>43</v>
      </c>
      <c r="R548" s="32">
        <f t="shared" si="130"/>
        <v>1116075</v>
      </c>
      <c r="S548" s="32">
        <f t="shared" si="113"/>
        <v>1005472.9729729729</v>
      </c>
    </row>
    <row r="549" spans="1:19" s="17" customFormat="1">
      <c r="A549" s="16" t="s">
        <v>814</v>
      </c>
      <c r="B549" s="17" t="s">
        <v>275</v>
      </c>
      <c r="C549" s="18"/>
      <c r="D549" s="19" t="s">
        <v>43</v>
      </c>
      <c r="E549" s="20"/>
      <c r="F549" s="21">
        <v>1</v>
      </c>
      <c r="G549" s="22" t="s">
        <v>21</v>
      </c>
      <c r="H549" s="21">
        <v>144</v>
      </c>
      <c r="I549" s="22" t="s">
        <v>43</v>
      </c>
      <c r="J549" s="23">
        <v>16175</v>
      </c>
      <c r="K549" s="19" t="s">
        <v>43</v>
      </c>
      <c r="L549" s="24"/>
      <c r="M549" s="24"/>
      <c r="N549" s="21"/>
      <c r="O549" s="22" t="s">
        <v>43</v>
      </c>
      <c r="P549" s="18">
        <f t="shared" si="129"/>
        <v>0</v>
      </c>
      <c r="Q549" s="22" t="s">
        <v>43</v>
      </c>
      <c r="R549" s="23">
        <f t="shared" si="130"/>
        <v>0</v>
      </c>
      <c r="S549" s="23">
        <f t="shared" si="113"/>
        <v>0</v>
      </c>
    </row>
    <row r="550" spans="1:19" s="17" customFormat="1">
      <c r="A550" s="16" t="s">
        <v>815</v>
      </c>
      <c r="B550" s="17" t="s">
        <v>275</v>
      </c>
      <c r="C550" s="18"/>
      <c r="D550" s="19" t="s">
        <v>43</v>
      </c>
      <c r="E550" s="20"/>
      <c r="F550" s="21">
        <v>1</v>
      </c>
      <c r="G550" s="22" t="s">
        <v>21</v>
      </c>
      <c r="H550" s="21">
        <v>144</v>
      </c>
      <c r="I550" s="22" t="s">
        <v>43</v>
      </c>
      <c r="J550" s="23">
        <v>16175</v>
      </c>
      <c r="K550" s="19" t="s">
        <v>43</v>
      </c>
      <c r="L550" s="24"/>
      <c r="M550" s="24"/>
      <c r="N550" s="21"/>
      <c r="O550" s="22" t="s">
        <v>43</v>
      </c>
      <c r="P550" s="18">
        <f t="shared" si="129"/>
        <v>0</v>
      </c>
      <c r="Q550" s="22" t="s">
        <v>43</v>
      </c>
      <c r="R550" s="23">
        <f t="shared" si="130"/>
        <v>0</v>
      </c>
      <c r="S550" s="23">
        <f t="shared" si="113"/>
        <v>0</v>
      </c>
    </row>
    <row r="551" spans="1:19" s="45" customFormat="1">
      <c r="A551" s="44" t="s">
        <v>443</v>
      </c>
      <c r="B551" s="45" t="s">
        <v>275</v>
      </c>
      <c r="C551" s="46">
        <v>84</v>
      </c>
      <c r="D551" s="47" t="s">
        <v>43</v>
      </c>
      <c r="E551" s="48"/>
      <c r="F551" s="49">
        <v>1</v>
      </c>
      <c r="G551" s="50" t="s">
        <v>21</v>
      </c>
      <c r="H551" s="49">
        <v>144</v>
      </c>
      <c r="I551" s="50" t="s">
        <v>43</v>
      </c>
      <c r="J551" s="51">
        <v>16175</v>
      </c>
      <c r="K551" s="47" t="s">
        <v>43</v>
      </c>
      <c r="L551" s="52"/>
      <c r="M551" s="52"/>
      <c r="N551" s="49">
        <v>24</v>
      </c>
      <c r="O551" s="50" t="s">
        <v>43</v>
      </c>
      <c r="P551" s="46">
        <f t="shared" si="129"/>
        <v>60</v>
      </c>
      <c r="Q551" s="50" t="s">
        <v>43</v>
      </c>
      <c r="R551" s="51">
        <f t="shared" si="130"/>
        <v>970500</v>
      </c>
      <c r="S551" s="51">
        <f t="shared" si="113"/>
        <v>874324.32432432426</v>
      </c>
    </row>
    <row r="552" spans="1:19" s="17" customFormat="1">
      <c r="A552" s="16" t="s">
        <v>816</v>
      </c>
      <c r="B552" s="17" t="s">
        <v>275</v>
      </c>
      <c r="C552" s="18"/>
      <c r="D552" s="19" t="s">
        <v>43</v>
      </c>
      <c r="E552" s="20"/>
      <c r="F552" s="21">
        <v>1</v>
      </c>
      <c r="G552" s="22" t="s">
        <v>21</v>
      </c>
      <c r="H552" s="21">
        <v>144</v>
      </c>
      <c r="I552" s="22" t="s">
        <v>43</v>
      </c>
      <c r="J552" s="23">
        <v>16175</v>
      </c>
      <c r="K552" s="19" t="s">
        <v>43</v>
      </c>
      <c r="L552" s="24"/>
      <c r="M552" s="24"/>
      <c r="N552" s="21"/>
      <c r="O552" s="22" t="s">
        <v>43</v>
      </c>
      <c r="P552" s="18">
        <f t="shared" si="129"/>
        <v>0</v>
      </c>
      <c r="Q552" s="22" t="s">
        <v>43</v>
      </c>
      <c r="R552" s="23">
        <f t="shared" si="130"/>
        <v>0</v>
      </c>
      <c r="S552" s="23">
        <f t="shared" si="113"/>
        <v>0</v>
      </c>
    </row>
    <row r="553" spans="1:19" s="26" customFormat="1">
      <c r="A553" s="25" t="s">
        <v>817</v>
      </c>
      <c r="B553" s="26" t="s">
        <v>275</v>
      </c>
      <c r="C553" s="27">
        <v>144</v>
      </c>
      <c r="D553" s="28" t="s">
        <v>43</v>
      </c>
      <c r="E553" s="29"/>
      <c r="F553" s="30">
        <v>1</v>
      </c>
      <c r="G553" s="31" t="s">
        <v>21</v>
      </c>
      <c r="H553" s="30">
        <v>144</v>
      </c>
      <c r="I553" s="31" t="s">
        <v>43</v>
      </c>
      <c r="J553" s="32">
        <v>16175</v>
      </c>
      <c r="K553" s="28" t="s">
        <v>43</v>
      </c>
      <c r="L553" s="33"/>
      <c r="M553" s="33"/>
      <c r="N553" s="30"/>
      <c r="O553" s="31" t="s">
        <v>43</v>
      </c>
      <c r="P553" s="27">
        <f t="shared" si="129"/>
        <v>144</v>
      </c>
      <c r="Q553" s="31" t="s">
        <v>43</v>
      </c>
      <c r="R553" s="32">
        <f t="shared" si="130"/>
        <v>2329200</v>
      </c>
      <c r="S553" s="32">
        <f t="shared" si="113"/>
        <v>2098378.3783783782</v>
      </c>
    </row>
    <row r="554" spans="1:19" s="17" customFormat="1">
      <c r="A554" s="16" t="s">
        <v>818</v>
      </c>
      <c r="B554" s="17" t="s">
        <v>275</v>
      </c>
      <c r="C554" s="18"/>
      <c r="D554" s="19" t="s">
        <v>43</v>
      </c>
      <c r="E554" s="20"/>
      <c r="F554" s="21">
        <v>1</v>
      </c>
      <c r="G554" s="22" t="s">
        <v>21</v>
      </c>
      <c r="H554" s="21">
        <v>144</v>
      </c>
      <c r="I554" s="22" t="s">
        <v>43</v>
      </c>
      <c r="J554" s="23">
        <v>16175</v>
      </c>
      <c r="K554" s="19" t="s">
        <v>43</v>
      </c>
      <c r="L554" s="24"/>
      <c r="M554" s="24"/>
      <c r="N554" s="21"/>
      <c r="O554" s="22" t="s">
        <v>43</v>
      </c>
      <c r="P554" s="18">
        <f t="shared" si="129"/>
        <v>0</v>
      </c>
      <c r="Q554" s="22" t="s">
        <v>43</v>
      </c>
      <c r="R554" s="23">
        <f t="shared" si="130"/>
        <v>0</v>
      </c>
      <c r="S554" s="23">
        <f t="shared" si="113"/>
        <v>0</v>
      </c>
    </row>
    <row r="555" spans="1:19" s="17" customFormat="1">
      <c r="A555" s="16" t="s">
        <v>819</v>
      </c>
      <c r="B555" s="17" t="s">
        <v>275</v>
      </c>
      <c r="C555" s="18"/>
      <c r="D555" s="19" t="s">
        <v>43</v>
      </c>
      <c r="E555" s="20"/>
      <c r="F555" s="21">
        <v>1</v>
      </c>
      <c r="G555" s="22" t="s">
        <v>21</v>
      </c>
      <c r="H555" s="21">
        <v>144</v>
      </c>
      <c r="I555" s="22" t="s">
        <v>43</v>
      </c>
      <c r="J555" s="23">
        <v>16175</v>
      </c>
      <c r="K555" s="19" t="s">
        <v>43</v>
      </c>
      <c r="L555" s="24"/>
      <c r="M555" s="24"/>
      <c r="N555" s="21"/>
      <c r="O555" s="22" t="s">
        <v>43</v>
      </c>
      <c r="P555" s="18">
        <f t="shared" si="129"/>
        <v>0</v>
      </c>
      <c r="Q555" s="22" t="s">
        <v>43</v>
      </c>
      <c r="R555" s="23">
        <f t="shared" si="130"/>
        <v>0</v>
      </c>
      <c r="S555" s="23">
        <f t="shared" si="113"/>
        <v>0</v>
      </c>
    </row>
    <row r="556" spans="1:19" s="17" customFormat="1">
      <c r="A556" s="16" t="s">
        <v>820</v>
      </c>
      <c r="B556" s="17" t="s">
        <v>275</v>
      </c>
      <c r="C556" s="18"/>
      <c r="D556" s="19" t="s">
        <v>43</v>
      </c>
      <c r="E556" s="20"/>
      <c r="F556" s="21">
        <v>1</v>
      </c>
      <c r="G556" s="22" t="s">
        <v>21</v>
      </c>
      <c r="H556" s="21">
        <v>144</v>
      </c>
      <c r="I556" s="22" t="s">
        <v>43</v>
      </c>
      <c r="J556" s="23">
        <v>16175</v>
      </c>
      <c r="K556" s="19" t="s">
        <v>43</v>
      </c>
      <c r="L556" s="24"/>
      <c r="M556" s="24"/>
      <c r="N556" s="21"/>
      <c r="O556" s="22" t="s">
        <v>43</v>
      </c>
      <c r="P556" s="18">
        <f t="shared" si="129"/>
        <v>0</v>
      </c>
      <c r="Q556" s="22" t="s">
        <v>43</v>
      </c>
      <c r="R556" s="23">
        <f t="shared" si="130"/>
        <v>0</v>
      </c>
      <c r="S556" s="23">
        <f t="shared" si="113"/>
        <v>0</v>
      </c>
    </row>
    <row r="557" spans="1:19" s="17" customFormat="1">
      <c r="A557" s="16" t="s">
        <v>821</v>
      </c>
      <c r="B557" s="17" t="s">
        <v>275</v>
      </c>
      <c r="C557" s="18"/>
      <c r="D557" s="19" t="s">
        <v>43</v>
      </c>
      <c r="E557" s="20"/>
      <c r="F557" s="21">
        <v>1</v>
      </c>
      <c r="G557" s="22" t="s">
        <v>21</v>
      </c>
      <c r="H557" s="21">
        <v>144</v>
      </c>
      <c r="I557" s="22" t="s">
        <v>43</v>
      </c>
      <c r="J557" s="23">
        <v>16175</v>
      </c>
      <c r="K557" s="19" t="s">
        <v>43</v>
      </c>
      <c r="L557" s="24"/>
      <c r="M557" s="24"/>
      <c r="N557" s="21"/>
      <c r="O557" s="22" t="s">
        <v>43</v>
      </c>
      <c r="P557" s="18">
        <f t="shared" si="129"/>
        <v>0</v>
      </c>
      <c r="Q557" s="22" t="s">
        <v>43</v>
      </c>
      <c r="R557" s="23">
        <f t="shared" si="130"/>
        <v>0</v>
      </c>
      <c r="S557" s="23">
        <f t="shared" si="113"/>
        <v>0</v>
      </c>
    </row>
    <row r="558" spans="1:19" s="17" customFormat="1">
      <c r="A558" s="16"/>
      <c r="C558" s="18"/>
      <c r="D558" s="19"/>
      <c r="E558" s="20"/>
      <c r="F558" s="21"/>
      <c r="G558" s="22"/>
      <c r="H558" s="21"/>
      <c r="I558" s="22"/>
      <c r="J558" s="23"/>
      <c r="K558" s="19"/>
      <c r="L558" s="24"/>
      <c r="M558" s="24"/>
      <c r="N558" s="21"/>
      <c r="O558" s="22"/>
      <c r="P558" s="18"/>
      <c r="Q558" s="22"/>
      <c r="R558" s="23"/>
      <c r="S558" s="23"/>
    </row>
    <row r="559" spans="1:19" s="26" customFormat="1">
      <c r="A559" s="25" t="s">
        <v>783</v>
      </c>
      <c r="B559" s="26" t="s">
        <v>768</v>
      </c>
      <c r="C559" s="27">
        <v>2208</v>
      </c>
      <c r="D559" s="28" t="s">
        <v>43</v>
      </c>
      <c r="E559" s="29"/>
      <c r="F559" s="30">
        <v>1</v>
      </c>
      <c r="G559" s="31" t="s">
        <v>21</v>
      </c>
      <c r="H559" s="30">
        <v>96</v>
      </c>
      <c r="I559" s="31" t="s">
        <v>43</v>
      </c>
      <c r="J559" s="32">
        <v>26500</v>
      </c>
      <c r="K559" s="28" t="s">
        <v>43</v>
      </c>
      <c r="L559" s="33"/>
      <c r="M559" s="33"/>
      <c r="N559" s="30">
        <f>144+288+144+432+24+288+288+288+36+4+36</f>
        <v>1972</v>
      </c>
      <c r="O559" s="31" t="s">
        <v>43</v>
      </c>
      <c r="P559" s="27">
        <f t="shared" si="129"/>
        <v>236</v>
      </c>
      <c r="Q559" s="31" t="s">
        <v>43</v>
      </c>
      <c r="R559" s="32">
        <f t="shared" si="130"/>
        <v>6254000</v>
      </c>
      <c r="S559" s="32">
        <f t="shared" si="113"/>
        <v>5634234.2342342334</v>
      </c>
    </row>
    <row r="560" spans="1:19" s="26" customFormat="1">
      <c r="A560" s="25"/>
      <c r="C560" s="27"/>
      <c r="D560" s="28"/>
      <c r="E560" s="29"/>
      <c r="F560" s="30"/>
      <c r="G560" s="31"/>
      <c r="H560" s="30"/>
      <c r="I560" s="31"/>
      <c r="J560" s="32"/>
      <c r="K560" s="28"/>
      <c r="L560" s="33"/>
      <c r="M560" s="33"/>
      <c r="N560" s="30"/>
      <c r="O560" s="31"/>
      <c r="P560" s="27"/>
      <c r="Q560" s="31"/>
      <c r="R560" s="32"/>
      <c r="S560" s="32"/>
    </row>
    <row r="561" spans="1:19" s="26" customFormat="1">
      <c r="A561" s="25" t="s">
        <v>851</v>
      </c>
      <c r="B561" s="26" t="s">
        <v>182</v>
      </c>
      <c r="C561" s="27"/>
      <c r="D561" s="28" t="s">
        <v>43</v>
      </c>
      <c r="E561" s="29">
        <v>7</v>
      </c>
      <c r="F561" s="30">
        <v>1</v>
      </c>
      <c r="G561" s="31" t="s">
        <v>21</v>
      </c>
      <c r="H561" s="30">
        <v>144</v>
      </c>
      <c r="I561" s="31" t="s">
        <v>43</v>
      </c>
      <c r="J561" s="32">
        <v>19000</v>
      </c>
      <c r="K561" s="28" t="s">
        <v>43</v>
      </c>
      <c r="L561" s="33">
        <v>0.02</v>
      </c>
      <c r="M561" s="33"/>
      <c r="N561" s="30">
        <f>144+12+12+12</f>
        <v>180</v>
      </c>
      <c r="O561" s="31" t="s">
        <v>43</v>
      </c>
      <c r="P561" s="27">
        <f t="shared" ref="P561" si="131">(C561+(E561*F561*H561))-N561</f>
        <v>828</v>
      </c>
      <c r="Q561" s="31" t="s">
        <v>43</v>
      </c>
      <c r="R561" s="32">
        <f t="shared" ref="R561" si="132">P561*(J561-(J561*L561)-((J561-(J561*L561))*M561))</f>
        <v>15417360</v>
      </c>
      <c r="S561" s="32">
        <f t="shared" ref="S561" si="133">R561/1.11</f>
        <v>13889513.513513513</v>
      </c>
    </row>
    <row r="562" spans="1:19" s="26" customFormat="1">
      <c r="A562" s="25" t="s">
        <v>450</v>
      </c>
      <c r="B562" s="26" t="s">
        <v>182</v>
      </c>
      <c r="C562" s="27">
        <v>384</v>
      </c>
      <c r="D562" s="28" t="s">
        <v>43</v>
      </c>
      <c r="E562" s="29"/>
      <c r="F562" s="30">
        <v>1</v>
      </c>
      <c r="G562" s="31" t="s">
        <v>21</v>
      </c>
      <c r="H562" s="30">
        <v>192</v>
      </c>
      <c r="I562" s="31" t="s">
        <v>43</v>
      </c>
      <c r="J562" s="32">
        <v>12750</v>
      </c>
      <c r="K562" s="28" t="s">
        <v>43</v>
      </c>
      <c r="L562" s="33">
        <v>0.05</v>
      </c>
      <c r="M562" s="33"/>
      <c r="N562" s="30"/>
      <c r="O562" s="31" t="s">
        <v>43</v>
      </c>
      <c r="P562" s="27">
        <f t="shared" si="129"/>
        <v>384</v>
      </c>
      <c r="Q562" s="31" t="s">
        <v>43</v>
      </c>
      <c r="R562" s="32">
        <f t="shared" si="130"/>
        <v>4651200</v>
      </c>
      <c r="S562" s="32">
        <f t="shared" si="113"/>
        <v>4190270.2702702698</v>
      </c>
    </row>
    <row r="563" spans="1:19" s="26" customFormat="1">
      <c r="A563" s="25"/>
      <c r="C563" s="27"/>
      <c r="D563" s="28"/>
      <c r="E563" s="29"/>
      <c r="F563" s="30"/>
      <c r="G563" s="31"/>
      <c r="H563" s="30"/>
      <c r="I563" s="31"/>
      <c r="J563" s="32"/>
      <c r="K563" s="28"/>
      <c r="L563" s="33"/>
      <c r="M563" s="33"/>
      <c r="N563" s="30"/>
      <c r="O563" s="31"/>
      <c r="P563" s="27"/>
      <c r="Q563" s="31"/>
      <c r="R563" s="32"/>
      <c r="S563" s="32"/>
    </row>
    <row r="564" spans="1:19">
      <c r="A564" s="15" t="s">
        <v>451</v>
      </c>
      <c r="S564" s="23"/>
    </row>
    <row r="565" spans="1:19" s="17" customFormat="1">
      <c r="A565" s="118" t="s">
        <v>452</v>
      </c>
      <c r="B565" s="96" t="s">
        <v>19</v>
      </c>
      <c r="C565" s="97"/>
      <c r="D565" s="98" t="s">
        <v>162</v>
      </c>
      <c r="E565" s="105"/>
      <c r="F565" s="100">
        <v>8</v>
      </c>
      <c r="G565" s="101" t="s">
        <v>34</v>
      </c>
      <c r="H565" s="100">
        <v>24</v>
      </c>
      <c r="I565" s="101" t="s">
        <v>162</v>
      </c>
      <c r="J565" s="102">
        <v>16500</v>
      </c>
      <c r="K565" s="98" t="s">
        <v>162</v>
      </c>
      <c r="L565" s="103">
        <v>0.125</v>
      </c>
      <c r="M565" s="103">
        <v>0.05</v>
      </c>
      <c r="N565" s="100"/>
      <c r="O565" s="101" t="s">
        <v>162</v>
      </c>
      <c r="P565" s="97">
        <f t="shared" ref="P565:P573" si="134">(C565+(E565*F565*H565))-N565</f>
        <v>0</v>
      </c>
      <c r="Q565" s="101" t="s">
        <v>162</v>
      </c>
      <c r="R565" s="102">
        <f t="shared" ref="R565:R573" si="135">P565*(J565-(J565*L565)-((J565-(J565*L565))*M565))</f>
        <v>0</v>
      </c>
      <c r="S565" s="102">
        <f t="shared" si="113"/>
        <v>0</v>
      </c>
    </row>
    <row r="566" spans="1:19" s="26" customFormat="1">
      <c r="A566" s="119" t="s">
        <v>453</v>
      </c>
      <c r="B566" s="36" t="s">
        <v>19</v>
      </c>
      <c r="C566" s="37">
        <v>48</v>
      </c>
      <c r="D566" s="38" t="s">
        <v>162</v>
      </c>
      <c r="E566" s="39"/>
      <c r="F566" s="40">
        <v>8</v>
      </c>
      <c r="G566" s="41" t="s">
        <v>34</v>
      </c>
      <c r="H566" s="40">
        <v>24</v>
      </c>
      <c r="I566" s="41" t="s">
        <v>162</v>
      </c>
      <c r="J566" s="42"/>
      <c r="K566" s="38" t="s">
        <v>162</v>
      </c>
      <c r="L566" s="43">
        <v>0.1</v>
      </c>
      <c r="M566" s="43">
        <v>0.05</v>
      </c>
      <c r="N566" s="40"/>
      <c r="O566" s="41" t="s">
        <v>162</v>
      </c>
      <c r="P566" s="37">
        <f t="shared" si="134"/>
        <v>48</v>
      </c>
      <c r="Q566" s="41" t="s">
        <v>162</v>
      </c>
      <c r="R566" s="42">
        <f t="shared" si="135"/>
        <v>0</v>
      </c>
      <c r="S566" s="42">
        <f t="shared" ref="S566:S657" si="136">R566/1.11</f>
        <v>0</v>
      </c>
    </row>
    <row r="567" spans="1:19" s="26" customFormat="1">
      <c r="A567" s="120" t="s">
        <v>454</v>
      </c>
      <c r="B567" s="26" t="s">
        <v>19</v>
      </c>
      <c r="C567" s="27">
        <v>7</v>
      </c>
      <c r="D567" s="28" t="s">
        <v>162</v>
      </c>
      <c r="E567" s="29"/>
      <c r="F567" s="30">
        <v>8</v>
      </c>
      <c r="G567" s="31" t="s">
        <v>34</v>
      </c>
      <c r="H567" s="30">
        <v>30</v>
      </c>
      <c r="I567" s="31" t="s">
        <v>162</v>
      </c>
      <c r="J567" s="32"/>
      <c r="K567" s="28" t="s">
        <v>162</v>
      </c>
      <c r="L567" s="33">
        <v>0.1</v>
      </c>
      <c r="M567" s="33">
        <v>0.05</v>
      </c>
      <c r="N567" s="30"/>
      <c r="O567" s="31" t="s">
        <v>162</v>
      </c>
      <c r="P567" s="27">
        <f t="shared" si="134"/>
        <v>7</v>
      </c>
      <c r="Q567" s="31" t="s">
        <v>162</v>
      </c>
      <c r="R567" s="32">
        <f t="shared" si="135"/>
        <v>0</v>
      </c>
      <c r="S567" s="32">
        <f t="shared" si="136"/>
        <v>0</v>
      </c>
    </row>
    <row r="568" spans="1:19" s="17" customFormat="1">
      <c r="A568" s="121" t="s">
        <v>455</v>
      </c>
      <c r="B568" s="17" t="s">
        <v>19</v>
      </c>
      <c r="C568" s="18"/>
      <c r="D568" s="19" t="s">
        <v>162</v>
      </c>
      <c r="E568" s="20"/>
      <c r="F568" s="21">
        <v>8</v>
      </c>
      <c r="G568" s="22" t="s">
        <v>34</v>
      </c>
      <c r="H568" s="21">
        <v>24</v>
      </c>
      <c r="I568" s="22" t="s">
        <v>162</v>
      </c>
      <c r="J568" s="23">
        <v>21000</v>
      </c>
      <c r="K568" s="19" t="s">
        <v>162</v>
      </c>
      <c r="L568" s="24">
        <v>0.125</v>
      </c>
      <c r="M568" s="24">
        <v>0.05</v>
      </c>
      <c r="N568" s="21"/>
      <c r="O568" s="22" t="s">
        <v>162</v>
      </c>
      <c r="P568" s="18">
        <f t="shared" si="134"/>
        <v>0</v>
      </c>
      <c r="Q568" s="22" t="s">
        <v>162</v>
      </c>
      <c r="R568" s="23">
        <f t="shared" si="135"/>
        <v>0</v>
      </c>
      <c r="S568" s="23">
        <f t="shared" si="136"/>
        <v>0</v>
      </c>
    </row>
    <row r="569" spans="1:19" s="17" customFormat="1">
      <c r="A569" s="121" t="s">
        <v>456</v>
      </c>
      <c r="B569" s="17" t="s">
        <v>19</v>
      </c>
      <c r="C569" s="18"/>
      <c r="D569" s="19" t="s">
        <v>162</v>
      </c>
      <c r="E569" s="20">
        <v>1</v>
      </c>
      <c r="F569" s="21">
        <v>8</v>
      </c>
      <c r="G569" s="22" t="s">
        <v>34</v>
      </c>
      <c r="H569" s="21">
        <v>24</v>
      </c>
      <c r="I569" s="22" t="s">
        <v>162</v>
      </c>
      <c r="J569" s="23">
        <v>16200</v>
      </c>
      <c r="K569" s="19" t="s">
        <v>162</v>
      </c>
      <c r="L569" s="24">
        <v>0.125</v>
      </c>
      <c r="M569" s="24">
        <v>0.05</v>
      </c>
      <c r="N569" s="21">
        <v>192</v>
      </c>
      <c r="O569" s="22" t="s">
        <v>162</v>
      </c>
      <c r="P569" s="18">
        <f t="shared" si="134"/>
        <v>0</v>
      </c>
      <c r="Q569" s="22" t="s">
        <v>162</v>
      </c>
      <c r="R569" s="23">
        <f t="shared" si="135"/>
        <v>0</v>
      </c>
      <c r="S569" s="23">
        <f t="shared" si="136"/>
        <v>0</v>
      </c>
    </row>
    <row r="570" spans="1:19" s="17" customFormat="1">
      <c r="A570" s="121" t="s">
        <v>457</v>
      </c>
      <c r="B570" s="17" t="s">
        <v>19</v>
      </c>
      <c r="C570" s="18"/>
      <c r="D570" s="19" t="s">
        <v>162</v>
      </c>
      <c r="E570" s="20">
        <v>1</v>
      </c>
      <c r="F570" s="21">
        <v>6</v>
      </c>
      <c r="G570" s="22" t="s">
        <v>34</v>
      </c>
      <c r="H570" s="21">
        <v>24</v>
      </c>
      <c r="I570" s="22" t="s">
        <v>162</v>
      </c>
      <c r="J570" s="23">
        <v>21000</v>
      </c>
      <c r="K570" s="19" t="s">
        <v>162</v>
      </c>
      <c r="L570" s="24">
        <v>0.125</v>
      </c>
      <c r="M570" s="24">
        <v>0.05</v>
      </c>
      <c r="N570" s="21">
        <v>144</v>
      </c>
      <c r="O570" s="22" t="s">
        <v>162</v>
      </c>
      <c r="P570" s="18">
        <f t="shared" si="134"/>
        <v>0</v>
      </c>
      <c r="Q570" s="22" t="s">
        <v>162</v>
      </c>
      <c r="R570" s="23">
        <f t="shared" si="135"/>
        <v>0</v>
      </c>
      <c r="S570" s="23">
        <f t="shared" si="136"/>
        <v>0</v>
      </c>
    </row>
    <row r="571" spans="1:19" s="17" customFormat="1">
      <c r="A571" s="137"/>
      <c r="C571" s="18"/>
      <c r="D571" s="19"/>
      <c r="E571" s="20"/>
      <c r="F571" s="21"/>
      <c r="G571" s="22"/>
      <c r="H571" s="21"/>
      <c r="I571" s="22"/>
      <c r="J571" s="23"/>
      <c r="K571" s="19"/>
      <c r="L571" s="24"/>
      <c r="M571" s="24"/>
      <c r="N571" s="21"/>
      <c r="O571" s="22"/>
      <c r="P571" s="18"/>
      <c r="Q571" s="22"/>
      <c r="R571" s="23"/>
      <c r="S571" s="23"/>
    </row>
    <row r="572" spans="1:19" s="17" customFormat="1">
      <c r="A572" s="16" t="s">
        <v>458</v>
      </c>
      <c r="B572" s="17" t="s">
        <v>26</v>
      </c>
      <c r="C572" s="18"/>
      <c r="D572" s="19" t="s">
        <v>162</v>
      </c>
      <c r="E572" s="20"/>
      <c r="F572" s="21">
        <v>8</v>
      </c>
      <c r="G572" s="22" t="s">
        <v>34</v>
      </c>
      <c r="H572" s="21">
        <v>30</v>
      </c>
      <c r="I572" s="22" t="s">
        <v>162</v>
      </c>
      <c r="J572" s="23">
        <f>4800000/8/30</f>
        <v>20000</v>
      </c>
      <c r="K572" s="19" t="s">
        <v>162</v>
      </c>
      <c r="L572" s="24"/>
      <c r="M572" s="24">
        <v>0.17</v>
      </c>
      <c r="N572" s="21"/>
      <c r="O572" s="22" t="s">
        <v>162</v>
      </c>
      <c r="P572" s="18">
        <f t="shared" si="134"/>
        <v>0</v>
      </c>
      <c r="Q572" s="22" t="s">
        <v>162</v>
      </c>
      <c r="R572" s="23">
        <f t="shared" si="135"/>
        <v>0</v>
      </c>
      <c r="S572" s="23">
        <f t="shared" si="136"/>
        <v>0</v>
      </c>
    </row>
    <row r="573" spans="1:19" s="17" customFormat="1">
      <c r="A573" s="16" t="s">
        <v>752</v>
      </c>
      <c r="B573" s="17" t="s">
        <v>26</v>
      </c>
      <c r="C573" s="18"/>
      <c r="D573" s="19" t="s">
        <v>162</v>
      </c>
      <c r="E573" s="20"/>
      <c r="F573" s="21">
        <v>6</v>
      </c>
      <c r="G573" s="22" t="s">
        <v>34</v>
      </c>
      <c r="H573" s="21">
        <v>30</v>
      </c>
      <c r="I573" s="22" t="s">
        <v>162</v>
      </c>
      <c r="J573" s="23">
        <f>2664000/6/30</f>
        <v>14800</v>
      </c>
      <c r="K573" s="19" t="s">
        <v>162</v>
      </c>
      <c r="L573" s="24"/>
      <c r="M573" s="24">
        <v>0.17</v>
      </c>
      <c r="N573" s="21"/>
      <c r="O573" s="22" t="s">
        <v>162</v>
      </c>
      <c r="P573" s="18">
        <f t="shared" si="134"/>
        <v>0</v>
      </c>
      <c r="Q573" s="22" t="s">
        <v>162</v>
      </c>
      <c r="R573" s="23">
        <f t="shared" si="135"/>
        <v>0</v>
      </c>
      <c r="S573" s="23">
        <f t="shared" si="136"/>
        <v>0</v>
      </c>
    </row>
    <row r="574" spans="1:19" s="17" customFormat="1">
      <c r="A574" s="16"/>
      <c r="C574" s="18"/>
      <c r="D574" s="19"/>
      <c r="E574" s="20"/>
      <c r="F574" s="21"/>
      <c r="G574" s="22"/>
      <c r="H574" s="21"/>
      <c r="I574" s="22"/>
      <c r="J574" s="23"/>
      <c r="K574" s="19"/>
      <c r="L574" s="24"/>
      <c r="M574" s="24"/>
      <c r="N574" s="21"/>
      <c r="O574" s="22"/>
      <c r="P574" s="18"/>
      <c r="Q574" s="22"/>
      <c r="R574" s="23"/>
      <c r="S574" s="23"/>
    </row>
    <row r="575" spans="1:19">
      <c r="A575" s="15" t="s">
        <v>459</v>
      </c>
      <c r="S575" s="23"/>
    </row>
    <row r="576" spans="1:19" s="17" customFormat="1">
      <c r="A576" s="16" t="s">
        <v>462</v>
      </c>
      <c r="B576" s="17" t="s">
        <v>19</v>
      </c>
      <c r="C576" s="18">
        <v>12</v>
      </c>
      <c r="D576" s="19" t="s">
        <v>43</v>
      </c>
      <c r="E576" s="20"/>
      <c r="F576" s="21">
        <v>48</v>
      </c>
      <c r="G576" s="22" t="s">
        <v>34</v>
      </c>
      <c r="H576" s="21">
        <v>12</v>
      </c>
      <c r="I576" s="22" t="s">
        <v>20</v>
      </c>
      <c r="J576" s="23">
        <v>5800</v>
      </c>
      <c r="K576" s="19" t="s">
        <v>20</v>
      </c>
      <c r="L576" s="24">
        <v>0.125</v>
      </c>
      <c r="M576" s="24">
        <v>0.05</v>
      </c>
      <c r="N576" s="21">
        <v>12</v>
      </c>
      <c r="O576" s="22" t="s">
        <v>20</v>
      </c>
      <c r="P576" s="18">
        <f>(C576+(E576*F576*H576))-N576</f>
        <v>0</v>
      </c>
      <c r="Q576" s="22" t="s">
        <v>20</v>
      </c>
      <c r="R576" s="23">
        <f>P576*(J576-(J576*L576)-((J576-(J576*L576))*M576))</f>
        <v>0</v>
      </c>
      <c r="S576" s="23">
        <f>R576/1.11</f>
        <v>0</v>
      </c>
    </row>
    <row r="577" spans="1:19" s="17" customFormat="1">
      <c r="A577" s="16"/>
      <c r="C577" s="18"/>
      <c r="D577" s="19"/>
      <c r="E577" s="20"/>
      <c r="F577" s="21"/>
      <c r="G577" s="22"/>
      <c r="H577" s="21"/>
      <c r="I577" s="22"/>
      <c r="J577" s="23"/>
      <c r="K577" s="19"/>
      <c r="L577" s="24"/>
      <c r="M577" s="24"/>
      <c r="N577" s="21"/>
      <c r="O577" s="22"/>
      <c r="P577" s="18"/>
      <c r="Q577" s="22"/>
      <c r="R577" s="23"/>
      <c r="S577" s="23"/>
    </row>
    <row r="578" spans="1:19" s="26" customFormat="1">
      <c r="A578" s="120" t="s">
        <v>460</v>
      </c>
      <c r="B578" s="26" t="s">
        <v>26</v>
      </c>
      <c r="C578" s="27">
        <v>576</v>
      </c>
      <c r="D578" s="28" t="s">
        <v>20</v>
      </c>
      <c r="E578" s="29"/>
      <c r="F578" s="30">
        <v>24</v>
      </c>
      <c r="G578" s="31" t="s">
        <v>34</v>
      </c>
      <c r="H578" s="30">
        <v>24</v>
      </c>
      <c r="I578" s="31" t="s">
        <v>20</v>
      </c>
      <c r="J578" s="32">
        <f>2822400/24/24</f>
        <v>4900</v>
      </c>
      <c r="K578" s="28" t="s">
        <v>20</v>
      </c>
      <c r="L578" s="33"/>
      <c r="M578" s="33">
        <v>0.17</v>
      </c>
      <c r="N578" s="30"/>
      <c r="O578" s="31" t="s">
        <v>20</v>
      </c>
      <c r="P578" s="27">
        <f>(C578+(E578*F578*H578))-N578</f>
        <v>576</v>
      </c>
      <c r="Q578" s="31" t="s">
        <v>20</v>
      </c>
      <c r="R578" s="32">
        <f>P578*(J578-(J578*L578)-((J578-(J578*L578))*M578))</f>
        <v>2342592</v>
      </c>
      <c r="S578" s="32">
        <f t="shared" si="136"/>
        <v>2110443.2432432431</v>
      </c>
    </row>
    <row r="579" spans="1:19" s="26" customFormat="1">
      <c r="A579" s="120" t="s">
        <v>461</v>
      </c>
      <c r="B579" s="26" t="s">
        <v>26</v>
      </c>
      <c r="C579" s="27">
        <v>936</v>
      </c>
      <c r="D579" s="28" t="s">
        <v>20</v>
      </c>
      <c r="E579" s="29"/>
      <c r="F579" s="30">
        <v>24</v>
      </c>
      <c r="G579" s="31" t="s">
        <v>34</v>
      </c>
      <c r="H579" s="30">
        <v>24</v>
      </c>
      <c r="I579" s="31" t="s">
        <v>20</v>
      </c>
      <c r="J579" s="32">
        <f>1900800/24/24</f>
        <v>3300</v>
      </c>
      <c r="K579" s="28" t="s">
        <v>20</v>
      </c>
      <c r="L579" s="33"/>
      <c r="M579" s="33">
        <v>0.17</v>
      </c>
      <c r="N579" s="30">
        <f>(57*12)+(14*12)</f>
        <v>852</v>
      </c>
      <c r="O579" s="31" t="s">
        <v>20</v>
      </c>
      <c r="P579" s="27">
        <f>(C579+(E579*F579*H579))-N579</f>
        <v>84</v>
      </c>
      <c r="Q579" s="31" t="s">
        <v>20</v>
      </c>
      <c r="R579" s="32">
        <f>P579*(J579-(J579*L579)-((J579-(J579*L579))*M579))</f>
        <v>230076</v>
      </c>
      <c r="S579" s="32">
        <f t="shared" si="136"/>
        <v>207275.67567567565</v>
      </c>
    </row>
    <row r="580" spans="1:19" s="26" customFormat="1">
      <c r="A580" s="138"/>
      <c r="C580" s="27"/>
      <c r="D580" s="28"/>
      <c r="E580" s="29"/>
      <c r="F580" s="30"/>
      <c r="G580" s="31"/>
      <c r="H580" s="30"/>
      <c r="I580" s="31"/>
      <c r="J580" s="32"/>
      <c r="K580" s="28"/>
      <c r="L580" s="33"/>
      <c r="M580" s="33"/>
      <c r="N580" s="30"/>
      <c r="O580" s="31"/>
      <c r="P580" s="27"/>
      <c r="Q580" s="31"/>
      <c r="R580" s="32"/>
      <c r="S580" s="32"/>
    </row>
    <row r="581" spans="1:19">
      <c r="A581" s="15" t="s">
        <v>463</v>
      </c>
      <c r="S581" s="23"/>
    </row>
    <row r="582" spans="1:19" s="17" customFormat="1">
      <c r="A582" s="16" t="s">
        <v>464</v>
      </c>
      <c r="B582" s="17" t="s">
        <v>19</v>
      </c>
      <c r="C582" s="18"/>
      <c r="D582" s="19" t="s">
        <v>104</v>
      </c>
      <c r="E582" s="20"/>
      <c r="F582" s="21">
        <v>18</v>
      </c>
      <c r="G582" s="22" t="s">
        <v>34</v>
      </c>
      <c r="H582" s="21">
        <v>12</v>
      </c>
      <c r="I582" s="22" t="s">
        <v>104</v>
      </c>
      <c r="J582" s="23">
        <f>36000/12</f>
        <v>3000</v>
      </c>
      <c r="K582" s="19" t="s">
        <v>104</v>
      </c>
      <c r="L582" s="24">
        <v>0.125</v>
      </c>
      <c r="M582" s="24">
        <v>0.05</v>
      </c>
      <c r="N582" s="21"/>
      <c r="O582" s="22" t="s">
        <v>104</v>
      </c>
      <c r="P582" s="18">
        <f t="shared" ref="P582:P590" si="137">(C582+(E582*F582*H582))-N582</f>
        <v>0</v>
      </c>
      <c r="Q582" s="22" t="s">
        <v>104</v>
      </c>
      <c r="R582" s="23">
        <f t="shared" ref="R582:R590" si="138">P582*(J582-(J582*L582)-((J582-(J582*L582))*M582))</f>
        <v>0</v>
      </c>
      <c r="S582" s="23">
        <f t="shared" si="136"/>
        <v>0</v>
      </c>
    </row>
    <row r="583" spans="1:19" s="17" customFormat="1">
      <c r="A583" s="16" t="s">
        <v>465</v>
      </c>
      <c r="B583" s="17" t="s">
        <v>19</v>
      </c>
      <c r="C583" s="18"/>
      <c r="D583" s="19" t="s">
        <v>43</v>
      </c>
      <c r="E583" s="20"/>
      <c r="F583" s="21">
        <v>18</v>
      </c>
      <c r="G583" s="22" t="s">
        <v>34</v>
      </c>
      <c r="H583" s="21">
        <v>24</v>
      </c>
      <c r="I583" s="22" t="s">
        <v>43</v>
      </c>
      <c r="J583" s="23">
        <v>27600</v>
      </c>
      <c r="K583" s="19" t="s">
        <v>43</v>
      </c>
      <c r="L583" s="24">
        <v>0.125</v>
      </c>
      <c r="M583" s="24">
        <v>0.05</v>
      </c>
      <c r="N583" s="21"/>
      <c r="O583" s="22" t="s">
        <v>43</v>
      </c>
      <c r="P583" s="18">
        <f t="shared" si="137"/>
        <v>0</v>
      </c>
      <c r="Q583" s="22" t="s">
        <v>43</v>
      </c>
      <c r="R583" s="23">
        <f t="shared" si="138"/>
        <v>0</v>
      </c>
      <c r="S583" s="23">
        <f t="shared" si="136"/>
        <v>0</v>
      </c>
    </row>
    <row r="584" spans="1:19" s="17" customFormat="1">
      <c r="A584" s="16"/>
      <c r="C584" s="18"/>
      <c r="D584" s="19"/>
      <c r="E584" s="20"/>
      <c r="F584" s="21"/>
      <c r="G584" s="22"/>
      <c r="H584" s="21"/>
      <c r="I584" s="22"/>
      <c r="J584" s="23"/>
      <c r="K584" s="19"/>
      <c r="L584" s="24"/>
      <c r="M584" s="24"/>
      <c r="N584" s="21"/>
      <c r="O584" s="22"/>
      <c r="P584" s="18"/>
      <c r="Q584" s="22"/>
      <c r="R584" s="23"/>
      <c r="S584" s="23"/>
    </row>
    <row r="585" spans="1:19" s="17" customFormat="1">
      <c r="A585" s="16" t="s">
        <v>466</v>
      </c>
      <c r="B585" s="17" t="s">
        <v>275</v>
      </c>
      <c r="C585" s="18"/>
      <c r="D585" s="19" t="s">
        <v>43</v>
      </c>
      <c r="E585" s="20"/>
      <c r="F585" s="21">
        <v>1</v>
      </c>
      <c r="G585" s="22" t="s">
        <v>21</v>
      </c>
      <c r="H585" s="21">
        <v>96</v>
      </c>
      <c r="I585" s="22" t="s">
        <v>43</v>
      </c>
      <c r="J585" s="23">
        <v>9500</v>
      </c>
      <c r="K585" s="19" t="s">
        <v>43</v>
      </c>
      <c r="L585" s="24"/>
      <c r="M585" s="24"/>
      <c r="N585" s="21"/>
      <c r="O585" s="22" t="s">
        <v>43</v>
      </c>
      <c r="P585" s="18">
        <f t="shared" si="137"/>
        <v>0</v>
      </c>
      <c r="Q585" s="22" t="s">
        <v>43</v>
      </c>
      <c r="R585" s="23">
        <f t="shared" si="138"/>
        <v>0</v>
      </c>
      <c r="S585" s="23">
        <f t="shared" si="136"/>
        <v>0</v>
      </c>
    </row>
    <row r="586" spans="1:19" s="17" customFormat="1">
      <c r="A586" s="16"/>
      <c r="C586" s="18"/>
      <c r="D586" s="19"/>
      <c r="E586" s="20"/>
      <c r="F586" s="21"/>
      <c r="G586" s="22"/>
      <c r="H586" s="21"/>
      <c r="I586" s="22"/>
      <c r="J586" s="23"/>
      <c r="K586" s="19"/>
      <c r="L586" s="24"/>
      <c r="M586" s="24"/>
      <c r="N586" s="21"/>
      <c r="O586" s="22"/>
      <c r="P586" s="18"/>
      <c r="Q586" s="22"/>
      <c r="R586" s="23"/>
      <c r="S586" s="23"/>
    </row>
    <row r="587" spans="1:19" s="26" customFormat="1">
      <c r="A587" s="25" t="s">
        <v>467</v>
      </c>
      <c r="B587" s="26" t="s">
        <v>26</v>
      </c>
      <c r="C587" s="27">
        <f>1176/12</f>
        <v>98</v>
      </c>
      <c r="D587" s="28" t="s">
        <v>20</v>
      </c>
      <c r="E587" s="29">
        <v>1</v>
      </c>
      <c r="F587" s="30">
        <v>144</v>
      </c>
      <c r="G587" s="31" t="s">
        <v>34</v>
      </c>
      <c r="H587" s="30">
        <v>2</v>
      </c>
      <c r="I587" s="31" t="s">
        <v>43</v>
      </c>
      <c r="J587" s="32">
        <f>6739200/144/2</f>
        <v>23400</v>
      </c>
      <c r="K587" s="28" t="s">
        <v>43</v>
      </c>
      <c r="L587" s="33"/>
      <c r="M587" s="33">
        <v>0.17</v>
      </c>
      <c r="N587" s="30">
        <f>(12*2)+60</f>
        <v>84</v>
      </c>
      <c r="O587" s="31" t="s">
        <v>43</v>
      </c>
      <c r="P587" s="27">
        <f t="shared" si="137"/>
        <v>302</v>
      </c>
      <c r="Q587" s="31" t="s">
        <v>43</v>
      </c>
      <c r="R587" s="32">
        <f t="shared" si="138"/>
        <v>5865444</v>
      </c>
      <c r="S587" s="32">
        <f t="shared" si="136"/>
        <v>5284183.7837837832</v>
      </c>
    </row>
    <row r="588" spans="1:19" s="17" customFormat="1">
      <c r="A588" s="16" t="s">
        <v>468</v>
      </c>
      <c r="B588" s="17" t="s">
        <v>26</v>
      </c>
      <c r="C588" s="18"/>
      <c r="D588" s="19" t="s">
        <v>34</v>
      </c>
      <c r="E588" s="20"/>
      <c r="F588" s="21">
        <v>1</v>
      </c>
      <c r="G588" s="22" t="s">
        <v>21</v>
      </c>
      <c r="H588" s="21">
        <v>120</v>
      </c>
      <c r="I588" s="22" t="s">
        <v>34</v>
      </c>
      <c r="J588" s="23">
        <f>2160000/120</f>
        <v>18000</v>
      </c>
      <c r="K588" s="19" t="s">
        <v>34</v>
      </c>
      <c r="L588" s="24"/>
      <c r="M588" s="24">
        <v>0.17</v>
      </c>
      <c r="N588" s="21"/>
      <c r="O588" s="22" t="s">
        <v>34</v>
      </c>
      <c r="P588" s="18">
        <f t="shared" si="137"/>
        <v>0</v>
      </c>
      <c r="Q588" s="22" t="s">
        <v>34</v>
      </c>
      <c r="R588" s="23">
        <f t="shared" si="138"/>
        <v>0</v>
      </c>
      <c r="S588" s="23">
        <f t="shared" si="136"/>
        <v>0</v>
      </c>
    </row>
    <row r="589" spans="1:19" s="17" customFormat="1">
      <c r="A589" s="16"/>
      <c r="C589" s="18"/>
      <c r="D589" s="19"/>
      <c r="E589" s="20"/>
      <c r="F589" s="21"/>
      <c r="G589" s="22"/>
      <c r="H589" s="21"/>
      <c r="I589" s="22"/>
      <c r="J589" s="23"/>
      <c r="K589" s="19"/>
      <c r="L589" s="24"/>
      <c r="M589" s="24"/>
      <c r="N589" s="21"/>
      <c r="O589" s="22"/>
      <c r="P589" s="18"/>
      <c r="Q589" s="22"/>
      <c r="R589" s="23"/>
      <c r="S589" s="23"/>
    </row>
    <row r="590" spans="1:19">
      <c r="A590" s="34" t="s">
        <v>469</v>
      </c>
      <c r="B590" s="2" t="s">
        <v>192</v>
      </c>
      <c r="C590" s="3">
        <v>2400</v>
      </c>
      <c r="D590" s="4" t="s">
        <v>34</v>
      </c>
      <c r="F590" s="6">
        <v>1</v>
      </c>
      <c r="G590" s="7" t="s">
        <v>21</v>
      </c>
      <c r="H590" s="6">
        <v>240</v>
      </c>
      <c r="I590" s="7" t="s">
        <v>34</v>
      </c>
      <c r="J590" s="8">
        <v>5500</v>
      </c>
      <c r="K590" s="4" t="s">
        <v>34</v>
      </c>
      <c r="O590" s="7" t="s">
        <v>34</v>
      </c>
      <c r="P590" s="3">
        <f t="shared" si="137"/>
        <v>2400</v>
      </c>
      <c r="Q590" s="7" t="s">
        <v>34</v>
      </c>
      <c r="R590" s="8">
        <f t="shared" si="138"/>
        <v>13200000</v>
      </c>
      <c r="S590" s="32">
        <f t="shared" si="136"/>
        <v>11891891.891891891</v>
      </c>
    </row>
    <row r="591" spans="1:19">
      <c r="S591" s="32"/>
    </row>
    <row r="592" spans="1:19">
      <c r="A592" s="15" t="s">
        <v>574</v>
      </c>
      <c r="S592" s="23"/>
    </row>
    <row r="593" spans="1:19" s="26" customFormat="1">
      <c r="A593" s="107" t="s">
        <v>575</v>
      </c>
      <c r="B593" s="26" t="s">
        <v>26</v>
      </c>
      <c r="C593" s="27">
        <v>180</v>
      </c>
      <c r="D593" s="28" t="s">
        <v>43</v>
      </c>
      <c r="E593" s="29"/>
      <c r="F593" s="30">
        <v>1</v>
      </c>
      <c r="G593" s="31" t="s">
        <v>21</v>
      </c>
      <c r="H593" s="30">
        <v>60</v>
      </c>
      <c r="I593" s="31" t="s">
        <v>43</v>
      </c>
      <c r="J593" s="32">
        <f>2160000/60</f>
        <v>36000</v>
      </c>
      <c r="K593" s="28" t="s">
        <v>43</v>
      </c>
      <c r="L593" s="33"/>
      <c r="M593" s="33">
        <v>0.17</v>
      </c>
      <c r="N593" s="30"/>
      <c r="O593" s="31" t="s">
        <v>43</v>
      </c>
      <c r="P593" s="27">
        <f>(C593+(E593*F593*H593))-N593</f>
        <v>180</v>
      </c>
      <c r="Q593" s="31" t="s">
        <v>43</v>
      </c>
      <c r="R593" s="32">
        <f>P593*(J593-(J593*L593)-((J593-(J593*L593))*M593))</f>
        <v>5378400</v>
      </c>
      <c r="S593" s="32">
        <f>R593/1.11</f>
        <v>4845405.405405405</v>
      </c>
    </row>
    <row r="594" spans="1:19" s="26" customFormat="1">
      <c r="A594" s="107" t="s">
        <v>576</v>
      </c>
      <c r="B594" s="26" t="s">
        <v>26</v>
      </c>
      <c r="C594" s="27">
        <v>194</v>
      </c>
      <c r="D594" s="28" t="s">
        <v>43</v>
      </c>
      <c r="E594" s="29"/>
      <c r="F594" s="30">
        <v>12</v>
      </c>
      <c r="G594" s="31" t="s">
        <v>88</v>
      </c>
      <c r="H594" s="30">
        <v>12</v>
      </c>
      <c r="I594" s="31" t="s">
        <v>43</v>
      </c>
      <c r="J594" s="32">
        <f>1555200/144</f>
        <v>10800</v>
      </c>
      <c r="K594" s="28" t="s">
        <v>43</v>
      </c>
      <c r="L594" s="33">
        <v>0.05</v>
      </c>
      <c r="M594" s="33">
        <v>0.17</v>
      </c>
      <c r="N594" s="30"/>
      <c r="O594" s="31" t="s">
        <v>43</v>
      </c>
      <c r="P594" s="27">
        <f>(C594+(E594*F594*H594))-N594</f>
        <v>194</v>
      </c>
      <c r="Q594" s="31" t="s">
        <v>43</v>
      </c>
      <c r="R594" s="32">
        <f>P594*(J594-(J594*L594)-((J594-(J594*L594))*M594))</f>
        <v>1652065.2</v>
      </c>
      <c r="S594" s="32">
        <f>R594/1.11</f>
        <v>1488347.0270270268</v>
      </c>
    </row>
    <row r="595" spans="1:19" s="26" customFormat="1">
      <c r="A595" s="94"/>
      <c r="C595" s="27"/>
      <c r="D595" s="28"/>
      <c r="E595" s="29"/>
      <c r="F595" s="30"/>
      <c r="G595" s="31"/>
      <c r="H595" s="30"/>
      <c r="I595" s="31"/>
      <c r="J595" s="32"/>
      <c r="K595" s="28"/>
      <c r="L595" s="33"/>
      <c r="M595" s="33"/>
      <c r="N595" s="30"/>
      <c r="O595" s="31"/>
      <c r="P595" s="27"/>
      <c r="Q595" s="31"/>
      <c r="R595" s="32"/>
      <c r="S595" s="32"/>
    </row>
    <row r="596" spans="1:19">
      <c r="A596" s="15" t="s">
        <v>577</v>
      </c>
      <c r="S596" s="23"/>
    </row>
    <row r="597" spans="1:19" s="26" customFormat="1">
      <c r="A597" s="107" t="s">
        <v>578</v>
      </c>
      <c r="B597" s="26" t="s">
        <v>26</v>
      </c>
      <c r="C597" s="27">
        <v>55</v>
      </c>
      <c r="D597" s="28" t="s">
        <v>43</v>
      </c>
      <c r="E597" s="29">
        <v>2</v>
      </c>
      <c r="F597" s="30">
        <v>1</v>
      </c>
      <c r="G597" s="31" t="s">
        <v>21</v>
      </c>
      <c r="H597" s="30">
        <v>60</v>
      </c>
      <c r="I597" s="31" t="s">
        <v>43</v>
      </c>
      <c r="J597" s="32">
        <f>2268000/60</f>
        <v>37800</v>
      </c>
      <c r="K597" s="28" t="s">
        <v>43</v>
      </c>
      <c r="L597" s="33"/>
      <c r="M597" s="33">
        <v>0.17</v>
      </c>
      <c r="N597" s="30">
        <v>120</v>
      </c>
      <c r="O597" s="31" t="s">
        <v>43</v>
      </c>
      <c r="P597" s="27">
        <f>(C597+(E597*F597*H597))-N597</f>
        <v>55</v>
      </c>
      <c r="Q597" s="31" t="s">
        <v>43</v>
      </c>
      <c r="R597" s="32">
        <f>P597*(J597-(J597*L597)-((J597-(J597*L597))*M597))</f>
        <v>1725570</v>
      </c>
      <c r="S597" s="32">
        <f>R597/1.11</f>
        <v>1554567.5675675673</v>
      </c>
    </row>
    <row r="598" spans="1:19" s="26" customFormat="1">
      <c r="A598" s="25"/>
      <c r="C598" s="27"/>
      <c r="D598" s="28"/>
      <c r="E598" s="29"/>
      <c r="F598" s="30"/>
      <c r="G598" s="31"/>
      <c r="H598" s="30"/>
      <c r="I598" s="31"/>
      <c r="J598" s="32"/>
      <c r="K598" s="28"/>
      <c r="L598" s="33"/>
      <c r="M598" s="33"/>
      <c r="N598" s="30"/>
      <c r="O598" s="31"/>
      <c r="P598" s="27"/>
      <c r="Q598" s="31"/>
      <c r="R598" s="32"/>
      <c r="S598" s="32"/>
    </row>
    <row r="599" spans="1:19" s="26" customFormat="1">
      <c r="A599" s="25" t="s">
        <v>846</v>
      </c>
      <c r="B599" s="26" t="s">
        <v>659</v>
      </c>
      <c r="C599" s="27">
        <v>12</v>
      </c>
      <c r="D599" s="28" t="s">
        <v>162</v>
      </c>
      <c r="E599" s="29"/>
      <c r="F599" s="30">
        <v>1</v>
      </c>
      <c r="G599" s="31" t="s">
        <v>162</v>
      </c>
      <c r="H599" s="30">
        <v>1</v>
      </c>
      <c r="I599" s="31" t="s">
        <v>162</v>
      </c>
      <c r="J599" s="32">
        <v>4000</v>
      </c>
      <c r="K599" s="28" t="s">
        <v>20</v>
      </c>
      <c r="L599" s="33"/>
      <c r="M599" s="33">
        <v>1.0999999999999999E-2</v>
      </c>
      <c r="N599" s="30"/>
      <c r="O599" s="31" t="s">
        <v>20</v>
      </c>
      <c r="P599" s="27">
        <f t="shared" ref="P599" si="139">(C599+(E599*F599*H599))-N599</f>
        <v>12</v>
      </c>
      <c r="Q599" s="31" t="s">
        <v>20</v>
      </c>
      <c r="R599" s="32">
        <f t="shared" ref="R599" si="140">P599*(J599-(J599*L599)-((J599-(J599*L599))*M599))</f>
        <v>47472</v>
      </c>
      <c r="S599" s="32">
        <f t="shared" ref="S599" si="141">R599/1.11</f>
        <v>42767.567567567567</v>
      </c>
    </row>
    <row r="600" spans="1:19" s="26" customFormat="1">
      <c r="A600" s="94"/>
      <c r="C600" s="27"/>
      <c r="D600" s="28"/>
      <c r="E600" s="29"/>
      <c r="F600" s="30"/>
      <c r="G600" s="31"/>
      <c r="H600" s="30"/>
      <c r="I600" s="31"/>
      <c r="J600" s="32"/>
      <c r="K600" s="28"/>
      <c r="L600" s="33"/>
      <c r="M600" s="33"/>
      <c r="N600" s="30"/>
      <c r="O600" s="31"/>
      <c r="P600" s="27"/>
      <c r="Q600" s="31"/>
      <c r="R600" s="32"/>
      <c r="S600" s="32"/>
    </row>
    <row r="601" spans="1:19">
      <c r="A601" s="15" t="s">
        <v>579</v>
      </c>
      <c r="S601" s="23"/>
    </row>
    <row r="602" spans="1:19" s="45" customFormat="1">
      <c r="A602" s="44" t="s">
        <v>580</v>
      </c>
      <c r="B602" s="45" t="s">
        <v>19</v>
      </c>
      <c r="C602" s="46">
        <v>3</v>
      </c>
      <c r="D602" s="47" t="s">
        <v>162</v>
      </c>
      <c r="E602" s="48"/>
      <c r="F602" s="49">
        <v>8</v>
      </c>
      <c r="G602" s="50" t="s">
        <v>34</v>
      </c>
      <c r="H602" s="49">
        <v>12</v>
      </c>
      <c r="I602" s="50" t="s">
        <v>162</v>
      </c>
      <c r="J602" s="51">
        <v>17000</v>
      </c>
      <c r="K602" s="47" t="s">
        <v>162</v>
      </c>
      <c r="L602" s="52">
        <v>0.125</v>
      </c>
      <c r="M602" s="52">
        <v>0.05</v>
      </c>
      <c r="N602" s="49"/>
      <c r="O602" s="50" t="s">
        <v>162</v>
      </c>
      <c r="P602" s="46">
        <f t="shared" ref="P602:P606" si="142">(C602+(E602*F602*H602))-N602</f>
        <v>3</v>
      </c>
      <c r="Q602" s="50" t="s">
        <v>162</v>
      </c>
      <c r="R602" s="51">
        <f t="shared" ref="R602:R606" si="143">P602*(J602-(J602*L602)-((J602-(J602*L602))*M602))</f>
        <v>42393.75</v>
      </c>
      <c r="S602" s="32">
        <f>R602/1.11</f>
        <v>38192.567567567567</v>
      </c>
    </row>
    <row r="603" spans="1:19" s="45" customFormat="1">
      <c r="A603" s="44" t="s">
        <v>581</v>
      </c>
      <c r="B603" s="45" t="s">
        <v>19</v>
      </c>
      <c r="C603" s="46">
        <v>3</v>
      </c>
      <c r="D603" s="47" t="s">
        <v>162</v>
      </c>
      <c r="E603" s="48"/>
      <c r="F603" s="49">
        <v>8</v>
      </c>
      <c r="G603" s="50" t="s">
        <v>34</v>
      </c>
      <c r="H603" s="49">
        <v>6</v>
      </c>
      <c r="I603" s="50" t="s">
        <v>162</v>
      </c>
      <c r="J603" s="51">
        <v>34000</v>
      </c>
      <c r="K603" s="47" t="s">
        <v>162</v>
      </c>
      <c r="L603" s="52">
        <v>0.125</v>
      </c>
      <c r="M603" s="52">
        <v>0.05</v>
      </c>
      <c r="N603" s="49"/>
      <c r="O603" s="50" t="s">
        <v>162</v>
      </c>
      <c r="P603" s="46">
        <f t="shared" si="142"/>
        <v>3</v>
      </c>
      <c r="Q603" s="50" t="s">
        <v>162</v>
      </c>
      <c r="R603" s="51">
        <f t="shared" si="143"/>
        <v>84787.5</v>
      </c>
      <c r="S603" s="32">
        <f>R603/1.11</f>
        <v>76385.135135135133</v>
      </c>
    </row>
    <row r="604" spans="1:19" s="45" customFormat="1">
      <c r="A604" s="44" t="s">
        <v>582</v>
      </c>
      <c r="B604" s="45" t="s">
        <v>19</v>
      </c>
      <c r="C604" s="46">
        <v>62</v>
      </c>
      <c r="D604" s="47" t="s">
        <v>162</v>
      </c>
      <c r="E604" s="48"/>
      <c r="F604" s="49">
        <v>6</v>
      </c>
      <c r="G604" s="50" t="s">
        <v>34</v>
      </c>
      <c r="H604" s="49">
        <v>24</v>
      </c>
      <c r="I604" s="50" t="s">
        <v>162</v>
      </c>
      <c r="J604" s="51">
        <v>31500</v>
      </c>
      <c r="K604" s="47" t="s">
        <v>162</v>
      </c>
      <c r="L604" s="52">
        <v>0.125</v>
      </c>
      <c r="M604" s="52">
        <v>0.05</v>
      </c>
      <c r="N604" s="49"/>
      <c r="O604" s="50" t="s">
        <v>162</v>
      </c>
      <c r="P604" s="46">
        <f t="shared" si="142"/>
        <v>62</v>
      </c>
      <c r="Q604" s="50" t="s">
        <v>162</v>
      </c>
      <c r="R604" s="51">
        <f t="shared" si="143"/>
        <v>1623431.25</v>
      </c>
      <c r="S604" s="32">
        <f>R604/1.11</f>
        <v>1462550.6756756755</v>
      </c>
    </row>
    <row r="605" spans="1:19" s="45" customFormat="1">
      <c r="A605" s="44" t="s">
        <v>583</v>
      </c>
      <c r="B605" s="45" t="s">
        <v>19</v>
      </c>
      <c r="C605" s="46">
        <v>1</v>
      </c>
      <c r="D605" s="47" t="s">
        <v>162</v>
      </c>
      <c r="E605" s="48"/>
      <c r="F605" s="49">
        <v>6</v>
      </c>
      <c r="G605" s="50" t="s">
        <v>34</v>
      </c>
      <c r="H605" s="49">
        <v>12</v>
      </c>
      <c r="I605" s="50" t="s">
        <v>162</v>
      </c>
      <c r="J605" s="51">
        <v>63000</v>
      </c>
      <c r="K605" s="47" t="s">
        <v>162</v>
      </c>
      <c r="L605" s="52">
        <v>0.125</v>
      </c>
      <c r="M605" s="52">
        <v>0.05</v>
      </c>
      <c r="N605" s="49"/>
      <c r="O605" s="50" t="s">
        <v>162</v>
      </c>
      <c r="P605" s="46">
        <f t="shared" si="142"/>
        <v>1</v>
      </c>
      <c r="Q605" s="50" t="s">
        <v>162</v>
      </c>
      <c r="R605" s="51">
        <f t="shared" si="143"/>
        <v>52368.75</v>
      </c>
      <c r="S605" s="32">
        <f>R605/1.11</f>
        <v>47179.054054054053</v>
      </c>
    </row>
    <row r="606" spans="1:19" s="63" customFormat="1">
      <c r="A606" s="72" t="s">
        <v>584</v>
      </c>
      <c r="B606" s="63" t="s">
        <v>19</v>
      </c>
      <c r="C606" s="64"/>
      <c r="D606" s="65" t="s">
        <v>162</v>
      </c>
      <c r="E606" s="66"/>
      <c r="F606" s="67">
        <v>6</v>
      </c>
      <c r="G606" s="68" t="s">
        <v>34</v>
      </c>
      <c r="H606" s="67">
        <v>24</v>
      </c>
      <c r="I606" s="68" t="s">
        <v>162</v>
      </c>
      <c r="J606" s="69"/>
      <c r="K606" s="65" t="s">
        <v>162</v>
      </c>
      <c r="L606" s="70">
        <v>0.1</v>
      </c>
      <c r="M606" s="70">
        <v>0.05</v>
      </c>
      <c r="N606" s="67"/>
      <c r="O606" s="68" t="s">
        <v>162</v>
      </c>
      <c r="P606" s="64">
        <f t="shared" si="142"/>
        <v>0</v>
      </c>
      <c r="Q606" s="68" t="s">
        <v>162</v>
      </c>
      <c r="R606" s="69">
        <f t="shared" si="143"/>
        <v>0</v>
      </c>
      <c r="S606" s="23">
        <f>R606/1.11</f>
        <v>0</v>
      </c>
    </row>
    <row r="607" spans="1:19">
      <c r="S607" s="23"/>
    </row>
    <row r="608" spans="1:19" ht="15.75">
      <c r="A608" s="14" t="s">
        <v>470</v>
      </c>
      <c r="S608" s="23"/>
    </row>
    <row r="609" spans="1:19" s="45" customFormat="1">
      <c r="A609" s="44" t="s">
        <v>471</v>
      </c>
      <c r="B609" s="45" t="s">
        <v>19</v>
      </c>
      <c r="C609" s="46">
        <v>191</v>
      </c>
      <c r="D609" s="47" t="s">
        <v>88</v>
      </c>
      <c r="E609" s="48">
        <f>2+2</f>
        <v>4</v>
      </c>
      <c r="F609" s="49">
        <v>1</v>
      </c>
      <c r="G609" s="50" t="s">
        <v>21</v>
      </c>
      <c r="H609" s="49">
        <v>30</v>
      </c>
      <c r="I609" s="50" t="s">
        <v>88</v>
      </c>
      <c r="J609" s="51">
        <v>104400</v>
      </c>
      <c r="K609" s="47" t="s">
        <v>88</v>
      </c>
      <c r="L609" s="52">
        <v>0.125</v>
      </c>
      <c r="M609" s="52">
        <v>0.05</v>
      </c>
      <c r="N609" s="49">
        <f>150+60+60</f>
        <v>270</v>
      </c>
      <c r="O609" s="50" t="s">
        <v>88</v>
      </c>
      <c r="P609" s="46">
        <f t="shared" ref="P609:P633" si="144">(C609+(E609*F609*H609))-N609</f>
        <v>41</v>
      </c>
      <c r="Q609" s="50" t="s">
        <v>88</v>
      </c>
      <c r="R609" s="51">
        <f t="shared" ref="R609:R633" si="145">P609*(J609-(J609*L609)-((J609-(J609*L609))*M609))</f>
        <v>3558082.5</v>
      </c>
      <c r="S609" s="51">
        <f t="shared" si="136"/>
        <v>3205479.7297297292</v>
      </c>
    </row>
    <row r="610" spans="1:19" s="63" customFormat="1">
      <c r="A610" s="72" t="s">
        <v>726</v>
      </c>
      <c r="B610" s="63" t="s">
        <v>19</v>
      </c>
      <c r="C610" s="64"/>
      <c r="D610" s="65" t="s">
        <v>88</v>
      </c>
      <c r="E610" s="66"/>
      <c r="F610" s="67">
        <v>1</v>
      </c>
      <c r="G610" s="68" t="s">
        <v>21</v>
      </c>
      <c r="H610" s="67">
        <v>30</v>
      </c>
      <c r="I610" s="68" t="s">
        <v>88</v>
      </c>
      <c r="J610" s="69">
        <v>102000</v>
      </c>
      <c r="K610" s="65" t="s">
        <v>88</v>
      </c>
      <c r="L610" s="70">
        <v>0.125</v>
      </c>
      <c r="M610" s="70">
        <v>0.05</v>
      </c>
      <c r="N610" s="67"/>
      <c r="O610" s="68" t="s">
        <v>88</v>
      </c>
      <c r="P610" s="64">
        <f t="shared" si="144"/>
        <v>0</v>
      </c>
      <c r="Q610" s="68" t="s">
        <v>88</v>
      </c>
      <c r="R610" s="69">
        <f t="shared" si="145"/>
        <v>0</v>
      </c>
      <c r="S610" s="69">
        <f t="shared" si="136"/>
        <v>0</v>
      </c>
    </row>
    <row r="611" spans="1:19" s="17" customFormat="1">
      <c r="A611" s="16" t="s">
        <v>472</v>
      </c>
      <c r="B611" s="17" t="s">
        <v>19</v>
      </c>
      <c r="C611" s="18"/>
      <c r="D611" s="19" t="s">
        <v>88</v>
      </c>
      <c r="E611" s="20">
        <v>1</v>
      </c>
      <c r="F611" s="21">
        <v>1</v>
      </c>
      <c r="G611" s="22" t="s">
        <v>21</v>
      </c>
      <c r="H611" s="21">
        <v>30</v>
      </c>
      <c r="I611" s="22" t="s">
        <v>88</v>
      </c>
      <c r="J611" s="23">
        <v>99000</v>
      </c>
      <c r="K611" s="19" t="s">
        <v>88</v>
      </c>
      <c r="L611" s="24">
        <v>0.125</v>
      </c>
      <c r="M611" s="24">
        <v>0.05</v>
      </c>
      <c r="N611" s="21">
        <v>30</v>
      </c>
      <c r="O611" s="22" t="s">
        <v>88</v>
      </c>
      <c r="P611" s="18">
        <f t="shared" si="144"/>
        <v>0</v>
      </c>
      <c r="Q611" s="22" t="s">
        <v>88</v>
      </c>
      <c r="R611" s="23">
        <f t="shared" si="145"/>
        <v>0</v>
      </c>
      <c r="S611" s="23">
        <f t="shared" si="136"/>
        <v>0</v>
      </c>
    </row>
    <row r="612" spans="1:19" s="17" customFormat="1">
      <c r="A612" s="16" t="s">
        <v>473</v>
      </c>
      <c r="B612" s="17" t="s">
        <v>19</v>
      </c>
      <c r="C612" s="18"/>
      <c r="D612" s="19" t="s">
        <v>88</v>
      </c>
      <c r="E612" s="20"/>
      <c r="F612" s="21">
        <v>1</v>
      </c>
      <c r="G612" s="22" t="s">
        <v>21</v>
      </c>
      <c r="H612" s="21">
        <v>30</v>
      </c>
      <c r="I612" s="22" t="s">
        <v>88</v>
      </c>
      <c r="J612" s="23">
        <v>96000</v>
      </c>
      <c r="K612" s="19" t="s">
        <v>88</v>
      </c>
      <c r="L612" s="24">
        <v>0.125</v>
      </c>
      <c r="M612" s="24">
        <v>0.05</v>
      </c>
      <c r="N612" s="21"/>
      <c r="O612" s="22" t="s">
        <v>88</v>
      </c>
      <c r="P612" s="18">
        <f t="shared" si="144"/>
        <v>0</v>
      </c>
      <c r="Q612" s="22" t="s">
        <v>88</v>
      </c>
      <c r="R612" s="23">
        <f t="shared" si="145"/>
        <v>0</v>
      </c>
      <c r="S612" s="23">
        <f t="shared" si="136"/>
        <v>0</v>
      </c>
    </row>
    <row r="613" spans="1:19" s="17" customFormat="1">
      <c r="A613" s="16" t="s">
        <v>474</v>
      </c>
      <c r="B613" s="17" t="s">
        <v>19</v>
      </c>
      <c r="C613" s="18"/>
      <c r="D613" s="19" t="s">
        <v>88</v>
      </c>
      <c r="E613" s="20"/>
      <c r="F613" s="21">
        <v>1</v>
      </c>
      <c r="G613" s="22" t="s">
        <v>21</v>
      </c>
      <c r="H613" s="21">
        <v>30</v>
      </c>
      <c r="I613" s="22" t="s">
        <v>88</v>
      </c>
      <c r="J613" s="23">
        <v>109000</v>
      </c>
      <c r="K613" s="19" t="s">
        <v>88</v>
      </c>
      <c r="L613" s="24">
        <v>0.125</v>
      </c>
      <c r="M613" s="24">
        <v>0.05</v>
      </c>
      <c r="N613" s="21"/>
      <c r="O613" s="22" t="s">
        <v>88</v>
      </c>
      <c r="P613" s="18">
        <f t="shared" ref="P613" si="146">(C613+(E613*F613*H613))-N613</f>
        <v>0</v>
      </c>
      <c r="Q613" s="22" t="s">
        <v>88</v>
      </c>
      <c r="R613" s="23">
        <f t="shared" ref="R613" si="147">P613*(J613-(J613*L613)-((J613-(J613*L613))*M613))</f>
        <v>0</v>
      </c>
      <c r="S613" s="23">
        <f t="shared" ref="S613" si="148">R613/1.11</f>
        <v>0</v>
      </c>
    </row>
    <row r="614" spans="1:19" s="17" customFormat="1">
      <c r="A614" s="16" t="s">
        <v>840</v>
      </c>
      <c r="B614" s="17" t="s">
        <v>19</v>
      </c>
      <c r="C614" s="18"/>
      <c r="D614" s="19" t="s">
        <v>88</v>
      </c>
      <c r="E614" s="20">
        <v>1</v>
      </c>
      <c r="F614" s="21">
        <v>1</v>
      </c>
      <c r="G614" s="22" t="s">
        <v>21</v>
      </c>
      <c r="H614" s="21">
        <v>30</v>
      </c>
      <c r="I614" s="22" t="s">
        <v>88</v>
      </c>
      <c r="J614" s="23">
        <v>144000</v>
      </c>
      <c r="K614" s="19" t="s">
        <v>88</v>
      </c>
      <c r="L614" s="24">
        <v>0.125</v>
      </c>
      <c r="M614" s="24">
        <v>0.05</v>
      </c>
      <c r="N614" s="21">
        <v>30</v>
      </c>
      <c r="O614" s="22" t="s">
        <v>88</v>
      </c>
      <c r="P614" s="18">
        <f t="shared" si="144"/>
        <v>0</v>
      </c>
      <c r="Q614" s="22" t="s">
        <v>88</v>
      </c>
      <c r="R614" s="23">
        <f t="shared" si="145"/>
        <v>0</v>
      </c>
      <c r="S614" s="23">
        <f t="shared" si="136"/>
        <v>0</v>
      </c>
    </row>
    <row r="615" spans="1:19" s="17" customFormat="1">
      <c r="A615" s="16"/>
      <c r="C615" s="18"/>
      <c r="D615" s="19"/>
      <c r="E615" s="20"/>
      <c r="F615" s="21"/>
      <c r="G615" s="22"/>
      <c r="H615" s="21"/>
      <c r="I615" s="22"/>
      <c r="J615" s="23"/>
      <c r="K615" s="19"/>
      <c r="L615" s="24"/>
      <c r="M615" s="24"/>
      <c r="N615" s="21"/>
      <c r="O615" s="22"/>
      <c r="P615" s="18"/>
      <c r="Q615" s="22"/>
      <c r="R615" s="23"/>
      <c r="S615" s="23"/>
    </row>
    <row r="616" spans="1:19" s="25" customFormat="1">
      <c r="A616" s="94" t="s">
        <v>475</v>
      </c>
      <c r="B616" s="25" t="s">
        <v>26</v>
      </c>
      <c r="C616" s="122">
        <v>40</v>
      </c>
      <c r="D616" s="123" t="s">
        <v>88</v>
      </c>
      <c r="E616" s="124"/>
      <c r="F616" s="125">
        <v>1</v>
      </c>
      <c r="G616" s="126" t="s">
        <v>21</v>
      </c>
      <c r="H616" s="125">
        <v>20</v>
      </c>
      <c r="I616" s="126" t="s">
        <v>88</v>
      </c>
      <c r="J616" s="127">
        <f>2160000/20</f>
        <v>108000</v>
      </c>
      <c r="K616" s="123" t="s">
        <v>88</v>
      </c>
      <c r="L616" s="128"/>
      <c r="M616" s="128">
        <v>0.17</v>
      </c>
      <c r="N616" s="125"/>
      <c r="O616" s="126" t="s">
        <v>88</v>
      </c>
      <c r="P616" s="122">
        <f t="shared" si="144"/>
        <v>40</v>
      </c>
      <c r="Q616" s="126" t="s">
        <v>88</v>
      </c>
      <c r="R616" s="127">
        <f t="shared" si="145"/>
        <v>3585600</v>
      </c>
      <c r="S616" s="32">
        <f t="shared" si="136"/>
        <v>3230270.2702702698</v>
      </c>
    </row>
    <row r="617" spans="1:19" s="25" customFormat="1">
      <c r="A617" s="94" t="s">
        <v>731</v>
      </c>
      <c r="B617" s="25" t="s">
        <v>26</v>
      </c>
      <c r="C617" s="122">
        <v>60</v>
      </c>
      <c r="D617" s="123" t="s">
        <v>88</v>
      </c>
      <c r="E617" s="124"/>
      <c r="F617" s="125">
        <v>1</v>
      </c>
      <c r="G617" s="126" t="s">
        <v>21</v>
      </c>
      <c r="H617" s="125">
        <v>20</v>
      </c>
      <c r="I617" s="126" t="s">
        <v>88</v>
      </c>
      <c r="J617" s="127">
        <f>2448000/20</f>
        <v>122400</v>
      </c>
      <c r="K617" s="123" t="s">
        <v>88</v>
      </c>
      <c r="L617" s="128"/>
      <c r="M617" s="128">
        <v>0.17</v>
      </c>
      <c r="N617" s="125"/>
      <c r="O617" s="126" t="s">
        <v>88</v>
      </c>
      <c r="P617" s="122">
        <f t="shared" si="144"/>
        <v>60</v>
      </c>
      <c r="Q617" s="126" t="s">
        <v>88</v>
      </c>
      <c r="R617" s="127">
        <f t="shared" si="145"/>
        <v>6095520</v>
      </c>
      <c r="S617" s="32">
        <f t="shared" si="136"/>
        <v>5491459.4594594594</v>
      </c>
    </row>
    <row r="618" spans="1:19" s="16" customFormat="1">
      <c r="A618" s="93" t="s">
        <v>476</v>
      </c>
      <c r="B618" s="16" t="s">
        <v>26</v>
      </c>
      <c r="C618" s="129">
        <v>5</v>
      </c>
      <c r="D618" s="130" t="s">
        <v>88</v>
      </c>
      <c r="E618" s="131"/>
      <c r="F618" s="132">
        <v>1</v>
      </c>
      <c r="G618" s="133" t="s">
        <v>21</v>
      </c>
      <c r="H618" s="132">
        <v>20</v>
      </c>
      <c r="I618" s="133" t="s">
        <v>88</v>
      </c>
      <c r="J618" s="134">
        <f>2112000/20</f>
        <v>105600</v>
      </c>
      <c r="K618" s="130" t="s">
        <v>88</v>
      </c>
      <c r="L618" s="135"/>
      <c r="M618" s="135">
        <v>0.17</v>
      </c>
      <c r="N618" s="132">
        <f>3+1+1</f>
        <v>5</v>
      </c>
      <c r="O618" s="133" t="s">
        <v>88</v>
      </c>
      <c r="P618" s="129">
        <f t="shared" si="144"/>
        <v>0</v>
      </c>
      <c r="Q618" s="133" t="s">
        <v>88</v>
      </c>
      <c r="R618" s="134">
        <f t="shared" si="145"/>
        <v>0</v>
      </c>
      <c r="S618" s="23">
        <f t="shared" si="136"/>
        <v>0</v>
      </c>
    </row>
    <row r="619" spans="1:19" s="16" customFormat="1">
      <c r="A619" s="93" t="s">
        <v>477</v>
      </c>
      <c r="B619" s="16" t="s">
        <v>26</v>
      </c>
      <c r="C619" s="129"/>
      <c r="D619" s="130" t="s">
        <v>88</v>
      </c>
      <c r="E619" s="131"/>
      <c r="F619" s="132">
        <v>1</v>
      </c>
      <c r="G619" s="133" t="s">
        <v>21</v>
      </c>
      <c r="H619" s="132">
        <v>20</v>
      </c>
      <c r="I619" s="133" t="s">
        <v>88</v>
      </c>
      <c r="J619" s="134">
        <f>10200*12</f>
        <v>122400</v>
      </c>
      <c r="K619" s="130" t="s">
        <v>88</v>
      </c>
      <c r="L619" s="135"/>
      <c r="M619" s="135">
        <v>0.17</v>
      </c>
      <c r="N619" s="132"/>
      <c r="O619" s="133" t="s">
        <v>88</v>
      </c>
      <c r="P619" s="129">
        <f t="shared" si="144"/>
        <v>0</v>
      </c>
      <c r="Q619" s="133" t="s">
        <v>88</v>
      </c>
      <c r="R619" s="134">
        <f t="shared" si="145"/>
        <v>0</v>
      </c>
      <c r="S619" s="23">
        <f t="shared" si="136"/>
        <v>0</v>
      </c>
    </row>
    <row r="620" spans="1:19" s="25" customFormat="1">
      <c r="A620" s="94" t="s">
        <v>478</v>
      </c>
      <c r="B620" s="25" t="s">
        <v>26</v>
      </c>
      <c r="C620" s="122">
        <v>20</v>
      </c>
      <c r="D620" s="123" t="s">
        <v>88</v>
      </c>
      <c r="E620" s="124"/>
      <c r="F620" s="125">
        <v>1</v>
      </c>
      <c r="G620" s="126" t="s">
        <v>21</v>
      </c>
      <c r="H620" s="125">
        <v>20</v>
      </c>
      <c r="I620" s="126" t="s">
        <v>88</v>
      </c>
      <c r="J620" s="127">
        <f>2256000/20</f>
        <v>112800</v>
      </c>
      <c r="K620" s="123" t="s">
        <v>88</v>
      </c>
      <c r="L620" s="128"/>
      <c r="M620" s="128">
        <v>0.17</v>
      </c>
      <c r="N620" s="125"/>
      <c r="O620" s="126" t="s">
        <v>88</v>
      </c>
      <c r="P620" s="122">
        <f t="shared" si="144"/>
        <v>20</v>
      </c>
      <c r="Q620" s="126" t="s">
        <v>88</v>
      </c>
      <c r="R620" s="127">
        <f t="shared" si="145"/>
        <v>1872480</v>
      </c>
      <c r="S620" s="32">
        <f t="shared" si="136"/>
        <v>1686918.9189189188</v>
      </c>
    </row>
    <row r="621" spans="1:19" s="16" customFormat="1">
      <c r="A621" s="93" t="s">
        <v>479</v>
      </c>
      <c r="B621" s="16" t="s">
        <v>26</v>
      </c>
      <c r="C621" s="129">
        <v>2</v>
      </c>
      <c r="D621" s="130" t="s">
        <v>88</v>
      </c>
      <c r="E621" s="131"/>
      <c r="F621" s="132">
        <v>1</v>
      </c>
      <c r="G621" s="133" t="s">
        <v>21</v>
      </c>
      <c r="H621" s="132">
        <v>20</v>
      </c>
      <c r="I621" s="133" t="s">
        <v>88</v>
      </c>
      <c r="J621" s="134">
        <f>8500*12</f>
        <v>102000</v>
      </c>
      <c r="K621" s="130" t="s">
        <v>88</v>
      </c>
      <c r="L621" s="135"/>
      <c r="M621" s="135">
        <v>0.17</v>
      </c>
      <c r="N621" s="315">
        <f>1.5+0.5</f>
        <v>2</v>
      </c>
      <c r="O621" s="133" t="s">
        <v>88</v>
      </c>
      <c r="P621" s="129">
        <f t="shared" si="144"/>
        <v>0</v>
      </c>
      <c r="Q621" s="133" t="s">
        <v>88</v>
      </c>
      <c r="R621" s="134">
        <f t="shared" si="145"/>
        <v>0</v>
      </c>
      <c r="S621" s="23">
        <f t="shared" si="136"/>
        <v>0</v>
      </c>
    </row>
    <row r="622" spans="1:19" s="16" customFormat="1">
      <c r="A622" s="93" t="s">
        <v>480</v>
      </c>
      <c r="B622" s="16" t="s">
        <v>26</v>
      </c>
      <c r="C622" s="129"/>
      <c r="D622" s="130" t="s">
        <v>88</v>
      </c>
      <c r="E622" s="131"/>
      <c r="F622" s="132">
        <v>1</v>
      </c>
      <c r="G622" s="133" t="s">
        <v>21</v>
      </c>
      <c r="H622" s="132">
        <v>20</v>
      </c>
      <c r="I622" s="133" t="s">
        <v>88</v>
      </c>
      <c r="J622" s="134">
        <v>103200</v>
      </c>
      <c r="K622" s="130" t="s">
        <v>88</v>
      </c>
      <c r="L622" s="135"/>
      <c r="M622" s="135">
        <v>0.17</v>
      </c>
      <c r="N622" s="132"/>
      <c r="O622" s="133" t="s">
        <v>88</v>
      </c>
      <c r="P622" s="129">
        <f t="shared" si="144"/>
        <v>0</v>
      </c>
      <c r="Q622" s="133" t="s">
        <v>88</v>
      </c>
      <c r="R622" s="134">
        <f t="shared" si="145"/>
        <v>0</v>
      </c>
      <c r="S622" s="23">
        <f t="shared" si="136"/>
        <v>0</v>
      </c>
    </row>
    <row r="623" spans="1:19" s="17" customFormat="1">
      <c r="A623" s="16" t="s">
        <v>481</v>
      </c>
      <c r="B623" s="17" t="s">
        <v>26</v>
      </c>
      <c r="C623" s="18">
        <v>1</v>
      </c>
      <c r="D623" s="19" t="s">
        <v>88</v>
      </c>
      <c r="E623" s="20"/>
      <c r="F623" s="21">
        <v>1</v>
      </c>
      <c r="G623" s="22" t="s">
        <v>21</v>
      </c>
      <c r="H623" s="21">
        <v>20</v>
      </c>
      <c r="I623" s="22" t="s">
        <v>88</v>
      </c>
      <c r="J623" s="23">
        <f>1980000/20</f>
        <v>99000</v>
      </c>
      <c r="K623" s="19" t="s">
        <v>88</v>
      </c>
      <c r="L623" s="24"/>
      <c r="M623" s="24">
        <v>0.17</v>
      </c>
      <c r="N623" s="21">
        <v>1</v>
      </c>
      <c r="O623" s="22" t="s">
        <v>88</v>
      </c>
      <c r="P623" s="18">
        <f t="shared" si="144"/>
        <v>0</v>
      </c>
      <c r="Q623" s="22" t="s">
        <v>88</v>
      </c>
      <c r="R623" s="23">
        <f t="shared" si="145"/>
        <v>0</v>
      </c>
      <c r="S623" s="23">
        <f t="shared" si="136"/>
        <v>0</v>
      </c>
    </row>
    <row r="624" spans="1:19" s="44" customFormat="1">
      <c r="A624" s="94" t="s">
        <v>482</v>
      </c>
      <c r="B624" s="44" t="s">
        <v>26</v>
      </c>
      <c r="C624" s="295">
        <v>104</v>
      </c>
      <c r="D624" s="296" t="s">
        <v>88</v>
      </c>
      <c r="E624" s="297"/>
      <c r="F624" s="298">
        <v>1</v>
      </c>
      <c r="G624" s="110" t="s">
        <v>21</v>
      </c>
      <c r="H624" s="298">
        <v>20</v>
      </c>
      <c r="I624" s="110" t="s">
        <v>88</v>
      </c>
      <c r="J624" s="299">
        <f>2208000/20</f>
        <v>110400</v>
      </c>
      <c r="K624" s="296" t="s">
        <v>88</v>
      </c>
      <c r="L624" s="300"/>
      <c r="M624" s="300">
        <v>0.17</v>
      </c>
      <c r="N624" s="298">
        <f>5+3+1</f>
        <v>9</v>
      </c>
      <c r="O624" s="110" t="s">
        <v>88</v>
      </c>
      <c r="P624" s="295">
        <f t="shared" si="144"/>
        <v>95</v>
      </c>
      <c r="Q624" s="110" t="s">
        <v>88</v>
      </c>
      <c r="R624" s="299">
        <f t="shared" si="145"/>
        <v>8705040</v>
      </c>
      <c r="S624" s="51">
        <f t="shared" si="136"/>
        <v>7842378.3783783773</v>
      </c>
    </row>
    <row r="625" spans="1:19" s="44" customFormat="1">
      <c r="A625" s="94" t="s">
        <v>483</v>
      </c>
      <c r="B625" s="44" t="s">
        <v>26</v>
      </c>
      <c r="C625" s="295">
        <v>30</v>
      </c>
      <c r="D625" s="296" t="s">
        <v>88</v>
      </c>
      <c r="E625" s="297"/>
      <c r="F625" s="298">
        <v>1</v>
      </c>
      <c r="G625" s="110" t="s">
        <v>21</v>
      </c>
      <c r="H625" s="298">
        <v>20</v>
      </c>
      <c r="I625" s="110" t="s">
        <v>88</v>
      </c>
      <c r="J625" s="299">
        <f>2208000/20</f>
        <v>110400</v>
      </c>
      <c r="K625" s="296" t="s">
        <v>88</v>
      </c>
      <c r="L625" s="300"/>
      <c r="M625" s="300">
        <v>0.17</v>
      </c>
      <c r="N625" s="298"/>
      <c r="O625" s="110" t="s">
        <v>88</v>
      </c>
      <c r="P625" s="295">
        <f t="shared" si="144"/>
        <v>30</v>
      </c>
      <c r="Q625" s="110" t="s">
        <v>88</v>
      </c>
      <c r="R625" s="299">
        <f t="shared" si="145"/>
        <v>2748960</v>
      </c>
      <c r="S625" s="51">
        <f t="shared" si="136"/>
        <v>2476540.5405405401</v>
      </c>
    </row>
    <row r="626" spans="1:19" s="25" customFormat="1">
      <c r="A626" s="94" t="s">
        <v>484</v>
      </c>
      <c r="B626" s="25" t="s">
        <v>26</v>
      </c>
      <c r="C626" s="122">
        <v>19</v>
      </c>
      <c r="D626" s="123" t="s">
        <v>88</v>
      </c>
      <c r="E626" s="124"/>
      <c r="F626" s="125">
        <v>1</v>
      </c>
      <c r="G626" s="126" t="s">
        <v>21</v>
      </c>
      <c r="H626" s="125">
        <v>20</v>
      </c>
      <c r="I626" s="126" t="s">
        <v>88</v>
      </c>
      <c r="J626" s="127">
        <f>2112000/20</f>
        <v>105600</v>
      </c>
      <c r="K626" s="123" t="s">
        <v>88</v>
      </c>
      <c r="L626" s="128"/>
      <c r="M626" s="128">
        <v>0.17</v>
      </c>
      <c r="N626" s="125"/>
      <c r="O626" s="126" t="s">
        <v>88</v>
      </c>
      <c r="P626" s="122">
        <f t="shared" si="144"/>
        <v>19</v>
      </c>
      <c r="Q626" s="126" t="s">
        <v>88</v>
      </c>
      <c r="R626" s="127">
        <f t="shared" si="145"/>
        <v>1665312</v>
      </c>
      <c r="S626" s="32">
        <f t="shared" si="136"/>
        <v>1500281.0810810809</v>
      </c>
    </row>
    <row r="627" spans="1:19" s="16" customFormat="1">
      <c r="A627" s="93" t="s">
        <v>485</v>
      </c>
      <c r="B627" s="16" t="s">
        <v>26</v>
      </c>
      <c r="C627" s="129"/>
      <c r="D627" s="130" t="s">
        <v>88</v>
      </c>
      <c r="E627" s="131"/>
      <c r="F627" s="132">
        <v>1</v>
      </c>
      <c r="G627" s="133" t="s">
        <v>21</v>
      </c>
      <c r="H627" s="132">
        <v>20</v>
      </c>
      <c r="I627" s="133" t="s">
        <v>88</v>
      </c>
      <c r="J627" s="134">
        <f>2160000/20</f>
        <v>108000</v>
      </c>
      <c r="K627" s="130" t="s">
        <v>88</v>
      </c>
      <c r="L627" s="135"/>
      <c r="M627" s="135">
        <v>0.17</v>
      </c>
      <c r="N627" s="132"/>
      <c r="O627" s="133" t="s">
        <v>88</v>
      </c>
      <c r="P627" s="129">
        <f t="shared" si="144"/>
        <v>0</v>
      </c>
      <c r="Q627" s="133" t="s">
        <v>88</v>
      </c>
      <c r="R627" s="134">
        <f t="shared" si="145"/>
        <v>0</v>
      </c>
      <c r="S627" s="23">
        <f t="shared" si="136"/>
        <v>0</v>
      </c>
    </row>
    <row r="628" spans="1:19" s="16" customFormat="1">
      <c r="A628" s="93" t="s">
        <v>486</v>
      </c>
      <c r="B628" s="16" t="s">
        <v>26</v>
      </c>
      <c r="C628" s="129"/>
      <c r="D628" s="130" t="s">
        <v>88</v>
      </c>
      <c r="E628" s="131"/>
      <c r="F628" s="132">
        <v>1</v>
      </c>
      <c r="G628" s="133" t="s">
        <v>21</v>
      </c>
      <c r="H628" s="132">
        <v>20</v>
      </c>
      <c r="I628" s="133" t="s">
        <v>88</v>
      </c>
      <c r="J628" s="134">
        <f>2160000/20</f>
        <v>108000</v>
      </c>
      <c r="K628" s="130" t="s">
        <v>88</v>
      </c>
      <c r="L628" s="135"/>
      <c r="M628" s="135">
        <v>0.17</v>
      </c>
      <c r="N628" s="132"/>
      <c r="O628" s="133" t="s">
        <v>88</v>
      </c>
      <c r="P628" s="129">
        <f t="shared" si="144"/>
        <v>0</v>
      </c>
      <c r="Q628" s="133" t="s">
        <v>88</v>
      </c>
      <c r="R628" s="134">
        <f t="shared" si="145"/>
        <v>0</v>
      </c>
      <c r="S628" s="23">
        <f t="shared" si="136"/>
        <v>0</v>
      </c>
    </row>
    <row r="629" spans="1:19" s="16" customFormat="1">
      <c r="A629" s="93" t="s">
        <v>793</v>
      </c>
      <c r="B629" s="16" t="s">
        <v>26</v>
      </c>
      <c r="C629" s="129">
        <v>5</v>
      </c>
      <c r="D629" s="130" t="s">
        <v>88</v>
      </c>
      <c r="E629" s="131"/>
      <c r="F629" s="132">
        <v>1</v>
      </c>
      <c r="G629" s="133" t="s">
        <v>21</v>
      </c>
      <c r="H629" s="132">
        <v>20</v>
      </c>
      <c r="I629" s="133" t="s">
        <v>88</v>
      </c>
      <c r="J629" s="134">
        <f>2256000/20</f>
        <v>112800</v>
      </c>
      <c r="K629" s="130" t="s">
        <v>88</v>
      </c>
      <c r="L629" s="135"/>
      <c r="M629" s="135">
        <v>0.17</v>
      </c>
      <c r="N629" s="132">
        <v>5</v>
      </c>
      <c r="O629" s="133" t="s">
        <v>88</v>
      </c>
      <c r="P629" s="129">
        <f t="shared" si="144"/>
        <v>0</v>
      </c>
      <c r="Q629" s="133" t="s">
        <v>88</v>
      </c>
      <c r="R629" s="134">
        <f t="shared" si="145"/>
        <v>0</v>
      </c>
      <c r="S629" s="23">
        <f t="shared" si="136"/>
        <v>0</v>
      </c>
    </row>
    <row r="630" spans="1:19" s="25" customFormat="1">
      <c r="A630" s="94" t="s">
        <v>487</v>
      </c>
      <c r="B630" s="25" t="s">
        <v>26</v>
      </c>
      <c r="C630" s="122">
        <v>1</v>
      </c>
      <c r="D630" s="123" t="s">
        <v>88</v>
      </c>
      <c r="E630" s="124">
        <v>1</v>
      </c>
      <c r="F630" s="125">
        <v>1</v>
      </c>
      <c r="G630" s="126" t="s">
        <v>21</v>
      </c>
      <c r="H630" s="125">
        <v>20</v>
      </c>
      <c r="I630" s="126" t="s">
        <v>88</v>
      </c>
      <c r="J630" s="127">
        <f>2112000/20</f>
        <v>105600</v>
      </c>
      <c r="K630" s="123" t="s">
        <v>88</v>
      </c>
      <c r="L630" s="128"/>
      <c r="M630" s="128">
        <v>0.17</v>
      </c>
      <c r="N630" s="125">
        <f>10+5+4</f>
        <v>19</v>
      </c>
      <c r="O630" s="126" t="s">
        <v>88</v>
      </c>
      <c r="P630" s="122">
        <f t="shared" si="144"/>
        <v>2</v>
      </c>
      <c r="Q630" s="126" t="s">
        <v>88</v>
      </c>
      <c r="R630" s="127">
        <f t="shared" si="145"/>
        <v>175296</v>
      </c>
      <c r="S630" s="32">
        <f t="shared" si="136"/>
        <v>157924.32432432432</v>
      </c>
    </row>
    <row r="631" spans="1:19" s="16" customFormat="1">
      <c r="A631" s="93" t="s">
        <v>488</v>
      </c>
      <c r="B631" s="16" t="s">
        <v>26</v>
      </c>
      <c r="C631" s="129"/>
      <c r="D631" s="130" t="s">
        <v>88</v>
      </c>
      <c r="E631" s="131"/>
      <c r="F631" s="132">
        <v>1</v>
      </c>
      <c r="G631" s="133" t="s">
        <v>21</v>
      </c>
      <c r="H631" s="132">
        <v>20</v>
      </c>
      <c r="I631" s="133" t="s">
        <v>88</v>
      </c>
      <c r="J631" s="134">
        <f>2352000/20</f>
        <v>117600</v>
      </c>
      <c r="K631" s="130" t="s">
        <v>88</v>
      </c>
      <c r="L631" s="135"/>
      <c r="M631" s="135">
        <v>0.17</v>
      </c>
      <c r="N631" s="132"/>
      <c r="O631" s="133" t="s">
        <v>88</v>
      </c>
      <c r="P631" s="129">
        <f t="shared" si="144"/>
        <v>0</v>
      </c>
      <c r="Q631" s="133" t="s">
        <v>88</v>
      </c>
      <c r="R631" s="134">
        <f t="shared" si="145"/>
        <v>0</v>
      </c>
      <c r="S631" s="23">
        <f t="shared" si="136"/>
        <v>0</v>
      </c>
    </row>
    <row r="632" spans="1:19" s="16" customFormat="1">
      <c r="A632" s="93"/>
      <c r="C632" s="129"/>
      <c r="D632" s="130"/>
      <c r="E632" s="131"/>
      <c r="F632" s="132"/>
      <c r="G632" s="133"/>
      <c r="H632" s="132"/>
      <c r="I632" s="133"/>
      <c r="J632" s="134"/>
      <c r="K632" s="130"/>
      <c r="L632" s="135"/>
      <c r="M632" s="135"/>
      <c r="N632" s="132"/>
      <c r="O632" s="133"/>
      <c r="P632" s="129"/>
      <c r="Q632" s="133"/>
      <c r="R632" s="134"/>
      <c r="S632" s="23"/>
    </row>
    <row r="633" spans="1:19" s="25" customFormat="1">
      <c r="A633" s="94" t="s">
        <v>489</v>
      </c>
      <c r="B633" s="25" t="s">
        <v>192</v>
      </c>
      <c r="C633" s="122">
        <v>195</v>
      </c>
      <c r="D633" s="123" t="s">
        <v>88</v>
      </c>
      <c r="E633" s="124"/>
      <c r="F633" s="125">
        <v>1</v>
      </c>
      <c r="G633" s="126" t="s">
        <v>21</v>
      </c>
      <c r="H633" s="125">
        <v>30</v>
      </c>
      <c r="I633" s="126" t="s">
        <v>88</v>
      </c>
      <c r="J633" s="127">
        <v>155000</v>
      </c>
      <c r="K633" s="123" t="s">
        <v>88</v>
      </c>
      <c r="L633" s="128"/>
      <c r="M633" s="128"/>
      <c r="N633" s="125">
        <f>1+1+1+1</f>
        <v>4</v>
      </c>
      <c r="O633" s="126" t="s">
        <v>88</v>
      </c>
      <c r="P633" s="122">
        <f t="shared" si="144"/>
        <v>191</v>
      </c>
      <c r="Q633" s="126" t="s">
        <v>88</v>
      </c>
      <c r="R633" s="127">
        <f t="shared" si="145"/>
        <v>29605000</v>
      </c>
      <c r="S633" s="32">
        <f t="shared" si="136"/>
        <v>26671171.17117117</v>
      </c>
    </row>
    <row r="634" spans="1:19" s="25" customFormat="1">
      <c r="A634" s="94"/>
      <c r="C634" s="122"/>
      <c r="D634" s="123"/>
      <c r="E634" s="124"/>
      <c r="F634" s="125"/>
      <c r="G634" s="126"/>
      <c r="H634" s="125"/>
      <c r="I634" s="126"/>
      <c r="J634" s="127"/>
      <c r="K634" s="123"/>
      <c r="L634" s="128"/>
      <c r="M634" s="128"/>
      <c r="N634" s="125"/>
      <c r="O634" s="126"/>
      <c r="P634" s="122"/>
      <c r="Q634" s="126"/>
      <c r="R634" s="127"/>
      <c r="S634" s="32"/>
    </row>
    <row r="635" spans="1:19">
      <c r="A635" s="15" t="s">
        <v>490</v>
      </c>
      <c r="S635" s="23"/>
    </row>
    <row r="636" spans="1:19">
      <c r="A636" s="34" t="s">
        <v>491</v>
      </c>
      <c r="B636" s="2" t="s">
        <v>192</v>
      </c>
      <c r="C636" s="3">
        <v>117</v>
      </c>
      <c r="D636" s="4" t="s">
        <v>34</v>
      </c>
      <c r="F636" s="6">
        <v>1</v>
      </c>
      <c r="G636" s="7" t="s">
        <v>21</v>
      </c>
      <c r="H636" s="6">
        <v>40</v>
      </c>
      <c r="I636" s="7" t="s">
        <v>34</v>
      </c>
      <c r="J636" s="8">
        <v>33600</v>
      </c>
      <c r="K636" s="4" t="s">
        <v>34</v>
      </c>
      <c r="N636" s="6">
        <f>10+1</f>
        <v>11</v>
      </c>
      <c r="O636" s="7" t="s">
        <v>34</v>
      </c>
      <c r="P636" s="3">
        <f>(C636+(E636*F636*H636))-N636</f>
        <v>106</v>
      </c>
      <c r="Q636" s="7" t="s">
        <v>34</v>
      </c>
      <c r="R636" s="8">
        <f>P636*(J636-(J636*L636)-((J636-(J636*L636))*M636))</f>
        <v>3561600</v>
      </c>
      <c r="S636" s="32">
        <f t="shared" si="136"/>
        <v>3208648.6486486485</v>
      </c>
    </row>
    <row r="637" spans="1:19">
      <c r="A637" s="34" t="s">
        <v>492</v>
      </c>
      <c r="B637" s="2" t="s">
        <v>192</v>
      </c>
      <c r="C637" s="3">
        <v>205</v>
      </c>
      <c r="D637" s="4" t="s">
        <v>34</v>
      </c>
      <c r="F637" s="6">
        <v>1</v>
      </c>
      <c r="G637" s="7" t="s">
        <v>21</v>
      </c>
      <c r="H637" s="6">
        <v>40</v>
      </c>
      <c r="I637" s="7" t="s">
        <v>34</v>
      </c>
      <c r="J637" s="8">
        <v>33600</v>
      </c>
      <c r="K637" s="4" t="s">
        <v>34</v>
      </c>
      <c r="N637" s="6">
        <v>5</v>
      </c>
      <c r="O637" s="7" t="s">
        <v>34</v>
      </c>
      <c r="P637" s="3">
        <f>(C637+(E637*F637*H637))-N637</f>
        <v>200</v>
      </c>
      <c r="Q637" s="7" t="s">
        <v>34</v>
      </c>
      <c r="R637" s="8">
        <f>P637*(J637-(J637*L637)-((J637-(J637*L637))*M637))</f>
        <v>6720000</v>
      </c>
      <c r="S637" s="32">
        <f t="shared" si="136"/>
        <v>6054054.0540540535</v>
      </c>
    </row>
    <row r="638" spans="1:19">
      <c r="A638" s="34" t="s">
        <v>493</v>
      </c>
      <c r="B638" s="2" t="s">
        <v>192</v>
      </c>
      <c r="C638" s="3">
        <v>403</v>
      </c>
      <c r="D638" s="4" t="s">
        <v>34</v>
      </c>
      <c r="F638" s="6">
        <v>1</v>
      </c>
      <c r="G638" s="7" t="s">
        <v>21</v>
      </c>
      <c r="H638" s="6">
        <v>40</v>
      </c>
      <c r="I638" s="7" t="s">
        <v>34</v>
      </c>
      <c r="J638" s="8">
        <v>33600</v>
      </c>
      <c r="K638" s="4" t="s">
        <v>34</v>
      </c>
      <c r="N638" s="6">
        <v>1</v>
      </c>
      <c r="O638" s="7" t="s">
        <v>34</v>
      </c>
      <c r="P638" s="3">
        <f>(C638+(E638*F638*H638))-N638</f>
        <v>402</v>
      </c>
      <c r="Q638" s="7" t="s">
        <v>34</v>
      </c>
      <c r="R638" s="8">
        <f>P638*(J638-(J638*L638)-((J638-(J638*L638))*M638))</f>
        <v>13507200</v>
      </c>
      <c r="S638" s="32">
        <f t="shared" si="136"/>
        <v>12168648.648648648</v>
      </c>
    </row>
    <row r="639" spans="1:19" s="17" customFormat="1">
      <c r="A639" s="16" t="s">
        <v>494</v>
      </c>
      <c r="B639" s="17" t="s">
        <v>192</v>
      </c>
      <c r="C639" s="18">
        <v>1</v>
      </c>
      <c r="D639" s="19" t="s">
        <v>34</v>
      </c>
      <c r="E639" s="20"/>
      <c r="F639" s="21">
        <v>1</v>
      </c>
      <c r="G639" s="22" t="s">
        <v>21</v>
      </c>
      <c r="H639" s="21">
        <v>40</v>
      </c>
      <c r="I639" s="22" t="s">
        <v>34</v>
      </c>
      <c r="J639" s="23">
        <v>33600</v>
      </c>
      <c r="K639" s="19" t="s">
        <v>34</v>
      </c>
      <c r="L639" s="24"/>
      <c r="M639" s="24"/>
      <c r="N639" s="21">
        <v>1</v>
      </c>
      <c r="O639" s="22" t="s">
        <v>34</v>
      </c>
      <c r="P639" s="18">
        <f>(C639+(E639*F639*H639))-N639</f>
        <v>0</v>
      </c>
      <c r="Q639" s="22" t="s">
        <v>34</v>
      </c>
      <c r="R639" s="23">
        <f>P639*(J639-(J639*L639)-((J639-(J639*L639))*M639))</f>
        <v>0</v>
      </c>
      <c r="S639" s="23">
        <f t="shared" si="136"/>
        <v>0</v>
      </c>
    </row>
    <row r="640" spans="1:19">
      <c r="A640" s="34" t="s">
        <v>495</v>
      </c>
      <c r="B640" s="2" t="s">
        <v>192</v>
      </c>
      <c r="C640" s="3">
        <v>4</v>
      </c>
      <c r="D640" s="4" t="s">
        <v>34</v>
      </c>
      <c r="F640" s="6">
        <v>1</v>
      </c>
      <c r="G640" s="7" t="s">
        <v>21</v>
      </c>
      <c r="H640" s="6">
        <v>24</v>
      </c>
      <c r="I640" s="7" t="s">
        <v>34</v>
      </c>
      <c r="J640" s="8">
        <v>38400</v>
      </c>
      <c r="K640" s="4" t="s">
        <v>34</v>
      </c>
      <c r="N640" s="6">
        <v>1</v>
      </c>
      <c r="O640" s="7" t="s">
        <v>34</v>
      </c>
      <c r="P640" s="3">
        <f>(C640+(E640*F640*H640))-N640</f>
        <v>3</v>
      </c>
      <c r="Q640" s="7" t="s">
        <v>34</v>
      </c>
      <c r="R640" s="8">
        <f>P640*(J640-(J640*L640)-((J640-(J640*L640))*M640))</f>
        <v>115200</v>
      </c>
      <c r="S640" s="32">
        <f t="shared" si="136"/>
        <v>103783.78378378377</v>
      </c>
    </row>
    <row r="641" spans="1:19">
      <c r="S641" s="32"/>
    </row>
    <row r="642" spans="1:19">
      <c r="A642" s="15" t="s">
        <v>496</v>
      </c>
      <c r="S642" s="23"/>
    </row>
    <row r="643" spans="1:19" s="17" customFormat="1">
      <c r="A643" s="137" t="s">
        <v>497</v>
      </c>
      <c r="B643" s="17" t="s">
        <v>19</v>
      </c>
      <c r="C643" s="18">
        <v>1</v>
      </c>
      <c r="D643" s="19" t="s">
        <v>43</v>
      </c>
      <c r="E643" s="20"/>
      <c r="F643" s="21">
        <v>12</v>
      </c>
      <c r="G643" s="22" t="s">
        <v>88</v>
      </c>
      <c r="H643" s="21">
        <v>12</v>
      </c>
      <c r="I643" s="22" t="s">
        <v>43</v>
      </c>
      <c r="J643" s="23">
        <f>240000/12</f>
        <v>20000</v>
      </c>
      <c r="K643" s="19" t="s">
        <v>43</v>
      </c>
      <c r="L643" s="24">
        <v>0.125</v>
      </c>
      <c r="M643" s="24">
        <v>0.05</v>
      </c>
      <c r="N643" s="21">
        <v>1</v>
      </c>
      <c r="O643" s="22" t="s">
        <v>43</v>
      </c>
      <c r="P643" s="18">
        <f t="shared" ref="P643:P644" si="149">(C643+(E643*F643*H643))-N643</f>
        <v>0</v>
      </c>
      <c r="Q643" s="22" t="s">
        <v>43</v>
      </c>
      <c r="R643" s="23">
        <f t="shared" ref="R643:R644" si="150">P643*(J643-(J643*L643)-((J643-(J643*L643))*M643))</f>
        <v>0</v>
      </c>
      <c r="S643" s="23">
        <f t="shared" ref="S643:S644" si="151">R643/1.11</f>
        <v>0</v>
      </c>
    </row>
    <row r="644" spans="1:19" s="17" customFormat="1">
      <c r="A644" s="137" t="s">
        <v>498</v>
      </c>
      <c r="B644" s="17" t="s">
        <v>26</v>
      </c>
      <c r="C644" s="18"/>
      <c r="D644" s="19" t="s">
        <v>43</v>
      </c>
      <c r="E644" s="20"/>
      <c r="F644" s="21">
        <v>12</v>
      </c>
      <c r="G644" s="22" t="s">
        <v>34</v>
      </c>
      <c r="H644" s="21">
        <v>6</v>
      </c>
      <c r="I644" s="22" t="s">
        <v>43</v>
      </c>
      <c r="J644" s="23">
        <v>21000</v>
      </c>
      <c r="K644" s="19" t="s">
        <v>43</v>
      </c>
      <c r="L644" s="24"/>
      <c r="M644" s="24">
        <v>0.17</v>
      </c>
      <c r="N644" s="21"/>
      <c r="O644" s="22" t="s">
        <v>43</v>
      </c>
      <c r="P644" s="18">
        <f t="shared" si="149"/>
        <v>0</v>
      </c>
      <c r="Q644" s="22" t="s">
        <v>43</v>
      </c>
      <c r="R644" s="23">
        <f t="shared" si="150"/>
        <v>0</v>
      </c>
      <c r="S644" s="23">
        <f t="shared" si="151"/>
        <v>0</v>
      </c>
    </row>
    <row r="645" spans="1:19" s="17" customFormat="1">
      <c r="A645" s="137"/>
      <c r="C645" s="18"/>
      <c r="D645" s="19"/>
      <c r="E645" s="20"/>
      <c r="F645" s="21"/>
      <c r="G645" s="22"/>
      <c r="H645" s="21"/>
      <c r="I645" s="22"/>
      <c r="J645" s="23"/>
      <c r="K645" s="19"/>
      <c r="L645" s="24"/>
      <c r="M645" s="24"/>
      <c r="N645" s="21"/>
      <c r="O645" s="22"/>
      <c r="P645" s="18"/>
      <c r="Q645" s="22"/>
      <c r="R645" s="23"/>
      <c r="S645" s="23"/>
    </row>
    <row r="646" spans="1:19">
      <c r="A646" s="15" t="s">
        <v>499</v>
      </c>
      <c r="S646" s="23"/>
    </row>
    <row r="647" spans="1:19" s="17" customFormat="1">
      <c r="A647" s="137" t="s">
        <v>500</v>
      </c>
      <c r="B647" s="17" t="s">
        <v>19</v>
      </c>
      <c r="C647" s="18"/>
      <c r="D647" s="19" t="s">
        <v>43</v>
      </c>
      <c r="E647" s="20">
        <v>1</v>
      </c>
      <c r="F647" s="21">
        <v>1</v>
      </c>
      <c r="G647" s="22" t="s">
        <v>21</v>
      </c>
      <c r="H647" s="21">
        <v>144</v>
      </c>
      <c r="I647" s="22" t="s">
        <v>43</v>
      </c>
      <c r="J647" s="23">
        <v>49200</v>
      </c>
      <c r="K647" s="19" t="s">
        <v>43</v>
      </c>
      <c r="L647" s="24">
        <v>0.125</v>
      </c>
      <c r="M647" s="24">
        <v>0.05</v>
      </c>
      <c r="N647" s="21">
        <v>144</v>
      </c>
      <c r="O647" s="22" t="s">
        <v>43</v>
      </c>
      <c r="P647" s="18">
        <f t="shared" ref="P647:P663" si="152">(C647+(E647*F647*H647))-N647</f>
        <v>0</v>
      </c>
      <c r="Q647" s="22" t="s">
        <v>43</v>
      </c>
      <c r="R647" s="23">
        <f t="shared" ref="R647:R663" si="153">P647*(J647-(J647*L647)-((J647-(J647*L647))*M647))</f>
        <v>0</v>
      </c>
      <c r="S647" s="23">
        <f t="shared" si="136"/>
        <v>0</v>
      </c>
    </row>
    <row r="648" spans="1:19" s="17" customFormat="1">
      <c r="A648" s="314" t="s">
        <v>501</v>
      </c>
      <c r="B648" s="96" t="s">
        <v>19</v>
      </c>
      <c r="C648" s="97">
        <v>5</v>
      </c>
      <c r="D648" s="98" t="s">
        <v>43</v>
      </c>
      <c r="E648" s="105"/>
      <c r="F648" s="100">
        <v>1</v>
      </c>
      <c r="G648" s="101" t="s">
        <v>21</v>
      </c>
      <c r="H648" s="100">
        <v>120</v>
      </c>
      <c r="I648" s="101" t="s">
        <v>43</v>
      </c>
      <c r="J648" s="102">
        <v>29400</v>
      </c>
      <c r="K648" s="98" t="s">
        <v>43</v>
      </c>
      <c r="L648" s="103">
        <v>0.125</v>
      </c>
      <c r="M648" s="103">
        <v>0.05</v>
      </c>
      <c r="N648" s="100">
        <f>240-235</f>
        <v>5</v>
      </c>
      <c r="O648" s="101" t="s">
        <v>43</v>
      </c>
      <c r="P648" s="97">
        <f t="shared" si="152"/>
        <v>0</v>
      </c>
      <c r="Q648" s="101" t="s">
        <v>43</v>
      </c>
      <c r="R648" s="102">
        <f t="shared" si="153"/>
        <v>0</v>
      </c>
      <c r="S648" s="102">
        <f t="shared" si="136"/>
        <v>0</v>
      </c>
    </row>
    <row r="649" spans="1:19" s="26" customFormat="1">
      <c r="A649" s="301" t="s">
        <v>501</v>
      </c>
      <c r="B649" s="36" t="s">
        <v>19</v>
      </c>
      <c r="C649" s="37"/>
      <c r="D649" s="38" t="s">
        <v>43</v>
      </c>
      <c r="E649" s="39">
        <v>3</v>
      </c>
      <c r="F649" s="40">
        <v>1</v>
      </c>
      <c r="G649" s="41" t="s">
        <v>21</v>
      </c>
      <c r="H649" s="40">
        <v>120</v>
      </c>
      <c r="I649" s="41" t="s">
        <v>43</v>
      </c>
      <c r="J649" s="42">
        <v>30600</v>
      </c>
      <c r="K649" s="38" t="s">
        <v>43</v>
      </c>
      <c r="L649" s="43">
        <v>0.125</v>
      </c>
      <c r="M649" s="43">
        <v>0.05</v>
      </c>
      <c r="N649" s="40">
        <f>(240-5)+120</f>
        <v>355</v>
      </c>
      <c r="O649" s="41" t="s">
        <v>43</v>
      </c>
      <c r="P649" s="37">
        <f t="shared" ref="P649" si="154">(C649+(E649*F649*H649))-N649</f>
        <v>5</v>
      </c>
      <c r="Q649" s="41" t="s">
        <v>43</v>
      </c>
      <c r="R649" s="42">
        <f t="shared" ref="R649" si="155">P649*(J649-(J649*L649)-((J649-(J649*L649))*M649))</f>
        <v>127181.25</v>
      </c>
      <c r="S649" s="42">
        <f t="shared" ref="S649" si="156">R649/1.11</f>
        <v>114577.70270270269</v>
      </c>
    </row>
    <row r="650" spans="1:19" s="26" customFormat="1">
      <c r="A650" s="138" t="s">
        <v>502</v>
      </c>
      <c r="B650" s="26" t="s">
        <v>19</v>
      </c>
      <c r="C650" s="27"/>
      <c r="D650" s="28" t="s">
        <v>43</v>
      </c>
      <c r="E650" s="29">
        <v>1</v>
      </c>
      <c r="F650" s="30">
        <v>1</v>
      </c>
      <c r="G650" s="31" t="s">
        <v>21</v>
      </c>
      <c r="H650" s="30">
        <v>144</v>
      </c>
      <c r="I650" s="31" t="s">
        <v>43</v>
      </c>
      <c r="J650" s="32">
        <v>23400</v>
      </c>
      <c r="K650" s="28" t="s">
        <v>43</v>
      </c>
      <c r="L650" s="33">
        <v>0.125</v>
      </c>
      <c r="M650" s="33">
        <v>0.05</v>
      </c>
      <c r="N650" s="30">
        <v>36</v>
      </c>
      <c r="O650" s="31" t="s">
        <v>43</v>
      </c>
      <c r="P650" s="27">
        <f t="shared" si="152"/>
        <v>108</v>
      </c>
      <c r="Q650" s="31" t="s">
        <v>43</v>
      </c>
      <c r="R650" s="32">
        <f t="shared" si="153"/>
        <v>2100735</v>
      </c>
      <c r="S650" s="32">
        <f t="shared" si="136"/>
        <v>1892554.054054054</v>
      </c>
    </row>
    <row r="651" spans="1:19" s="17" customFormat="1">
      <c r="A651" s="137" t="s">
        <v>503</v>
      </c>
      <c r="B651" s="17" t="s">
        <v>19</v>
      </c>
      <c r="C651" s="18"/>
      <c r="D651" s="19" t="s">
        <v>43</v>
      </c>
      <c r="E651" s="20">
        <v>1</v>
      </c>
      <c r="F651" s="21">
        <v>1</v>
      </c>
      <c r="G651" s="22" t="s">
        <v>21</v>
      </c>
      <c r="H651" s="21">
        <v>144</v>
      </c>
      <c r="I651" s="22" t="s">
        <v>43</v>
      </c>
      <c r="J651" s="23">
        <v>40800</v>
      </c>
      <c r="K651" s="19" t="s">
        <v>43</v>
      </c>
      <c r="L651" s="24">
        <v>0.125</v>
      </c>
      <c r="M651" s="24">
        <v>0.05</v>
      </c>
      <c r="N651" s="21">
        <v>144</v>
      </c>
      <c r="O651" s="22" t="s">
        <v>43</v>
      </c>
      <c r="P651" s="18">
        <f t="shared" si="152"/>
        <v>0</v>
      </c>
      <c r="Q651" s="22" t="s">
        <v>43</v>
      </c>
      <c r="R651" s="23">
        <f t="shared" si="153"/>
        <v>0</v>
      </c>
      <c r="S651" s="23">
        <f t="shared" si="136"/>
        <v>0</v>
      </c>
    </row>
    <row r="652" spans="1:19" s="26" customFormat="1">
      <c r="A652" s="138" t="s">
        <v>841</v>
      </c>
      <c r="B652" s="26" t="s">
        <v>19</v>
      </c>
      <c r="C652" s="27"/>
      <c r="D652" s="28" t="s">
        <v>43</v>
      </c>
      <c r="E652" s="29">
        <v>1</v>
      </c>
      <c r="F652" s="30">
        <v>1</v>
      </c>
      <c r="G652" s="31" t="s">
        <v>21</v>
      </c>
      <c r="H652" s="30">
        <v>144</v>
      </c>
      <c r="I652" s="31" t="s">
        <v>43</v>
      </c>
      <c r="J652" s="32">
        <v>40800</v>
      </c>
      <c r="K652" s="28" t="s">
        <v>43</v>
      </c>
      <c r="L652" s="33">
        <v>0.125</v>
      </c>
      <c r="M652" s="33">
        <v>0.05</v>
      </c>
      <c r="N652" s="30"/>
      <c r="O652" s="31" t="s">
        <v>43</v>
      </c>
      <c r="P652" s="27">
        <f t="shared" ref="P652" si="157">(C652+(E652*F652*H652))-N652</f>
        <v>144</v>
      </c>
      <c r="Q652" s="31" t="s">
        <v>43</v>
      </c>
      <c r="R652" s="32">
        <f t="shared" ref="R652" si="158">P652*(J652-(J652*L652)-((J652-(J652*L652))*M652))</f>
        <v>4883760</v>
      </c>
      <c r="S652" s="32">
        <f t="shared" ref="S652" si="159">R652/1.11</f>
        <v>4399783.7837837832</v>
      </c>
    </row>
    <row r="653" spans="1:19" s="17" customFormat="1">
      <c r="A653" s="137" t="s">
        <v>504</v>
      </c>
      <c r="B653" s="17" t="s">
        <v>19</v>
      </c>
      <c r="C653" s="18">
        <v>8</v>
      </c>
      <c r="D653" s="19" t="s">
        <v>43</v>
      </c>
      <c r="E653" s="20"/>
      <c r="F653" s="21">
        <v>1</v>
      </c>
      <c r="G653" s="22" t="s">
        <v>21</v>
      </c>
      <c r="H653" s="21">
        <v>144</v>
      </c>
      <c r="I653" s="22" t="s">
        <v>43</v>
      </c>
      <c r="J653" s="23">
        <v>36000</v>
      </c>
      <c r="K653" s="19" t="s">
        <v>43</v>
      </c>
      <c r="L653" s="24">
        <v>0.125</v>
      </c>
      <c r="M653" s="24">
        <v>0.05</v>
      </c>
      <c r="N653" s="21">
        <v>8</v>
      </c>
      <c r="O653" s="22" t="s">
        <v>43</v>
      </c>
      <c r="P653" s="18">
        <f t="shared" si="152"/>
        <v>0</v>
      </c>
      <c r="Q653" s="22" t="s">
        <v>43</v>
      </c>
      <c r="R653" s="23">
        <f t="shared" si="153"/>
        <v>0</v>
      </c>
      <c r="S653" s="23">
        <f t="shared" si="136"/>
        <v>0</v>
      </c>
    </row>
    <row r="654" spans="1:19" s="17" customFormat="1">
      <c r="A654" s="137"/>
      <c r="C654" s="18"/>
      <c r="D654" s="19"/>
      <c r="E654" s="20"/>
      <c r="F654" s="21"/>
      <c r="G654" s="22"/>
      <c r="H654" s="21"/>
      <c r="I654" s="22"/>
      <c r="J654" s="23"/>
      <c r="K654" s="19"/>
      <c r="L654" s="24"/>
      <c r="M654" s="24"/>
      <c r="N654" s="21"/>
      <c r="O654" s="22"/>
      <c r="P654" s="18"/>
      <c r="Q654" s="22"/>
      <c r="R654" s="23"/>
      <c r="S654" s="23"/>
    </row>
    <row r="655" spans="1:19" s="26" customFormat="1">
      <c r="A655" s="25" t="s">
        <v>505</v>
      </c>
      <c r="B655" s="26" t="s">
        <v>26</v>
      </c>
      <c r="C655" s="27">
        <v>169</v>
      </c>
      <c r="D655" s="28" t="s">
        <v>43</v>
      </c>
      <c r="E655" s="29"/>
      <c r="F655" s="30">
        <v>1</v>
      </c>
      <c r="G655" s="31" t="s">
        <v>21</v>
      </c>
      <c r="H655" s="30">
        <v>144</v>
      </c>
      <c r="I655" s="31" t="s">
        <v>43</v>
      </c>
      <c r="J655" s="32">
        <f>6739200/144</f>
        <v>46800</v>
      </c>
      <c r="K655" s="28" t="s">
        <v>43</v>
      </c>
      <c r="L655" s="33"/>
      <c r="M655" s="33">
        <v>0.17</v>
      </c>
      <c r="N655" s="30">
        <f>12+24</f>
        <v>36</v>
      </c>
      <c r="O655" s="31" t="s">
        <v>43</v>
      </c>
      <c r="P655" s="27">
        <f t="shared" si="152"/>
        <v>133</v>
      </c>
      <c r="Q655" s="31" t="s">
        <v>43</v>
      </c>
      <c r="R655" s="32">
        <f t="shared" si="153"/>
        <v>5166252</v>
      </c>
      <c r="S655" s="32">
        <f t="shared" si="136"/>
        <v>4654281.0810810803</v>
      </c>
    </row>
    <row r="656" spans="1:19" s="26" customFormat="1">
      <c r="A656" s="25" t="s">
        <v>506</v>
      </c>
      <c r="B656" s="26" t="s">
        <v>26</v>
      </c>
      <c r="C656" s="27">
        <v>60</v>
      </c>
      <c r="D656" s="28" t="s">
        <v>43</v>
      </c>
      <c r="E656" s="29"/>
      <c r="F656" s="30">
        <v>1</v>
      </c>
      <c r="G656" s="31" t="s">
        <v>21</v>
      </c>
      <c r="H656" s="30">
        <v>144</v>
      </c>
      <c r="I656" s="31" t="s">
        <v>43</v>
      </c>
      <c r="J656" s="32">
        <f>4492800/144</f>
        <v>31200</v>
      </c>
      <c r="K656" s="28" t="s">
        <v>43</v>
      </c>
      <c r="L656" s="33"/>
      <c r="M656" s="33">
        <v>0.17</v>
      </c>
      <c r="N656" s="30">
        <v>25</v>
      </c>
      <c r="O656" s="31" t="s">
        <v>43</v>
      </c>
      <c r="P656" s="27">
        <f t="shared" si="152"/>
        <v>35</v>
      </c>
      <c r="Q656" s="31" t="s">
        <v>43</v>
      </c>
      <c r="R656" s="32">
        <f t="shared" si="153"/>
        <v>906360</v>
      </c>
      <c r="S656" s="32">
        <f t="shared" si="136"/>
        <v>816540.54054054047</v>
      </c>
    </row>
    <row r="657" spans="1:19" s="17" customFormat="1">
      <c r="A657" s="16" t="s">
        <v>507</v>
      </c>
      <c r="B657" s="17" t="s">
        <v>26</v>
      </c>
      <c r="C657" s="18"/>
      <c r="D657" s="19" t="s">
        <v>43</v>
      </c>
      <c r="E657" s="20"/>
      <c r="F657" s="21">
        <v>1</v>
      </c>
      <c r="G657" s="22" t="s">
        <v>21</v>
      </c>
      <c r="H657" s="21">
        <v>144</v>
      </c>
      <c r="I657" s="22" t="s">
        <v>43</v>
      </c>
      <c r="J657" s="23">
        <v>29400</v>
      </c>
      <c r="K657" s="19" t="s">
        <v>43</v>
      </c>
      <c r="L657" s="24"/>
      <c r="M657" s="24">
        <v>0.17</v>
      </c>
      <c r="N657" s="21"/>
      <c r="O657" s="22" t="s">
        <v>43</v>
      </c>
      <c r="P657" s="18">
        <f t="shared" si="152"/>
        <v>0</v>
      </c>
      <c r="Q657" s="22" t="s">
        <v>43</v>
      </c>
      <c r="R657" s="23">
        <f t="shared" si="153"/>
        <v>0</v>
      </c>
      <c r="S657" s="23">
        <f t="shared" si="136"/>
        <v>0</v>
      </c>
    </row>
    <row r="658" spans="1:19" s="17" customFormat="1">
      <c r="A658" s="16" t="s">
        <v>508</v>
      </c>
      <c r="B658" s="17" t="s">
        <v>26</v>
      </c>
      <c r="C658" s="18"/>
      <c r="D658" s="19" t="s">
        <v>43</v>
      </c>
      <c r="E658" s="20"/>
      <c r="F658" s="21">
        <v>1</v>
      </c>
      <c r="G658" s="22" t="s">
        <v>21</v>
      </c>
      <c r="H658" s="21">
        <v>144</v>
      </c>
      <c r="I658" s="22" t="s">
        <v>43</v>
      </c>
      <c r="J658" s="23">
        <f>2764800/144</f>
        <v>19200</v>
      </c>
      <c r="K658" s="19" t="s">
        <v>43</v>
      </c>
      <c r="L658" s="24"/>
      <c r="M658" s="24">
        <v>0.17</v>
      </c>
      <c r="N658" s="21"/>
      <c r="O658" s="22" t="s">
        <v>43</v>
      </c>
      <c r="P658" s="18">
        <f t="shared" si="152"/>
        <v>0</v>
      </c>
      <c r="Q658" s="22" t="s">
        <v>43</v>
      </c>
      <c r="R658" s="23">
        <f t="shared" si="153"/>
        <v>0</v>
      </c>
      <c r="S658" s="23">
        <f t="shared" ref="S658:S752" si="160">R658/1.11</f>
        <v>0</v>
      </c>
    </row>
    <row r="659" spans="1:19" s="17" customFormat="1">
      <c r="A659" s="16" t="s">
        <v>509</v>
      </c>
      <c r="B659" s="17" t="s">
        <v>26</v>
      </c>
      <c r="C659" s="18"/>
      <c r="D659" s="19" t="s">
        <v>43</v>
      </c>
      <c r="E659" s="20"/>
      <c r="F659" s="21">
        <v>1</v>
      </c>
      <c r="G659" s="22" t="s">
        <v>21</v>
      </c>
      <c r="H659" s="21">
        <v>144</v>
      </c>
      <c r="I659" s="22" t="s">
        <v>43</v>
      </c>
      <c r="J659" s="23">
        <f>3369600/144</f>
        <v>23400</v>
      </c>
      <c r="K659" s="19" t="s">
        <v>43</v>
      </c>
      <c r="L659" s="24"/>
      <c r="M659" s="24">
        <v>0.17</v>
      </c>
      <c r="N659" s="21"/>
      <c r="O659" s="22" t="s">
        <v>43</v>
      </c>
      <c r="P659" s="18">
        <f t="shared" si="152"/>
        <v>0</v>
      </c>
      <c r="Q659" s="22" t="s">
        <v>43</v>
      </c>
      <c r="R659" s="23">
        <f t="shared" si="153"/>
        <v>0</v>
      </c>
      <c r="S659" s="23">
        <f t="shared" si="160"/>
        <v>0</v>
      </c>
    </row>
    <row r="660" spans="1:19" s="17" customFormat="1">
      <c r="A660" s="16"/>
      <c r="C660" s="18"/>
      <c r="D660" s="19"/>
      <c r="E660" s="20"/>
      <c r="F660" s="21"/>
      <c r="G660" s="22"/>
      <c r="H660" s="21"/>
      <c r="I660" s="22"/>
      <c r="J660" s="23"/>
      <c r="K660" s="19"/>
      <c r="L660" s="24"/>
      <c r="M660" s="24"/>
      <c r="N660" s="21"/>
      <c r="O660" s="22"/>
      <c r="P660" s="18"/>
      <c r="Q660" s="22"/>
      <c r="R660" s="23"/>
      <c r="S660" s="23"/>
    </row>
    <row r="661" spans="1:19" s="17" customFormat="1">
      <c r="A661" s="16" t="s">
        <v>510</v>
      </c>
      <c r="B661" s="17" t="s">
        <v>275</v>
      </c>
      <c r="C661" s="18"/>
      <c r="D661" s="19" t="s">
        <v>43</v>
      </c>
      <c r="E661" s="20"/>
      <c r="F661" s="21">
        <v>1</v>
      </c>
      <c r="G661" s="22" t="s">
        <v>21</v>
      </c>
      <c r="H661" s="21">
        <v>144</v>
      </c>
      <c r="I661" s="22" t="s">
        <v>43</v>
      </c>
      <c r="J661" s="23">
        <v>12500</v>
      </c>
      <c r="K661" s="19" t="s">
        <v>43</v>
      </c>
      <c r="L661" s="24"/>
      <c r="M661" s="24"/>
      <c r="N661" s="21"/>
      <c r="O661" s="22" t="s">
        <v>43</v>
      </c>
      <c r="P661" s="18">
        <f t="shared" si="152"/>
        <v>0</v>
      </c>
      <c r="Q661" s="22" t="s">
        <v>43</v>
      </c>
      <c r="R661" s="23">
        <f t="shared" si="153"/>
        <v>0</v>
      </c>
      <c r="S661" s="23">
        <f>R661/1.11</f>
        <v>0</v>
      </c>
    </row>
    <row r="662" spans="1:19" s="17" customFormat="1">
      <c r="A662" s="16" t="s">
        <v>511</v>
      </c>
      <c r="B662" s="17" t="s">
        <v>275</v>
      </c>
      <c r="C662" s="18"/>
      <c r="D662" s="19" t="s">
        <v>43</v>
      </c>
      <c r="E662" s="20"/>
      <c r="F662" s="21">
        <v>1</v>
      </c>
      <c r="G662" s="22" t="s">
        <v>21</v>
      </c>
      <c r="H662" s="21">
        <v>144</v>
      </c>
      <c r="I662" s="22" t="s">
        <v>43</v>
      </c>
      <c r="J662" s="23">
        <v>12500</v>
      </c>
      <c r="K662" s="19" t="s">
        <v>43</v>
      </c>
      <c r="L662" s="24"/>
      <c r="M662" s="24"/>
      <c r="N662" s="21"/>
      <c r="O662" s="22" t="s">
        <v>43</v>
      </c>
      <c r="P662" s="18">
        <f t="shared" si="152"/>
        <v>0</v>
      </c>
      <c r="Q662" s="22" t="s">
        <v>43</v>
      </c>
      <c r="R662" s="23">
        <f t="shared" si="153"/>
        <v>0</v>
      </c>
      <c r="S662" s="23">
        <f>R662/1.11</f>
        <v>0</v>
      </c>
    </row>
    <row r="663" spans="1:19" s="26" customFormat="1">
      <c r="A663" s="25" t="s">
        <v>512</v>
      </c>
      <c r="B663" s="26" t="s">
        <v>275</v>
      </c>
      <c r="C663" s="27">
        <v>96</v>
      </c>
      <c r="D663" s="28" t="s">
        <v>43</v>
      </c>
      <c r="E663" s="29"/>
      <c r="F663" s="30">
        <v>1</v>
      </c>
      <c r="G663" s="31" t="s">
        <v>21</v>
      </c>
      <c r="H663" s="30">
        <v>96</v>
      </c>
      <c r="I663" s="31" t="s">
        <v>43</v>
      </c>
      <c r="J663" s="32">
        <v>27500</v>
      </c>
      <c r="K663" s="28" t="s">
        <v>43</v>
      </c>
      <c r="L663" s="33"/>
      <c r="M663" s="33"/>
      <c r="N663" s="30"/>
      <c r="O663" s="31" t="s">
        <v>43</v>
      </c>
      <c r="P663" s="27">
        <f t="shared" si="152"/>
        <v>96</v>
      </c>
      <c r="Q663" s="31" t="s">
        <v>43</v>
      </c>
      <c r="R663" s="32">
        <f t="shared" si="153"/>
        <v>2640000</v>
      </c>
      <c r="S663" s="32">
        <f>R663/1.11</f>
        <v>2378378.3783783782</v>
      </c>
    </row>
    <row r="664" spans="1:19" s="26" customFormat="1">
      <c r="A664" s="25"/>
      <c r="C664" s="27"/>
      <c r="D664" s="28"/>
      <c r="E664" s="29"/>
      <c r="F664" s="30"/>
      <c r="G664" s="31"/>
      <c r="H664" s="30"/>
      <c r="I664" s="31"/>
      <c r="J664" s="32"/>
      <c r="K664" s="28"/>
      <c r="L664" s="33"/>
      <c r="M664" s="33"/>
      <c r="N664" s="30"/>
      <c r="O664" s="31"/>
      <c r="P664" s="27"/>
      <c r="Q664" s="31"/>
      <c r="R664" s="32"/>
      <c r="S664" s="32"/>
    </row>
    <row r="665" spans="1:19">
      <c r="A665" s="15" t="s">
        <v>741</v>
      </c>
      <c r="S665" s="23"/>
    </row>
    <row r="666" spans="1:19" s="17" customFormat="1">
      <c r="A666" s="137" t="s">
        <v>742</v>
      </c>
      <c r="B666" s="17" t="s">
        <v>19</v>
      </c>
      <c r="C666" s="18"/>
      <c r="D666" s="19" t="s">
        <v>88</v>
      </c>
      <c r="E666" s="20">
        <f>1+1+2</f>
        <v>4</v>
      </c>
      <c r="F666" s="21">
        <v>1</v>
      </c>
      <c r="G666" s="22" t="s">
        <v>21</v>
      </c>
      <c r="H666" s="21">
        <v>12</v>
      </c>
      <c r="I666" s="22" t="s">
        <v>88</v>
      </c>
      <c r="J666" s="23">
        <v>176400</v>
      </c>
      <c r="K666" s="19" t="s">
        <v>88</v>
      </c>
      <c r="L666" s="24">
        <v>0.125</v>
      </c>
      <c r="M666" s="24">
        <v>0.05</v>
      </c>
      <c r="N666" s="21">
        <f>12+12+24</f>
        <v>48</v>
      </c>
      <c r="O666" s="22" t="s">
        <v>88</v>
      </c>
      <c r="P666" s="18">
        <f t="shared" ref="P666:P675" si="161">(C666+(E666*F666*H666))-N666</f>
        <v>0</v>
      </c>
      <c r="Q666" s="22" t="s">
        <v>88</v>
      </c>
      <c r="R666" s="23">
        <f t="shared" ref="R666:R675" si="162">P666*(J666-(J666*L666)-((J666-(J666*L666))*M666))</f>
        <v>0</v>
      </c>
      <c r="S666" s="23">
        <f t="shared" si="160"/>
        <v>0</v>
      </c>
    </row>
    <row r="667" spans="1:19" s="17" customFormat="1">
      <c r="A667" s="137" t="s">
        <v>743</v>
      </c>
      <c r="B667" s="17" t="s">
        <v>19</v>
      </c>
      <c r="C667" s="18"/>
      <c r="D667" s="19" t="s">
        <v>88</v>
      </c>
      <c r="E667" s="20"/>
      <c r="F667" s="21">
        <v>12</v>
      </c>
      <c r="G667" s="22" t="s">
        <v>34</v>
      </c>
      <c r="H667" s="21">
        <v>1</v>
      </c>
      <c r="I667" s="22" t="s">
        <v>88</v>
      </c>
      <c r="J667" s="23">
        <v>183600</v>
      </c>
      <c r="K667" s="19" t="s">
        <v>88</v>
      </c>
      <c r="L667" s="24">
        <v>0.125</v>
      </c>
      <c r="M667" s="24">
        <v>0.05</v>
      </c>
      <c r="N667" s="21"/>
      <c r="O667" s="22" t="s">
        <v>88</v>
      </c>
      <c r="P667" s="18">
        <f t="shared" si="161"/>
        <v>0</v>
      </c>
      <c r="Q667" s="22" t="s">
        <v>88</v>
      </c>
      <c r="R667" s="23">
        <f t="shared" si="162"/>
        <v>0</v>
      </c>
      <c r="S667" s="23">
        <f t="shared" si="160"/>
        <v>0</v>
      </c>
    </row>
    <row r="668" spans="1:19" s="17" customFormat="1">
      <c r="A668" s="137" t="s">
        <v>744</v>
      </c>
      <c r="B668" s="17" t="s">
        <v>19</v>
      </c>
      <c r="C668" s="18"/>
      <c r="D668" s="19" t="s">
        <v>43</v>
      </c>
      <c r="E668" s="20"/>
      <c r="F668" s="21">
        <v>12</v>
      </c>
      <c r="G668" s="22" t="s">
        <v>88</v>
      </c>
      <c r="H668" s="21">
        <v>12</v>
      </c>
      <c r="I668" s="22" t="s">
        <v>43</v>
      </c>
      <c r="J668" s="23">
        <v>17100</v>
      </c>
      <c r="K668" s="19" t="s">
        <v>43</v>
      </c>
      <c r="L668" s="24">
        <v>0.125</v>
      </c>
      <c r="M668" s="24">
        <v>0.05</v>
      </c>
      <c r="N668" s="21"/>
      <c r="O668" s="22" t="s">
        <v>43</v>
      </c>
      <c r="P668" s="18">
        <f t="shared" si="161"/>
        <v>0</v>
      </c>
      <c r="Q668" s="22" t="s">
        <v>43</v>
      </c>
      <c r="R668" s="23">
        <f t="shared" si="162"/>
        <v>0</v>
      </c>
      <c r="S668" s="23">
        <f t="shared" si="160"/>
        <v>0</v>
      </c>
    </row>
    <row r="669" spans="1:19" s="17" customFormat="1">
      <c r="A669" s="137" t="s">
        <v>745</v>
      </c>
      <c r="B669" s="17" t="s">
        <v>19</v>
      </c>
      <c r="C669" s="18"/>
      <c r="D669" s="19" t="s">
        <v>43</v>
      </c>
      <c r="E669" s="20"/>
      <c r="F669" s="21">
        <v>12</v>
      </c>
      <c r="G669" s="22" t="s">
        <v>88</v>
      </c>
      <c r="H669" s="21">
        <v>6</v>
      </c>
      <c r="I669" s="22" t="s">
        <v>43</v>
      </c>
      <c r="J669" s="23">
        <v>34500</v>
      </c>
      <c r="K669" s="19" t="s">
        <v>43</v>
      </c>
      <c r="L669" s="24">
        <v>0.125</v>
      </c>
      <c r="M669" s="24">
        <v>0.05</v>
      </c>
      <c r="N669" s="21"/>
      <c r="O669" s="22" t="s">
        <v>43</v>
      </c>
      <c r="P669" s="18">
        <f t="shared" si="161"/>
        <v>0</v>
      </c>
      <c r="Q669" s="22" t="s">
        <v>43</v>
      </c>
      <c r="R669" s="23">
        <f t="shared" si="162"/>
        <v>0</v>
      </c>
      <c r="S669" s="23">
        <f t="shared" si="160"/>
        <v>0</v>
      </c>
    </row>
    <row r="670" spans="1:19" s="17" customFormat="1">
      <c r="A670" s="137" t="s">
        <v>746</v>
      </c>
      <c r="B670" s="17" t="s">
        <v>19</v>
      </c>
      <c r="C670" s="18"/>
      <c r="D670" s="19" t="s">
        <v>88</v>
      </c>
      <c r="E670" s="20"/>
      <c r="F670" s="21">
        <v>1</v>
      </c>
      <c r="G670" s="22" t="s">
        <v>21</v>
      </c>
      <c r="H670" s="21">
        <v>12</v>
      </c>
      <c r="I670" s="22" t="s">
        <v>88</v>
      </c>
      <c r="J670" s="23">
        <v>183600</v>
      </c>
      <c r="K670" s="19" t="s">
        <v>88</v>
      </c>
      <c r="L670" s="24">
        <v>0.125</v>
      </c>
      <c r="M670" s="24">
        <v>0.05</v>
      </c>
      <c r="N670" s="21"/>
      <c r="O670" s="22" t="s">
        <v>88</v>
      </c>
      <c r="P670" s="18">
        <f t="shared" si="161"/>
        <v>0</v>
      </c>
      <c r="Q670" s="22" t="s">
        <v>88</v>
      </c>
      <c r="R670" s="23">
        <f t="shared" si="162"/>
        <v>0</v>
      </c>
      <c r="S670" s="23">
        <f t="shared" si="160"/>
        <v>0</v>
      </c>
    </row>
    <row r="671" spans="1:19" s="26" customFormat="1">
      <c r="A671" s="138" t="s">
        <v>842</v>
      </c>
      <c r="B671" s="26" t="s">
        <v>19</v>
      </c>
      <c r="C671" s="27"/>
      <c r="D671" s="28" t="s">
        <v>43</v>
      </c>
      <c r="E671" s="29">
        <v>1</v>
      </c>
      <c r="F671" s="30">
        <v>1</v>
      </c>
      <c r="G671" s="31" t="s">
        <v>21</v>
      </c>
      <c r="H671" s="30">
        <v>17</v>
      </c>
      <c r="I671" s="31" t="s">
        <v>43</v>
      </c>
      <c r="J671" s="32">
        <v>39600</v>
      </c>
      <c r="K671" s="28" t="s">
        <v>43</v>
      </c>
      <c r="L671" s="33">
        <v>0.125</v>
      </c>
      <c r="M671" s="33">
        <v>0.05</v>
      </c>
      <c r="N671" s="30">
        <f>(72/12)</f>
        <v>6</v>
      </c>
      <c r="O671" s="31" t="s">
        <v>88</v>
      </c>
      <c r="P671" s="27">
        <f t="shared" ref="P671" si="163">(C671+(E671*F671*H671))-N671</f>
        <v>11</v>
      </c>
      <c r="Q671" s="31" t="s">
        <v>88</v>
      </c>
      <c r="R671" s="32">
        <f t="shared" ref="R671" si="164">P671*(J671-(J671*L671)-((J671-(J671*L671))*M671))</f>
        <v>362092.5</v>
      </c>
      <c r="S671" s="32">
        <f t="shared" ref="S671" si="165">R671/1.11</f>
        <v>326209.45945945941</v>
      </c>
    </row>
    <row r="672" spans="1:19" s="17" customFormat="1">
      <c r="A672" s="137"/>
      <c r="C672" s="18"/>
      <c r="D672" s="19"/>
      <c r="E672" s="20"/>
      <c r="F672" s="21"/>
      <c r="G672" s="22"/>
      <c r="H672" s="21"/>
      <c r="I672" s="22"/>
      <c r="J672" s="23"/>
      <c r="K672" s="19"/>
      <c r="L672" s="24"/>
      <c r="M672" s="24"/>
      <c r="N672" s="21"/>
      <c r="O672" s="22"/>
      <c r="P672" s="18"/>
      <c r="Q672" s="22"/>
      <c r="R672" s="23"/>
      <c r="S672" s="23"/>
    </row>
    <row r="673" spans="1:19" s="26" customFormat="1">
      <c r="A673" s="138" t="s">
        <v>747</v>
      </c>
      <c r="B673" s="26" t="s">
        <v>26</v>
      </c>
      <c r="C673" s="27">
        <v>3</v>
      </c>
      <c r="D673" s="28" t="s">
        <v>88</v>
      </c>
      <c r="E673" s="29"/>
      <c r="F673" s="30">
        <v>1</v>
      </c>
      <c r="G673" s="31" t="s">
        <v>21</v>
      </c>
      <c r="H673" s="30">
        <v>18</v>
      </c>
      <c r="I673" s="31" t="s">
        <v>88</v>
      </c>
      <c r="J673" s="32">
        <f>3240000/18</f>
        <v>180000</v>
      </c>
      <c r="K673" s="28" t="s">
        <v>88</v>
      </c>
      <c r="L673" s="33"/>
      <c r="M673" s="33">
        <v>0.17</v>
      </c>
      <c r="N673" s="30"/>
      <c r="O673" s="31" t="s">
        <v>88</v>
      </c>
      <c r="P673" s="27">
        <f t="shared" si="161"/>
        <v>3</v>
      </c>
      <c r="Q673" s="31" t="s">
        <v>88</v>
      </c>
      <c r="R673" s="32">
        <f t="shared" si="162"/>
        <v>448200</v>
      </c>
      <c r="S673" s="32">
        <f t="shared" si="160"/>
        <v>403783.78378378373</v>
      </c>
    </row>
    <row r="674" spans="1:19" s="17" customFormat="1">
      <c r="A674" s="16" t="s">
        <v>748</v>
      </c>
      <c r="B674" s="17" t="s">
        <v>26</v>
      </c>
      <c r="C674" s="18"/>
      <c r="D674" s="19" t="s">
        <v>43</v>
      </c>
      <c r="E674" s="20"/>
      <c r="F674" s="21">
        <v>12</v>
      </c>
      <c r="G674" s="22" t="s">
        <v>88</v>
      </c>
      <c r="H674" s="21">
        <v>12</v>
      </c>
      <c r="I674" s="22" t="s">
        <v>43</v>
      </c>
      <c r="J674" s="23">
        <v>14400</v>
      </c>
      <c r="K674" s="19" t="s">
        <v>43</v>
      </c>
      <c r="L674" s="24"/>
      <c r="M674" s="24">
        <v>0.17</v>
      </c>
      <c r="N674" s="21"/>
      <c r="O674" s="22" t="s">
        <v>43</v>
      </c>
      <c r="P674" s="18">
        <f t="shared" si="161"/>
        <v>0</v>
      </c>
      <c r="Q674" s="22" t="s">
        <v>43</v>
      </c>
      <c r="R674" s="23">
        <f t="shared" si="162"/>
        <v>0</v>
      </c>
      <c r="S674" s="23">
        <f t="shared" si="160"/>
        <v>0</v>
      </c>
    </row>
    <row r="675" spans="1:19" s="17" customFormat="1">
      <c r="A675" s="16" t="s">
        <v>749</v>
      </c>
      <c r="B675" s="17" t="s">
        <v>26</v>
      </c>
      <c r="C675" s="18"/>
      <c r="D675" s="19" t="s">
        <v>43</v>
      </c>
      <c r="E675" s="20"/>
      <c r="F675" s="21">
        <v>12</v>
      </c>
      <c r="G675" s="22" t="s">
        <v>88</v>
      </c>
      <c r="H675" s="21">
        <v>12</v>
      </c>
      <c r="I675" s="22" t="s">
        <v>43</v>
      </c>
      <c r="J675" s="23">
        <v>16800</v>
      </c>
      <c r="K675" s="19" t="s">
        <v>43</v>
      </c>
      <c r="L675" s="24"/>
      <c r="M675" s="24">
        <v>0.17</v>
      </c>
      <c r="N675" s="21"/>
      <c r="O675" s="22" t="s">
        <v>43</v>
      </c>
      <c r="P675" s="18">
        <f t="shared" si="161"/>
        <v>0</v>
      </c>
      <c r="Q675" s="22" t="s">
        <v>43</v>
      </c>
      <c r="R675" s="23">
        <f t="shared" si="162"/>
        <v>0</v>
      </c>
      <c r="S675" s="23">
        <f t="shared" si="160"/>
        <v>0</v>
      </c>
    </row>
    <row r="676" spans="1:19" s="17" customFormat="1">
      <c r="A676" s="16"/>
      <c r="C676" s="18"/>
      <c r="D676" s="19"/>
      <c r="E676" s="20"/>
      <c r="F676" s="21"/>
      <c r="G676" s="22"/>
      <c r="H676" s="21"/>
      <c r="I676" s="22"/>
      <c r="J676" s="23"/>
      <c r="K676" s="19"/>
      <c r="L676" s="24"/>
      <c r="M676" s="24"/>
      <c r="N676" s="21"/>
      <c r="O676" s="22"/>
      <c r="P676" s="18"/>
      <c r="Q676" s="22"/>
      <c r="R676" s="23"/>
      <c r="S676" s="23"/>
    </row>
    <row r="677" spans="1:19">
      <c r="A677" s="15" t="s">
        <v>522</v>
      </c>
      <c r="S677" s="23"/>
    </row>
    <row r="678" spans="1:19" s="45" customFormat="1">
      <c r="A678" s="44" t="s">
        <v>523</v>
      </c>
      <c r="B678" s="45" t="s">
        <v>19</v>
      </c>
      <c r="C678" s="46">
        <v>228</v>
      </c>
      <c r="D678" s="47" t="s">
        <v>162</v>
      </c>
      <c r="E678" s="48">
        <f>3+5+2+10</f>
        <v>20</v>
      </c>
      <c r="F678" s="49">
        <v>12</v>
      </c>
      <c r="G678" s="50" t="s">
        <v>34</v>
      </c>
      <c r="H678" s="49">
        <v>24</v>
      </c>
      <c r="I678" s="50" t="s">
        <v>162</v>
      </c>
      <c r="J678" s="51">
        <v>6700</v>
      </c>
      <c r="K678" s="47" t="s">
        <v>162</v>
      </c>
      <c r="L678" s="52">
        <v>0.125</v>
      </c>
      <c r="M678" s="52">
        <v>0.05</v>
      </c>
      <c r="N678" s="49">
        <f>(72*12)+(48*12)+(10*12)+(1*12)+(48*12)+288+(3*12)+(24*12)</f>
        <v>2760</v>
      </c>
      <c r="O678" s="50" t="s">
        <v>162</v>
      </c>
      <c r="P678" s="46">
        <f t="shared" ref="P678:P704" si="166">(C678+(E678*F678*H678))-N678</f>
        <v>3228</v>
      </c>
      <c r="Q678" s="50" t="s">
        <v>162</v>
      </c>
      <c r="R678" s="51">
        <f t="shared" ref="R678:R704" si="167">P678*(J678-(J678*L678)-((J678-(J678*L678))*M678))</f>
        <v>17977942.5</v>
      </c>
      <c r="S678" s="51">
        <f t="shared" si="160"/>
        <v>16196344.594594594</v>
      </c>
    </row>
    <row r="679" spans="1:19" s="45" customFormat="1">
      <c r="A679" s="44" t="s">
        <v>524</v>
      </c>
      <c r="B679" s="45" t="s">
        <v>19</v>
      </c>
      <c r="C679" s="46">
        <v>144</v>
      </c>
      <c r="D679" s="47" t="s">
        <v>162</v>
      </c>
      <c r="E679" s="48"/>
      <c r="F679" s="49">
        <v>12</v>
      </c>
      <c r="G679" s="50" t="s">
        <v>34</v>
      </c>
      <c r="H679" s="49">
        <v>12</v>
      </c>
      <c r="I679" s="50" t="s">
        <v>162</v>
      </c>
      <c r="J679" s="51">
        <v>13800</v>
      </c>
      <c r="K679" s="47" t="s">
        <v>162</v>
      </c>
      <c r="L679" s="52">
        <v>0.125</v>
      </c>
      <c r="M679" s="52">
        <v>0.05</v>
      </c>
      <c r="N679" s="49"/>
      <c r="O679" s="50" t="s">
        <v>162</v>
      </c>
      <c r="P679" s="46">
        <f t="shared" si="166"/>
        <v>144</v>
      </c>
      <c r="Q679" s="50" t="s">
        <v>162</v>
      </c>
      <c r="R679" s="51">
        <f t="shared" si="167"/>
        <v>1651860</v>
      </c>
      <c r="S679" s="32">
        <f t="shared" si="160"/>
        <v>1488162.1621621621</v>
      </c>
    </row>
    <row r="680" spans="1:19" s="45" customFormat="1">
      <c r="A680" s="44" t="s">
        <v>525</v>
      </c>
      <c r="B680" s="45" t="s">
        <v>19</v>
      </c>
      <c r="C680" s="46">
        <v>408</v>
      </c>
      <c r="D680" s="47" t="s">
        <v>162</v>
      </c>
      <c r="E680" s="48">
        <f>3+25+2+10</f>
        <v>40</v>
      </c>
      <c r="F680" s="49">
        <v>12</v>
      </c>
      <c r="G680" s="50" t="s">
        <v>34</v>
      </c>
      <c r="H680" s="49">
        <v>12</v>
      </c>
      <c r="I680" s="50" t="s">
        <v>162</v>
      </c>
      <c r="J680" s="51">
        <v>10600</v>
      </c>
      <c r="K680" s="47" t="s">
        <v>162</v>
      </c>
      <c r="L680" s="52">
        <v>0.125</v>
      </c>
      <c r="M680" s="52">
        <v>0.05</v>
      </c>
      <c r="N680" s="49">
        <f>1440+144+144+576+432+144+720+(6*12)+288+144+(24*12)+12+144+144+(10*12)+(24*12)</f>
        <v>5100</v>
      </c>
      <c r="O680" s="50" t="s">
        <v>162</v>
      </c>
      <c r="P680" s="46">
        <f t="shared" si="166"/>
        <v>1068</v>
      </c>
      <c r="Q680" s="50" t="s">
        <v>162</v>
      </c>
      <c r="R680" s="51">
        <f t="shared" si="167"/>
        <v>9410415</v>
      </c>
      <c r="S680" s="51">
        <f t="shared" si="160"/>
        <v>8477851.3513513505</v>
      </c>
    </row>
    <row r="681" spans="1:19" s="45" customFormat="1">
      <c r="A681" s="44" t="s">
        <v>526</v>
      </c>
      <c r="B681" s="45" t="s">
        <v>19</v>
      </c>
      <c r="C681" s="46"/>
      <c r="D681" s="47" t="s">
        <v>162</v>
      </c>
      <c r="E681" s="48">
        <f>11+2+1+1+2+2</f>
        <v>19</v>
      </c>
      <c r="F681" s="49">
        <v>12</v>
      </c>
      <c r="G681" s="50" t="s">
        <v>34</v>
      </c>
      <c r="H681" s="49">
        <v>6</v>
      </c>
      <c r="I681" s="50" t="s">
        <v>162</v>
      </c>
      <c r="J681" s="51">
        <v>21200</v>
      </c>
      <c r="K681" s="47" t="s">
        <v>162</v>
      </c>
      <c r="L681" s="52">
        <v>0.125</v>
      </c>
      <c r="M681" s="52">
        <v>0.05</v>
      </c>
      <c r="N681" s="49">
        <f>360+216+72+72+42+72+72+72+72+72+72</f>
        <v>1194</v>
      </c>
      <c r="O681" s="50" t="s">
        <v>162</v>
      </c>
      <c r="P681" s="46">
        <f t="shared" si="166"/>
        <v>174</v>
      </c>
      <c r="Q681" s="50" t="s">
        <v>162</v>
      </c>
      <c r="R681" s="51">
        <f t="shared" si="167"/>
        <v>3066315</v>
      </c>
      <c r="S681" s="32">
        <f t="shared" si="160"/>
        <v>2762445.9459459456</v>
      </c>
    </row>
    <row r="682" spans="1:19" s="63" customFormat="1">
      <c r="A682" s="72" t="s">
        <v>527</v>
      </c>
      <c r="B682" s="63" t="s">
        <v>19</v>
      </c>
      <c r="C682" s="64"/>
      <c r="D682" s="65" t="s">
        <v>162</v>
      </c>
      <c r="E682" s="66"/>
      <c r="F682" s="67">
        <v>8</v>
      </c>
      <c r="G682" s="68" t="s">
        <v>34</v>
      </c>
      <c r="H682" s="67">
        <v>6</v>
      </c>
      <c r="I682" s="68" t="s">
        <v>162</v>
      </c>
      <c r="J682" s="69">
        <v>34500</v>
      </c>
      <c r="K682" s="65" t="s">
        <v>162</v>
      </c>
      <c r="L682" s="70">
        <v>0.125</v>
      </c>
      <c r="M682" s="70">
        <v>0.05</v>
      </c>
      <c r="N682" s="67"/>
      <c r="O682" s="68" t="s">
        <v>162</v>
      </c>
      <c r="P682" s="64">
        <f t="shared" si="166"/>
        <v>0</v>
      </c>
      <c r="Q682" s="68" t="s">
        <v>162</v>
      </c>
      <c r="R682" s="69">
        <f t="shared" si="167"/>
        <v>0</v>
      </c>
      <c r="S682" s="23">
        <f t="shared" si="160"/>
        <v>0</v>
      </c>
    </row>
    <row r="683" spans="1:19" s="45" customFormat="1">
      <c r="A683" s="44" t="s">
        <v>528</v>
      </c>
      <c r="B683" s="45" t="s">
        <v>19</v>
      </c>
      <c r="C683" s="46">
        <v>336</v>
      </c>
      <c r="D683" s="47" t="s">
        <v>162</v>
      </c>
      <c r="E683" s="48">
        <f>3+1</f>
        <v>4</v>
      </c>
      <c r="F683" s="49">
        <v>12</v>
      </c>
      <c r="G683" s="50" t="s">
        <v>34</v>
      </c>
      <c r="H683" s="49">
        <v>12</v>
      </c>
      <c r="I683" s="50" t="s">
        <v>162</v>
      </c>
      <c r="J683" s="51">
        <v>9600</v>
      </c>
      <c r="K683" s="47" t="s">
        <v>162</v>
      </c>
      <c r="L683" s="52">
        <v>0.125</v>
      </c>
      <c r="M683" s="52">
        <v>0.05</v>
      </c>
      <c r="N683" s="49">
        <f>(2*12)+144+(12+12)+144+12+144</f>
        <v>492</v>
      </c>
      <c r="O683" s="50" t="s">
        <v>162</v>
      </c>
      <c r="P683" s="46">
        <f t="shared" si="166"/>
        <v>420</v>
      </c>
      <c r="Q683" s="50" t="s">
        <v>162</v>
      </c>
      <c r="R683" s="51">
        <f t="shared" si="167"/>
        <v>3351600</v>
      </c>
      <c r="S683" s="51">
        <f t="shared" si="160"/>
        <v>3019459.4594594594</v>
      </c>
    </row>
    <row r="684" spans="1:19" s="17" customFormat="1">
      <c r="A684" s="16" t="s">
        <v>529</v>
      </c>
      <c r="B684" s="17" t="s">
        <v>19</v>
      </c>
      <c r="C684" s="18">
        <v>72</v>
      </c>
      <c r="D684" s="19" t="s">
        <v>162</v>
      </c>
      <c r="E684" s="20"/>
      <c r="F684" s="21">
        <v>12</v>
      </c>
      <c r="G684" s="22" t="s">
        <v>34</v>
      </c>
      <c r="H684" s="21">
        <v>6</v>
      </c>
      <c r="I684" s="22" t="s">
        <v>162</v>
      </c>
      <c r="J684" s="23">
        <v>19200</v>
      </c>
      <c r="K684" s="19" t="s">
        <v>162</v>
      </c>
      <c r="L684" s="24">
        <v>0.125</v>
      </c>
      <c r="M684" s="24">
        <v>0.05</v>
      </c>
      <c r="N684" s="21">
        <f>(6*12)</f>
        <v>72</v>
      </c>
      <c r="O684" s="22" t="s">
        <v>162</v>
      </c>
      <c r="P684" s="18">
        <f t="shared" si="166"/>
        <v>0</v>
      </c>
      <c r="Q684" s="22" t="s">
        <v>162</v>
      </c>
      <c r="R684" s="23">
        <f t="shared" si="167"/>
        <v>0</v>
      </c>
      <c r="S684" s="23">
        <f t="shared" si="160"/>
        <v>0</v>
      </c>
    </row>
    <row r="685" spans="1:19" s="17" customFormat="1">
      <c r="A685" s="16" t="s">
        <v>530</v>
      </c>
      <c r="B685" s="17" t="s">
        <v>19</v>
      </c>
      <c r="C685" s="18"/>
      <c r="D685" s="19" t="s">
        <v>162</v>
      </c>
      <c r="E685" s="20">
        <v>1</v>
      </c>
      <c r="F685" s="21">
        <v>12</v>
      </c>
      <c r="G685" s="22" t="s">
        <v>34</v>
      </c>
      <c r="H685" s="21">
        <v>24</v>
      </c>
      <c r="I685" s="22" t="s">
        <v>162</v>
      </c>
      <c r="J685" s="23">
        <v>5800</v>
      </c>
      <c r="K685" s="19" t="s">
        <v>162</v>
      </c>
      <c r="L685" s="24">
        <v>0.125</v>
      </c>
      <c r="M685" s="24">
        <v>0.05</v>
      </c>
      <c r="N685" s="21">
        <v>288</v>
      </c>
      <c r="O685" s="22" t="s">
        <v>162</v>
      </c>
      <c r="P685" s="18">
        <f t="shared" si="166"/>
        <v>0</v>
      </c>
      <c r="Q685" s="22" t="s">
        <v>162</v>
      </c>
      <c r="R685" s="23">
        <f t="shared" si="167"/>
        <v>0</v>
      </c>
      <c r="S685" s="23">
        <f t="shared" si="160"/>
        <v>0</v>
      </c>
    </row>
    <row r="686" spans="1:19" s="63" customFormat="1">
      <c r="A686" s="72" t="s">
        <v>531</v>
      </c>
      <c r="B686" s="63" t="s">
        <v>19</v>
      </c>
      <c r="C686" s="64">
        <v>288</v>
      </c>
      <c r="D686" s="65" t="s">
        <v>162</v>
      </c>
      <c r="E686" s="66">
        <v>2</v>
      </c>
      <c r="F686" s="67">
        <v>12</v>
      </c>
      <c r="G686" s="68" t="s">
        <v>34</v>
      </c>
      <c r="H686" s="67">
        <v>12</v>
      </c>
      <c r="I686" s="68" t="s">
        <v>162</v>
      </c>
      <c r="J686" s="69">
        <v>8400</v>
      </c>
      <c r="K686" s="65" t="s">
        <v>162</v>
      </c>
      <c r="L686" s="70">
        <v>0.125</v>
      </c>
      <c r="M686" s="70">
        <v>0.05</v>
      </c>
      <c r="N686" s="67">
        <v>576</v>
      </c>
      <c r="O686" s="68" t="s">
        <v>162</v>
      </c>
      <c r="P686" s="64">
        <f t="shared" si="166"/>
        <v>0</v>
      </c>
      <c r="Q686" s="68" t="s">
        <v>162</v>
      </c>
      <c r="R686" s="69">
        <f t="shared" si="167"/>
        <v>0</v>
      </c>
      <c r="S686" s="23">
        <f t="shared" si="160"/>
        <v>0</v>
      </c>
    </row>
    <row r="687" spans="1:19" s="63" customFormat="1">
      <c r="A687" s="72" t="s">
        <v>532</v>
      </c>
      <c r="B687" s="63" t="s">
        <v>19</v>
      </c>
      <c r="C687" s="64"/>
      <c r="D687" s="65" t="s">
        <v>162</v>
      </c>
      <c r="E687" s="66">
        <v>2</v>
      </c>
      <c r="F687" s="67">
        <v>12</v>
      </c>
      <c r="G687" s="68" t="s">
        <v>34</v>
      </c>
      <c r="H687" s="67">
        <v>6</v>
      </c>
      <c r="I687" s="68" t="s">
        <v>162</v>
      </c>
      <c r="J687" s="69">
        <v>16800</v>
      </c>
      <c r="K687" s="65" t="s">
        <v>162</v>
      </c>
      <c r="L687" s="70">
        <v>0.125</v>
      </c>
      <c r="M687" s="70">
        <v>0.05</v>
      </c>
      <c r="N687" s="67">
        <v>144</v>
      </c>
      <c r="O687" s="68" t="s">
        <v>162</v>
      </c>
      <c r="P687" s="64">
        <f t="shared" si="166"/>
        <v>0</v>
      </c>
      <c r="Q687" s="68" t="s">
        <v>162</v>
      </c>
      <c r="R687" s="69">
        <f t="shared" si="167"/>
        <v>0</v>
      </c>
      <c r="S687" s="23">
        <f t="shared" si="160"/>
        <v>0</v>
      </c>
    </row>
    <row r="688" spans="1:19" s="45" customFormat="1">
      <c r="A688" s="44" t="s">
        <v>533</v>
      </c>
      <c r="B688" s="45" t="s">
        <v>19</v>
      </c>
      <c r="C688" s="46">
        <v>144</v>
      </c>
      <c r="D688" s="47" t="s">
        <v>162</v>
      </c>
      <c r="E688" s="48"/>
      <c r="F688" s="49">
        <v>12</v>
      </c>
      <c r="G688" s="50" t="s">
        <v>34</v>
      </c>
      <c r="H688" s="49">
        <v>12</v>
      </c>
      <c r="I688" s="50" t="s">
        <v>162</v>
      </c>
      <c r="J688" s="51">
        <v>11000</v>
      </c>
      <c r="K688" s="47" t="s">
        <v>162</v>
      </c>
      <c r="L688" s="52">
        <v>0.125</v>
      </c>
      <c r="M688" s="52">
        <v>0.05</v>
      </c>
      <c r="N688" s="49"/>
      <c r="O688" s="50" t="s">
        <v>162</v>
      </c>
      <c r="P688" s="46">
        <f t="shared" si="166"/>
        <v>144</v>
      </c>
      <c r="Q688" s="50" t="s">
        <v>162</v>
      </c>
      <c r="R688" s="51">
        <f t="shared" si="167"/>
        <v>1316700</v>
      </c>
      <c r="S688" s="32">
        <f t="shared" si="160"/>
        <v>1186216.2162162161</v>
      </c>
    </row>
    <row r="689" spans="1:19" s="63" customFormat="1">
      <c r="A689" s="72" t="s">
        <v>534</v>
      </c>
      <c r="B689" s="63" t="s">
        <v>19</v>
      </c>
      <c r="C689" s="64"/>
      <c r="D689" s="65" t="s">
        <v>162</v>
      </c>
      <c r="E689" s="66"/>
      <c r="F689" s="67">
        <v>12</v>
      </c>
      <c r="G689" s="68" t="s">
        <v>34</v>
      </c>
      <c r="H689" s="67">
        <v>24</v>
      </c>
      <c r="I689" s="68" t="s">
        <v>162</v>
      </c>
      <c r="J689" s="69">
        <v>5400</v>
      </c>
      <c r="K689" s="65" t="s">
        <v>162</v>
      </c>
      <c r="L689" s="70">
        <v>0.125</v>
      </c>
      <c r="M689" s="70">
        <v>0.05</v>
      </c>
      <c r="N689" s="67"/>
      <c r="O689" s="68" t="s">
        <v>162</v>
      </c>
      <c r="P689" s="64">
        <f t="shared" si="166"/>
        <v>0</v>
      </c>
      <c r="Q689" s="68" t="s">
        <v>162</v>
      </c>
      <c r="R689" s="69">
        <f t="shared" si="167"/>
        <v>0</v>
      </c>
      <c r="S689" s="23">
        <f t="shared" si="160"/>
        <v>0</v>
      </c>
    </row>
    <row r="690" spans="1:19" s="63" customFormat="1">
      <c r="A690" s="72" t="s">
        <v>535</v>
      </c>
      <c r="B690" s="63" t="s">
        <v>19</v>
      </c>
      <c r="C690" s="64">
        <v>144</v>
      </c>
      <c r="D690" s="65" t="s">
        <v>162</v>
      </c>
      <c r="E690" s="66"/>
      <c r="F690" s="67">
        <v>12</v>
      </c>
      <c r="G690" s="68" t="s">
        <v>34</v>
      </c>
      <c r="H690" s="67">
        <v>12</v>
      </c>
      <c r="I690" s="68" t="s">
        <v>162</v>
      </c>
      <c r="J690" s="69">
        <v>16900</v>
      </c>
      <c r="K690" s="65" t="s">
        <v>162</v>
      </c>
      <c r="L690" s="70">
        <v>0.125</v>
      </c>
      <c r="M690" s="70">
        <v>0.05</v>
      </c>
      <c r="N690" s="67">
        <f>(5*12)+(7*12)</f>
        <v>144</v>
      </c>
      <c r="O690" s="68" t="s">
        <v>162</v>
      </c>
      <c r="P690" s="64">
        <f t="shared" si="166"/>
        <v>0</v>
      </c>
      <c r="Q690" s="68" t="s">
        <v>162</v>
      </c>
      <c r="R690" s="69">
        <f t="shared" si="167"/>
        <v>0</v>
      </c>
      <c r="S690" s="23">
        <f t="shared" si="160"/>
        <v>0</v>
      </c>
    </row>
    <row r="691" spans="1:19" s="45" customFormat="1">
      <c r="A691" s="44" t="s">
        <v>536</v>
      </c>
      <c r="B691" s="45" t="s">
        <v>19</v>
      </c>
      <c r="C691" s="46">
        <v>72</v>
      </c>
      <c r="D691" s="47" t="s">
        <v>162</v>
      </c>
      <c r="E691" s="48"/>
      <c r="F691" s="49">
        <v>12</v>
      </c>
      <c r="G691" s="50" t="s">
        <v>34</v>
      </c>
      <c r="H691" s="49">
        <v>6</v>
      </c>
      <c r="I691" s="50" t="s">
        <v>162</v>
      </c>
      <c r="J691" s="51">
        <v>33800</v>
      </c>
      <c r="K691" s="47" t="s">
        <v>162</v>
      </c>
      <c r="L691" s="52">
        <v>0.125</v>
      </c>
      <c r="M691" s="52">
        <v>0.05</v>
      </c>
      <c r="N691" s="49">
        <v>12</v>
      </c>
      <c r="O691" s="50" t="s">
        <v>162</v>
      </c>
      <c r="P691" s="46">
        <f t="shared" si="166"/>
        <v>60</v>
      </c>
      <c r="Q691" s="50" t="s">
        <v>162</v>
      </c>
      <c r="R691" s="51">
        <f t="shared" si="167"/>
        <v>1685775</v>
      </c>
      <c r="S691" s="32">
        <f t="shared" si="160"/>
        <v>1518716.2162162161</v>
      </c>
    </row>
    <row r="692" spans="1:19" s="45" customFormat="1">
      <c r="A692" s="44"/>
      <c r="C692" s="46"/>
      <c r="D692" s="47"/>
      <c r="E692" s="48"/>
      <c r="F692" s="49"/>
      <c r="G692" s="50"/>
      <c r="H692" s="49"/>
      <c r="I692" s="50"/>
      <c r="J692" s="51"/>
      <c r="K692" s="47"/>
      <c r="L692" s="52"/>
      <c r="M692" s="52"/>
      <c r="N692" s="49"/>
      <c r="O692" s="50"/>
      <c r="P692" s="46"/>
      <c r="Q692" s="50"/>
      <c r="R692" s="51"/>
      <c r="S692" s="32"/>
    </row>
    <row r="693" spans="1:19" s="45" customFormat="1">
      <c r="A693" s="44" t="s">
        <v>537</v>
      </c>
      <c r="B693" s="45" t="s">
        <v>26</v>
      </c>
      <c r="C693" s="46">
        <v>48</v>
      </c>
      <c r="D693" s="47" t="s">
        <v>43</v>
      </c>
      <c r="E693" s="48">
        <f>3+1+4+2+2</f>
        <v>12</v>
      </c>
      <c r="F693" s="49">
        <v>24</v>
      </c>
      <c r="G693" s="50" t="s">
        <v>34</v>
      </c>
      <c r="H693" s="49">
        <v>2</v>
      </c>
      <c r="I693" s="50" t="s">
        <v>43</v>
      </c>
      <c r="J693" s="51">
        <f>3801600/24/2</f>
        <v>79200</v>
      </c>
      <c r="K693" s="47" t="s">
        <v>43</v>
      </c>
      <c r="L693" s="52"/>
      <c r="M693" s="52">
        <v>0.17</v>
      </c>
      <c r="N693" s="49">
        <f>96+48+42+48+48+6+48+48+1+45+(576/12)+(576/12)+3</f>
        <v>529</v>
      </c>
      <c r="O693" s="50" t="s">
        <v>43</v>
      </c>
      <c r="P693" s="46">
        <f t="shared" si="166"/>
        <v>95</v>
      </c>
      <c r="Q693" s="50" t="s">
        <v>43</v>
      </c>
      <c r="R693" s="51">
        <f t="shared" si="167"/>
        <v>6244920</v>
      </c>
      <c r="S693" s="51">
        <f t="shared" si="160"/>
        <v>5626054.0540540535</v>
      </c>
    </row>
    <row r="694" spans="1:19" s="45" customFormat="1">
      <c r="A694" s="44" t="s">
        <v>538</v>
      </c>
      <c r="B694" s="45" t="s">
        <v>26</v>
      </c>
      <c r="C694" s="46">
        <v>85</v>
      </c>
      <c r="D694" s="47" t="s">
        <v>43</v>
      </c>
      <c r="E694" s="48">
        <f>6+8+1+4+8+4+3+10+4+5</f>
        <v>53</v>
      </c>
      <c r="F694" s="49">
        <v>1</v>
      </c>
      <c r="G694" s="50" t="s">
        <v>21</v>
      </c>
      <c r="H694" s="49">
        <v>24</v>
      </c>
      <c r="I694" s="50" t="s">
        <v>43</v>
      </c>
      <c r="J694" s="51">
        <f>2980800/24</f>
        <v>124200</v>
      </c>
      <c r="K694" s="47" t="s">
        <v>43</v>
      </c>
      <c r="L694" s="52"/>
      <c r="M694" s="52">
        <v>0.17</v>
      </c>
      <c r="N694" s="49">
        <f>48+120+24+3+15+24+6+3+48+48+24+24+24+24+24+24+24+24+24+48+120+24+48+1+5+48+120+24+24+5+16+24+24+72+72+24+24+10</f>
        <v>1288</v>
      </c>
      <c r="O694" s="50" t="s">
        <v>43</v>
      </c>
      <c r="P694" s="46">
        <f t="shared" si="166"/>
        <v>69</v>
      </c>
      <c r="Q694" s="50" t="s">
        <v>43</v>
      </c>
      <c r="R694" s="51">
        <f t="shared" si="167"/>
        <v>7112934</v>
      </c>
      <c r="S694" s="51">
        <f t="shared" si="160"/>
        <v>6408048.6486486485</v>
      </c>
    </row>
    <row r="695" spans="1:19" s="26" customFormat="1">
      <c r="A695" s="25" t="s">
        <v>539</v>
      </c>
      <c r="B695" s="26" t="s">
        <v>26</v>
      </c>
      <c r="C695" s="27"/>
      <c r="D695" s="28" t="s">
        <v>43</v>
      </c>
      <c r="E695" s="29">
        <f>1+2+2</f>
        <v>5</v>
      </c>
      <c r="F695" s="30">
        <v>1</v>
      </c>
      <c r="G695" s="31" t="s">
        <v>21</v>
      </c>
      <c r="H695" s="30">
        <v>12</v>
      </c>
      <c r="I695" s="31" t="s">
        <v>43</v>
      </c>
      <c r="J695" s="32">
        <f>2980800/12</f>
        <v>248400</v>
      </c>
      <c r="K695" s="28" t="s">
        <v>43</v>
      </c>
      <c r="L695" s="33"/>
      <c r="M695" s="33">
        <v>0.17</v>
      </c>
      <c r="N695" s="30">
        <f>2+10+(144/12)+1+24+(72/12)</f>
        <v>55</v>
      </c>
      <c r="O695" s="31" t="s">
        <v>43</v>
      </c>
      <c r="P695" s="27">
        <f t="shared" si="166"/>
        <v>5</v>
      </c>
      <c r="Q695" s="31" t="s">
        <v>43</v>
      </c>
      <c r="R695" s="32">
        <f t="shared" si="167"/>
        <v>1030860</v>
      </c>
      <c r="S695" s="32">
        <f t="shared" si="160"/>
        <v>928702.70270270261</v>
      </c>
    </row>
    <row r="696" spans="1:19" s="26" customFormat="1">
      <c r="A696" s="25" t="s">
        <v>754</v>
      </c>
      <c r="B696" s="26" t="s">
        <v>26</v>
      </c>
      <c r="C696" s="27">
        <v>84</v>
      </c>
      <c r="D696" s="28" t="s">
        <v>162</v>
      </c>
      <c r="E696" s="29"/>
      <c r="F696" s="30">
        <v>20</v>
      </c>
      <c r="G696" s="31" t="s">
        <v>34</v>
      </c>
      <c r="H696" s="30">
        <v>4</v>
      </c>
      <c r="I696" s="31" t="s">
        <v>162</v>
      </c>
      <c r="J696" s="32">
        <f>2640000/20/4</f>
        <v>33000</v>
      </c>
      <c r="K696" s="28" t="s">
        <v>162</v>
      </c>
      <c r="L696" s="33"/>
      <c r="M696" s="33">
        <v>0.17</v>
      </c>
      <c r="N696" s="30">
        <f>(1*12)+(0.5*12)+(2*12)+(1*12)</f>
        <v>54</v>
      </c>
      <c r="O696" s="31" t="s">
        <v>162</v>
      </c>
      <c r="P696" s="27">
        <f>(C696+(E696*F696*H696))-N696</f>
        <v>30</v>
      </c>
      <c r="Q696" s="31" t="s">
        <v>162</v>
      </c>
      <c r="R696" s="32">
        <f>P696*(J696-(J696*L696)-((J696-(J696*L696))*M696))</f>
        <v>821700</v>
      </c>
      <c r="S696" s="32">
        <f>R696/1.11</f>
        <v>740270.27027027018</v>
      </c>
    </row>
    <row r="697" spans="1:19" s="26" customFormat="1">
      <c r="A697" s="25" t="s">
        <v>540</v>
      </c>
      <c r="B697" s="26" t="s">
        <v>26</v>
      </c>
      <c r="C697" s="27">
        <v>85</v>
      </c>
      <c r="D697" s="28" t="s">
        <v>43</v>
      </c>
      <c r="E697" s="29"/>
      <c r="F697" s="30">
        <v>1</v>
      </c>
      <c r="G697" s="31" t="s">
        <v>21</v>
      </c>
      <c r="H697" s="30">
        <v>24</v>
      </c>
      <c r="I697" s="31" t="s">
        <v>43</v>
      </c>
      <c r="J697" s="32">
        <f>2448000/24</f>
        <v>102000</v>
      </c>
      <c r="K697" s="28" t="s">
        <v>43</v>
      </c>
      <c r="L697" s="33"/>
      <c r="M697" s="33">
        <v>0.17</v>
      </c>
      <c r="N697" s="30"/>
      <c r="O697" s="31" t="s">
        <v>43</v>
      </c>
      <c r="P697" s="27">
        <f t="shared" si="166"/>
        <v>85</v>
      </c>
      <c r="Q697" s="31" t="s">
        <v>43</v>
      </c>
      <c r="R697" s="32">
        <f t="shared" si="167"/>
        <v>7196100</v>
      </c>
      <c r="S697" s="32">
        <f t="shared" si="160"/>
        <v>6482972.9729729723</v>
      </c>
    </row>
    <row r="698" spans="1:19" s="17" customFormat="1">
      <c r="A698" s="16" t="s">
        <v>541</v>
      </c>
      <c r="B698" s="17" t="s">
        <v>26</v>
      </c>
      <c r="C698" s="18"/>
      <c r="D698" s="19" t="s">
        <v>43</v>
      </c>
      <c r="E698" s="20"/>
      <c r="F698" s="21">
        <v>1</v>
      </c>
      <c r="G698" s="22" t="s">
        <v>21</v>
      </c>
      <c r="H698" s="21">
        <v>16</v>
      </c>
      <c r="I698" s="22" t="s">
        <v>43</v>
      </c>
      <c r="J698" s="23">
        <f>1824000/16</f>
        <v>114000</v>
      </c>
      <c r="K698" s="19" t="s">
        <v>43</v>
      </c>
      <c r="L698" s="24"/>
      <c r="M698" s="24">
        <v>0.17</v>
      </c>
      <c r="N698" s="21"/>
      <c r="O698" s="22" t="s">
        <v>43</v>
      </c>
      <c r="P698" s="18">
        <f t="shared" si="166"/>
        <v>0</v>
      </c>
      <c r="Q698" s="22" t="s">
        <v>43</v>
      </c>
      <c r="R698" s="23">
        <f t="shared" si="167"/>
        <v>0</v>
      </c>
      <c r="S698" s="23">
        <f t="shared" si="160"/>
        <v>0</v>
      </c>
    </row>
    <row r="699" spans="1:19" s="17" customFormat="1">
      <c r="A699" s="16" t="s">
        <v>758</v>
      </c>
      <c r="B699" s="17" t="s">
        <v>26</v>
      </c>
      <c r="C699" s="18">
        <f>60+12</f>
        <v>72</v>
      </c>
      <c r="D699" s="19" t="s">
        <v>162</v>
      </c>
      <c r="E699" s="20"/>
      <c r="F699" s="21">
        <v>24</v>
      </c>
      <c r="G699" s="22" t="s">
        <v>34</v>
      </c>
      <c r="H699" s="21">
        <v>6</v>
      </c>
      <c r="I699" s="22" t="s">
        <v>162</v>
      </c>
      <c r="J699" s="23">
        <f>2448000/24/6</f>
        <v>17000</v>
      </c>
      <c r="K699" s="19" t="s">
        <v>162</v>
      </c>
      <c r="L699" s="24"/>
      <c r="M699" s="24">
        <v>0.17</v>
      </c>
      <c r="N699" s="21">
        <f>(3*12)+(3*12)</f>
        <v>72</v>
      </c>
      <c r="O699" s="22" t="s">
        <v>162</v>
      </c>
      <c r="P699" s="18">
        <f t="shared" si="166"/>
        <v>0</v>
      </c>
      <c r="Q699" s="22" t="s">
        <v>162</v>
      </c>
      <c r="R699" s="23">
        <f t="shared" si="167"/>
        <v>0</v>
      </c>
      <c r="S699" s="23">
        <f t="shared" si="160"/>
        <v>0</v>
      </c>
    </row>
    <row r="700" spans="1:19" s="17" customFormat="1">
      <c r="A700" s="16" t="s">
        <v>542</v>
      </c>
      <c r="B700" s="17" t="s">
        <v>26</v>
      </c>
      <c r="C700" s="18"/>
      <c r="D700" s="19" t="s">
        <v>162</v>
      </c>
      <c r="E700" s="20"/>
      <c r="F700" s="21">
        <v>10</v>
      </c>
      <c r="G700" s="22" t="s">
        <v>43</v>
      </c>
      <c r="H700" s="21">
        <v>12</v>
      </c>
      <c r="I700" s="22" t="s">
        <v>162</v>
      </c>
      <c r="J700" s="23">
        <f>2040000/10/12</f>
        <v>17000</v>
      </c>
      <c r="K700" s="19" t="s">
        <v>162</v>
      </c>
      <c r="L700" s="24"/>
      <c r="M700" s="24">
        <v>0.17</v>
      </c>
      <c r="N700" s="21"/>
      <c r="O700" s="22" t="s">
        <v>162</v>
      </c>
      <c r="P700" s="18">
        <f t="shared" si="166"/>
        <v>0</v>
      </c>
      <c r="Q700" s="22" t="s">
        <v>162</v>
      </c>
      <c r="R700" s="23">
        <f t="shared" si="167"/>
        <v>0</v>
      </c>
      <c r="S700" s="23">
        <f t="shared" si="160"/>
        <v>0</v>
      </c>
    </row>
    <row r="701" spans="1:19" s="17" customFormat="1">
      <c r="A701" s="16" t="s">
        <v>543</v>
      </c>
      <c r="B701" s="17" t="s">
        <v>26</v>
      </c>
      <c r="C701" s="18"/>
      <c r="D701" s="19" t="s">
        <v>162</v>
      </c>
      <c r="E701" s="20"/>
      <c r="F701" s="21">
        <v>10</v>
      </c>
      <c r="G701" s="22" t="s">
        <v>34</v>
      </c>
      <c r="H701" s="21">
        <v>6</v>
      </c>
      <c r="I701" s="22" t="s">
        <v>162</v>
      </c>
      <c r="J701" s="23">
        <f>2040000/10/6</f>
        <v>34000</v>
      </c>
      <c r="K701" s="19" t="s">
        <v>162</v>
      </c>
      <c r="L701" s="24"/>
      <c r="M701" s="24">
        <v>0.17</v>
      </c>
      <c r="N701" s="21"/>
      <c r="O701" s="22" t="s">
        <v>162</v>
      </c>
      <c r="P701" s="18">
        <f t="shared" si="166"/>
        <v>0</v>
      </c>
      <c r="Q701" s="22" t="s">
        <v>162</v>
      </c>
      <c r="R701" s="23">
        <f t="shared" si="167"/>
        <v>0</v>
      </c>
      <c r="S701" s="23">
        <f t="shared" si="160"/>
        <v>0</v>
      </c>
    </row>
    <row r="702" spans="1:19" s="63" customFormat="1">
      <c r="A702" s="72" t="s">
        <v>545</v>
      </c>
      <c r="B702" s="63" t="s">
        <v>26</v>
      </c>
      <c r="C702" s="64"/>
      <c r="D702" s="65" t="s">
        <v>162</v>
      </c>
      <c r="E702" s="66">
        <v>1</v>
      </c>
      <c r="F702" s="67">
        <v>24</v>
      </c>
      <c r="G702" s="68" t="s">
        <v>43</v>
      </c>
      <c r="H702" s="67">
        <v>12</v>
      </c>
      <c r="I702" s="68" t="s">
        <v>162</v>
      </c>
      <c r="J702" s="69">
        <f>3571200/24/12</f>
        <v>12400</v>
      </c>
      <c r="K702" s="65" t="s">
        <v>162</v>
      </c>
      <c r="L702" s="70"/>
      <c r="M702" s="70">
        <v>0.17</v>
      </c>
      <c r="N702" s="67">
        <f>(24*12)</f>
        <v>288</v>
      </c>
      <c r="O702" s="68" t="s">
        <v>162</v>
      </c>
      <c r="P702" s="64">
        <f t="shared" si="166"/>
        <v>0</v>
      </c>
      <c r="Q702" s="68" t="s">
        <v>162</v>
      </c>
      <c r="R702" s="69">
        <f t="shared" si="167"/>
        <v>0</v>
      </c>
      <c r="S702" s="23">
        <f t="shared" si="160"/>
        <v>0</v>
      </c>
    </row>
    <row r="703" spans="1:19" s="63" customFormat="1">
      <c r="A703" s="72" t="s">
        <v>546</v>
      </c>
      <c r="B703" s="63" t="s">
        <v>26</v>
      </c>
      <c r="C703" s="64"/>
      <c r="D703" s="65" t="s">
        <v>162</v>
      </c>
      <c r="E703" s="66"/>
      <c r="F703" s="67">
        <v>16</v>
      </c>
      <c r="G703" s="68" t="s">
        <v>43</v>
      </c>
      <c r="H703" s="67">
        <v>12</v>
      </c>
      <c r="I703" s="68" t="s">
        <v>162</v>
      </c>
      <c r="J703" s="69">
        <f>3648000/16/12</f>
        <v>19000</v>
      </c>
      <c r="K703" s="65" t="s">
        <v>162</v>
      </c>
      <c r="L703" s="70"/>
      <c r="M703" s="70">
        <v>0.17</v>
      </c>
      <c r="N703" s="67"/>
      <c r="O703" s="68" t="s">
        <v>162</v>
      </c>
      <c r="P703" s="64">
        <f t="shared" si="166"/>
        <v>0</v>
      </c>
      <c r="Q703" s="68" t="s">
        <v>162</v>
      </c>
      <c r="R703" s="69">
        <f t="shared" si="167"/>
        <v>0</v>
      </c>
      <c r="S703" s="23">
        <f t="shared" si="160"/>
        <v>0</v>
      </c>
    </row>
    <row r="704" spans="1:19" s="17" customFormat="1">
      <c r="A704" s="16" t="s">
        <v>547</v>
      </c>
      <c r="B704" s="17" t="s">
        <v>26</v>
      </c>
      <c r="C704" s="18"/>
      <c r="D704" s="19" t="s">
        <v>162</v>
      </c>
      <c r="E704" s="20"/>
      <c r="F704" s="21">
        <v>24</v>
      </c>
      <c r="G704" s="22" t="s">
        <v>34</v>
      </c>
      <c r="H704" s="21">
        <v>6</v>
      </c>
      <c r="I704" s="22" t="s">
        <v>162</v>
      </c>
      <c r="J704" s="23">
        <v>22000</v>
      </c>
      <c r="K704" s="19" t="s">
        <v>162</v>
      </c>
      <c r="L704" s="24"/>
      <c r="M704" s="24">
        <v>0.17</v>
      </c>
      <c r="N704" s="21"/>
      <c r="O704" s="22" t="s">
        <v>162</v>
      </c>
      <c r="P704" s="18">
        <f t="shared" si="166"/>
        <v>0</v>
      </c>
      <c r="Q704" s="22" t="s">
        <v>162</v>
      </c>
      <c r="R704" s="23">
        <f t="shared" si="167"/>
        <v>0</v>
      </c>
      <c r="S704" s="23">
        <f t="shared" si="160"/>
        <v>0</v>
      </c>
    </row>
    <row r="705" spans="1:19">
      <c r="S705" s="23"/>
    </row>
    <row r="706" spans="1:19" ht="15.75">
      <c r="A706" s="14" t="s">
        <v>548</v>
      </c>
      <c r="S706" s="23"/>
    </row>
    <row r="707" spans="1:19" s="26" customFormat="1">
      <c r="A707" s="25" t="s">
        <v>549</v>
      </c>
      <c r="B707" s="26" t="s">
        <v>19</v>
      </c>
      <c r="C707" s="27">
        <v>84</v>
      </c>
      <c r="D707" s="28" t="s">
        <v>20</v>
      </c>
      <c r="E707" s="29"/>
      <c r="F707" s="30">
        <v>12</v>
      </c>
      <c r="G707" s="31" t="s">
        <v>34</v>
      </c>
      <c r="H707" s="30">
        <v>24</v>
      </c>
      <c r="I707" s="31" t="s">
        <v>20</v>
      </c>
      <c r="J707" s="32">
        <v>3550</v>
      </c>
      <c r="K707" s="28" t="s">
        <v>20</v>
      </c>
      <c r="L707" s="33">
        <v>0.125</v>
      </c>
      <c r="M707" s="33">
        <v>0.05</v>
      </c>
      <c r="N707" s="30">
        <v>12</v>
      </c>
      <c r="O707" s="31" t="s">
        <v>20</v>
      </c>
      <c r="P707" s="27">
        <f t="shared" ref="P707:P708" si="168">(C707+(E707*F707*H707))-N707</f>
        <v>72</v>
      </c>
      <c r="Q707" s="31" t="s">
        <v>20</v>
      </c>
      <c r="R707" s="32">
        <f t="shared" ref="R707:R708" si="169">P707*(J707-(J707*L707)-((J707-(J707*L707))*M707))</f>
        <v>212467.5</v>
      </c>
      <c r="S707" s="32">
        <f t="shared" si="160"/>
        <v>191412.16216216216</v>
      </c>
    </row>
    <row r="708" spans="1:19" s="26" customFormat="1">
      <c r="A708" s="25" t="s">
        <v>550</v>
      </c>
      <c r="B708" s="26" t="s">
        <v>19</v>
      </c>
      <c r="C708" s="27">
        <v>276</v>
      </c>
      <c r="D708" s="28" t="s">
        <v>20</v>
      </c>
      <c r="E708" s="29"/>
      <c r="F708" s="30">
        <v>1</v>
      </c>
      <c r="G708" s="31" t="s">
        <v>21</v>
      </c>
      <c r="H708" s="30">
        <v>288</v>
      </c>
      <c r="I708" s="31" t="s">
        <v>20</v>
      </c>
      <c r="J708" s="32">
        <v>3550</v>
      </c>
      <c r="K708" s="28" t="s">
        <v>20</v>
      </c>
      <c r="L708" s="33">
        <v>0.125</v>
      </c>
      <c r="M708" s="33">
        <v>0.05</v>
      </c>
      <c r="N708" s="30"/>
      <c r="O708" s="31" t="s">
        <v>20</v>
      </c>
      <c r="P708" s="27">
        <f t="shared" si="168"/>
        <v>276</v>
      </c>
      <c r="Q708" s="31" t="s">
        <v>20</v>
      </c>
      <c r="R708" s="32">
        <f t="shared" si="169"/>
        <v>814458.75</v>
      </c>
      <c r="S708" s="32">
        <f t="shared" si="160"/>
        <v>733746.62162162154</v>
      </c>
    </row>
    <row r="709" spans="1:19" s="45" customFormat="1">
      <c r="A709" s="44" t="s">
        <v>551</v>
      </c>
      <c r="B709" s="45" t="s">
        <v>19</v>
      </c>
      <c r="C709" s="46">
        <v>1368</v>
      </c>
      <c r="D709" s="47" t="s">
        <v>20</v>
      </c>
      <c r="E709" s="48">
        <f>1+(2+1+0.5+0.5+0.5+0.5)+(1+1+0.5+0.5+0.5+0.5+1)+(1.5+1.5+1.5+1.5)</f>
        <v>17</v>
      </c>
      <c r="F709" s="49">
        <v>1</v>
      </c>
      <c r="G709" s="50" t="s">
        <v>21</v>
      </c>
      <c r="H709" s="49">
        <v>288</v>
      </c>
      <c r="I709" s="50" t="s">
        <v>20</v>
      </c>
      <c r="J709" s="51">
        <v>4800</v>
      </c>
      <c r="K709" s="47" t="s">
        <v>20</v>
      </c>
      <c r="L709" s="52">
        <v>0.125</v>
      </c>
      <c r="M709" s="52">
        <v>0.05</v>
      </c>
      <c r="N709" s="49">
        <f>(24*12)+(24*12)+(24*12)+(10*12)+(120*12)+(24*12)+(48*12)+(48*12)</f>
        <v>3864</v>
      </c>
      <c r="O709" s="50" t="s">
        <v>20</v>
      </c>
      <c r="P709" s="46">
        <f>(C709+(E709*F709*H709))-N709</f>
        <v>2400</v>
      </c>
      <c r="Q709" s="50" t="s">
        <v>20</v>
      </c>
      <c r="R709" s="51">
        <f>P709*(J709-(J709*L709)-((J709-(J709*L709))*M709))</f>
        <v>9576000</v>
      </c>
      <c r="S709" s="51">
        <f t="shared" si="160"/>
        <v>8627027.0270270258</v>
      </c>
    </row>
    <row r="710" spans="1:19" s="45" customFormat="1">
      <c r="A710" s="44"/>
      <c r="C710" s="46"/>
      <c r="D710" s="47"/>
      <c r="E710" s="48"/>
      <c r="F710" s="49"/>
      <c r="G710" s="50"/>
      <c r="H710" s="49"/>
      <c r="I710" s="50"/>
      <c r="J710" s="51"/>
      <c r="K710" s="47"/>
      <c r="L710" s="52"/>
      <c r="M710" s="52"/>
      <c r="N710" s="49"/>
      <c r="O710" s="50"/>
      <c r="P710" s="46"/>
      <c r="Q710" s="50"/>
      <c r="R710" s="51"/>
      <c r="S710" s="51"/>
    </row>
    <row r="711" spans="1:19" s="45" customFormat="1">
      <c r="A711" s="35" t="s">
        <v>552</v>
      </c>
      <c r="B711" s="36" t="s">
        <v>26</v>
      </c>
      <c r="C711" s="37">
        <v>96</v>
      </c>
      <c r="D711" s="38" t="s">
        <v>43</v>
      </c>
      <c r="E711" s="39"/>
      <c r="F711" s="40">
        <v>1</v>
      </c>
      <c r="G711" s="41" t="s">
        <v>21</v>
      </c>
      <c r="H711" s="40">
        <v>24</v>
      </c>
      <c r="I711" s="41" t="s">
        <v>43</v>
      </c>
      <c r="J711" s="42">
        <f>1440000/24</f>
        <v>60000</v>
      </c>
      <c r="K711" s="38" t="s">
        <v>43</v>
      </c>
      <c r="L711" s="43"/>
      <c r="M711" s="43">
        <v>0.17</v>
      </c>
      <c r="N711" s="40">
        <f>6+24</f>
        <v>30</v>
      </c>
      <c r="O711" s="41" t="s">
        <v>43</v>
      </c>
      <c r="P711" s="37">
        <f>(C711+(E711*F711*H711))-N711</f>
        <v>66</v>
      </c>
      <c r="Q711" s="41" t="s">
        <v>43</v>
      </c>
      <c r="R711" s="42">
        <f>P711*(J711-(J711*L711)-((J711-(J711*L711))*M711))</f>
        <v>3286800</v>
      </c>
      <c r="S711" s="42">
        <f t="shared" si="160"/>
        <v>2961081.0810810807</v>
      </c>
    </row>
    <row r="712" spans="1:19" s="45" customFormat="1">
      <c r="A712" s="35" t="s">
        <v>552</v>
      </c>
      <c r="B712" s="36" t="s">
        <v>26</v>
      </c>
      <c r="C712" s="37"/>
      <c r="D712" s="38" t="s">
        <v>43</v>
      </c>
      <c r="E712" s="39">
        <f>1</f>
        <v>1</v>
      </c>
      <c r="F712" s="40">
        <v>1</v>
      </c>
      <c r="G712" s="41" t="s">
        <v>21</v>
      </c>
      <c r="H712" s="40">
        <v>24</v>
      </c>
      <c r="I712" s="41" t="s">
        <v>43</v>
      </c>
      <c r="J712" s="42">
        <f>1497600/24</f>
        <v>62400</v>
      </c>
      <c r="K712" s="38" t="s">
        <v>43</v>
      </c>
      <c r="L712" s="43"/>
      <c r="M712" s="43">
        <v>0.17</v>
      </c>
      <c r="N712" s="40"/>
      <c r="O712" s="41" t="s">
        <v>43</v>
      </c>
      <c r="P712" s="37">
        <f>(C712+(E712*F712*H712))-N712</f>
        <v>24</v>
      </c>
      <c r="Q712" s="41" t="s">
        <v>43</v>
      </c>
      <c r="R712" s="42">
        <f>P712*(J712-(J712*L712)-((J712-(J712*L712))*M712))</f>
        <v>1243008</v>
      </c>
      <c r="S712" s="42">
        <f t="shared" ref="S712" si="170">R712/1.11</f>
        <v>1119827.027027027</v>
      </c>
    </row>
    <row r="713" spans="1:19" s="45" customFormat="1">
      <c r="A713" s="44"/>
      <c r="C713" s="46"/>
      <c r="D713" s="47"/>
      <c r="E713" s="48"/>
      <c r="F713" s="49"/>
      <c r="G713" s="50"/>
      <c r="H713" s="49"/>
      <c r="I713" s="50"/>
      <c r="J713" s="51"/>
      <c r="K713" s="47"/>
      <c r="L713" s="52"/>
      <c r="M713" s="52"/>
      <c r="N713" s="49"/>
      <c r="O713" s="50"/>
      <c r="P713" s="46"/>
      <c r="Q713" s="50"/>
      <c r="R713" s="51"/>
      <c r="S713" s="32"/>
    </row>
    <row r="714" spans="1:19" s="26" customFormat="1">
      <c r="A714" s="108" t="s">
        <v>553</v>
      </c>
      <c r="B714" s="26" t="s">
        <v>182</v>
      </c>
      <c r="C714" s="27">
        <v>1062</v>
      </c>
      <c r="D714" s="28" t="s">
        <v>20</v>
      </c>
      <c r="E714" s="29"/>
      <c r="F714" s="30">
        <v>1</v>
      </c>
      <c r="G714" s="31" t="s">
        <v>21</v>
      </c>
      <c r="H714" s="30">
        <v>120</v>
      </c>
      <c r="I714" s="31" t="s">
        <v>20</v>
      </c>
      <c r="J714" s="32">
        <v>11500</v>
      </c>
      <c r="K714" s="28" t="s">
        <v>20</v>
      </c>
      <c r="L714" s="33"/>
      <c r="M714" s="33"/>
      <c r="N714" s="30"/>
      <c r="O714" s="31" t="s">
        <v>20</v>
      </c>
      <c r="P714" s="27">
        <f t="shared" ref="P714:P719" si="171">(C714+(E714*F714*H714))-N714</f>
        <v>1062</v>
      </c>
      <c r="Q714" s="31" t="s">
        <v>20</v>
      </c>
      <c r="R714" s="32">
        <f t="shared" ref="R714:R719" si="172">P714*(J714-(J714*L714)-((J714-(J714*L714))*M714))</f>
        <v>12213000</v>
      </c>
      <c r="S714" s="32">
        <f t="shared" si="160"/>
        <v>11002702.702702701</v>
      </c>
    </row>
    <row r="715" spans="1:19" s="26" customFormat="1">
      <c r="A715" s="108" t="s">
        <v>822</v>
      </c>
      <c r="B715" s="26" t="s">
        <v>182</v>
      </c>
      <c r="C715" s="27">
        <v>300</v>
      </c>
      <c r="D715" s="28" t="s">
        <v>20</v>
      </c>
      <c r="E715" s="29">
        <v>8</v>
      </c>
      <c r="F715" s="30">
        <v>1</v>
      </c>
      <c r="G715" s="31" t="s">
        <v>21</v>
      </c>
      <c r="H715" s="30">
        <v>100</v>
      </c>
      <c r="I715" s="31" t="s">
        <v>20</v>
      </c>
      <c r="J715" s="32">
        <v>13500</v>
      </c>
      <c r="K715" s="28" t="s">
        <v>20</v>
      </c>
      <c r="L715" s="33">
        <v>0.05</v>
      </c>
      <c r="M715" s="33"/>
      <c r="N715" s="30">
        <f>12+96+12+12+24+100+100+(3*12)+(5*12)+12+12+100</f>
        <v>576</v>
      </c>
      <c r="O715" s="31" t="s">
        <v>20</v>
      </c>
      <c r="P715" s="27">
        <f t="shared" si="171"/>
        <v>524</v>
      </c>
      <c r="Q715" s="31" t="s">
        <v>20</v>
      </c>
      <c r="R715" s="32">
        <f t="shared" si="172"/>
        <v>6720300</v>
      </c>
      <c r="S715" s="32">
        <f t="shared" si="160"/>
        <v>6054324.3243243238</v>
      </c>
    </row>
    <row r="716" spans="1:19" s="26" customFormat="1">
      <c r="A716" s="108" t="s">
        <v>554</v>
      </c>
      <c r="B716" s="26" t="s">
        <v>182</v>
      </c>
      <c r="C716" s="27">
        <v>486</v>
      </c>
      <c r="D716" s="28" t="s">
        <v>20</v>
      </c>
      <c r="E716" s="29"/>
      <c r="F716" s="30">
        <v>1</v>
      </c>
      <c r="G716" s="31" t="s">
        <v>21</v>
      </c>
      <c r="H716" s="30">
        <v>96</v>
      </c>
      <c r="I716" s="31" t="s">
        <v>20</v>
      </c>
      <c r="J716" s="32">
        <v>21000</v>
      </c>
      <c r="K716" s="28" t="s">
        <v>20</v>
      </c>
      <c r="L716" s="33"/>
      <c r="M716" s="33"/>
      <c r="N716" s="30"/>
      <c r="O716" s="31" t="s">
        <v>20</v>
      </c>
      <c r="P716" s="27">
        <f t="shared" si="171"/>
        <v>486</v>
      </c>
      <c r="Q716" s="31" t="s">
        <v>20</v>
      </c>
      <c r="R716" s="32">
        <f t="shared" si="172"/>
        <v>10206000</v>
      </c>
      <c r="S716" s="32">
        <f t="shared" si="160"/>
        <v>9194594.5945945941</v>
      </c>
    </row>
    <row r="717" spans="1:19" s="17" customFormat="1">
      <c r="A717" s="109" t="s">
        <v>765</v>
      </c>
      <c r="B717" s="17" t="s">
        <v>182</v>
      </c>
      <c r="C717" s="18"/>
      <c r="D717" s="19" t="s">
        <v>20</v>
      </c>
      <c r="E717" s="20"/>
      <c r="F717" s="21">
        <v>1</v>
      </c>
      <c r="G717" s="22" t="s">
        <v>21</v>
      </c>
      <c r="H717" s="21">
        <v>144</v>
      </c>
      <c r="I717" s="22" t="s">
        <v>20</v>
      </c>
      <c r="J717" s="23">
        <v>8750</v>
      </c>
      <c r="K717" s="19" t="s">
        <v>20</v>
      </c>
      <c r="L717" s="24"/>
      <c r="M717" s="24"/>
      <c r="N717" s="21"/>
      <c r="O717" s="22" t="s">
        <v>20</v>
      </c>
      <c r="P717" s="18">
        <f t="shared" si="171"/>
        <v>0</v>
      </c>
      <c r="Q717" s="22" t="s">
        <v>20</v>
      </c>
      <c r="R717" s="23">
        <f t="shared" si="172"/>
        <v>0</v>
      </c>
      <c r="S717" s="23">
        <f t="shared" si="160"/>
        <v>0</v>
      </c>
    </row>
    <row r="718" spans="1:19" s="26" customFormat="1">
      <c r="A718" s="108" t="s">
        <v>766</v>
      </c>
      <c r="B718" s="26" t="s">
        <v>182</v>
      </c>
      <c r="C718" s="27">
        <v>24</v>
      </c>
      <c r="D718" s="28" t="s">
        <v>20</v>
      </c>
      <c r="E718" s="29"/>
      <c r="F718" s="30">
        <v>1</v>
      </c>
      <c r="G718" s="31" t="s">
        <v>21</v>
      </c>
      <c r="H718" s="30">
        <v>144</v>
      </c>
      <c r="I718" s="31" t="s">
        <v>20</v>
      </c>
      <c r="J718" s="32">
        <v>8750</v>
      </c>
      <c r="K718" s="28" t="s">
        <v>20</v>
      </c>
      <c r="L718" s="33"/>
      <c r="M718" s="33"/>
      <c r="N718" s="30"/>
      <c r="O718" s="31" t="s">
        <v>20</v>
      </c>
      <c r="P718" s="27">
        <f t="shared" si="171"/>
        <v>24</v>
      </c>
      <c r="Q718" s="31" t="s">
        <v>20</v>
      </c>
      <c r="R718" s="32">
        <f t="shared" si="172"/>
        <v>210000</v>
      </c>
      <c r="S718" s="32">
        <f t="shared" si="160"/>
        <v>189189.18918918917</v>
      </c>
    </row>
    <row r="719" spans="1:19" s="26" customFormat="1">
      <c r="A719" s="108" t="s">
        <v>767</v>
      </c>
      <c r="B719" s="26" t="s">
        <v>182</v>
      </c>
      <c r="C719" s="27">
        <v>40</v>
      </c>
      <c r="D719" s="28" t="s">
        <v>20</v>
      </c>
      <c r="E719" s="29"/>
      <c r="F719" s="30">
        <v>1</v>
      </c>
      <c r="G719" s="31" t="s">
        <v>21</v>
      </c>
      <c r="H719" s="30">
        <v>160</v>
      </c>
      <c r="I719" s="31" t="s">
        <v>20</v>
      </c>
      <c r="J719" s="32">
        <v>8750</v>
      </c>
      <c r="K719" s="28" t="s">
        <v>20</v>
      </c>
      <c r="L719" s="33"/>
      <c r="M719" s="33"/>
      <c r="N719" s="30"/>
      <c r="O719" s="31" t="s">
        <v>20</v>
      </c>
      <c r="P719" s="27">
        <f t="shared" si="171"/>
        <v>40</v>
      </c>
      <c r="Q719" s="31" t="s">
        <v>20</v>
      </c>
      <c r="R719" s="32">
        <f t="shared" si="172"/>
        <v>350000</v>
      </c>
      <c r="S719" s="32">
        <f t="shared" si="160"/>
        <v>315315.31531531527</v>
      </c>
    </row>
    <row r="720" spans="1:19" s="26" customFormat="1">
      <c r="A720" s="110"/>
      <c r="C720" s="27"/>
      <c r="D720" s="28"/>
      <c r="E720" s="29"/>
      <c r="F720" s="30"/>
      <c r="G720" s="31"/>
      <c r="H720" s="30"/>
      <c r="I720" s="31"/>
      <c r="J720" s="32"/>
      <c r="K720" s="28"/>
      <c r="L720" s="33"/>
      <c r="M720" s="33"/>
      <c r="N720" s="30"/>
      <c r="O720" s="31"/>
      <c r="P720" s="27"/>
      <c r="Q720" s="31"/>
      <c r="R720" s="32"/>
      <c r="S720" s="32"/>
    </row>
    <row r="721" spans="1:19" s="26" customFormat="1">
      <c r="A721" s="34" t="s">
        <v>761</v>
      </c>
      <c r="B721" s="26" t="s">
        <v>275</v>
      </c>
      <c r="C721" s="27">
        <v>2256</v>
      </c>
      <c r="D721" s="28" t="s">
        <v>20</v>
      </c>
      <c r="E721" s="244"/>
      <c r="F721" s="30">
        <v>1</v>
      </c>
      <c r="G721" s="31" t="s">
        <v>21</v>
      </c>
      <c r="H721" s="245">
        <v>480</v>
      </c>
      <c r="I721" s="31" t="s">
        <v>20</v>
      </c>
      <c r="J721" s="32">
        <v>26000</v>
      </c>
      <c r="K721" s="28" t="s">
        <v>20</v>
      </c>
      <c r="L721" s="227">
        <v>0.2</v>
      </c>
      <c r="M721" s="33"/>
      <c r="N721" s="30">
        <v>12</v>
      </c>
      <c r="O721" s="31" t="s">
        <v>20</v>
      </c>
      <c r="P721" s="27">
        <f>(C721+(E721*F721*H721))-N721</f>
        <v>2244</v>
      </c>
      <c r="Q721" s="31" t="s">
        <v>20</v>
      </c>
      <c r="R721" s="32">
        <f>P721*(J721-(J721*L721)-((J721-(J721*L721))*M721))</f>
        <v>46675200</v>
      </c>
      <c r="S721" s="32">
        <f>R721/1.11</f>
        <v>42049729.729729727</v>
      </c>
    </row>
    <row r="722" spans="1:19" s="26" customFormat="1">
      <c r="A722" s="34" t="s">
        <v>763</v>
      </c>
      <c r="B722" s="26" t="s">
        <v>275</v>
      </c>
      <c r="C722" s="27">
        <v>2304</v>
      </c>
      <c r="D722" s="28" t="s">
        <v>20</v>
      </c>
      <c r="E722" s="244"/>
      <c r="F722" s="30">
        <v>1</v>
      </c>
      <c r="G722" s="31" t="s">
        <v>21</v>
      </c>
      <c r="H722" s="245">
        <v>480</v>
      </c>
      <c r="I722" s="31" t="s">
        <v>20</v>
      </c>
      <c r="J722" s="32">
        <v>20800</v>
      </c>
      <c r="K722" s="28" t="s">
        <v>20</v>
      </c>
      <c r="L722" s="227">
        <v>0.3</v>
      </c>
      <c r="M722" s="33"/>
      <c r="N722" s="30">
        <f>12+12+12</f>
        <v>36</v>
      </c>
      <c r="O722" s="31" t="s">
        <v>20</v>
      </c>
      <c r="P722" s="27">
        <f>(C722+(E722*F722*H722))-N722</f>
        <v>2268</v>
      </c>
      <c r="Q722" s="31" t="s">
        <v>20</v>
      </c>
      <c r="R722" s="32">
        <f>P722*(J722-(J722*L722)-((J722-(J722*L722))*M722))</f>
        <v>33022080</v>
      </c>
      <c r="S722" s="32">
        <f>R722/1.11</f>
        <v>29749621.62162162</v>
      </c>
    </row>
    <row r="723" spans="1:19" s="26" customFormat="1">
      <c r="A723" s="34" t="s">
        <v>759</v>
      </c>
      <c r="B723" s="26" t="s">
        <v>275</v>
      </c>
      <c r="C723" s="27">
        <v>1992</v>
      </c>
      <c r="D723" s="28" t="s">
        <v>20</v>
      </c>
      <c r="E723" s="244"/>
      <c r="F723" s="30">
        <v>1</v>
      </c>
      <c r="G723" s="31" t="s">
        <v>21</v>
      </c>
      <c r="H723" s="245">
        <v>480</v>
      </c>
      <c r="I723" s="31" t="s">
        <v>20</v>
      </c>
      <c r="J723" s="32">
        <v>15000</v>
      </c>
      <c r="K723" s="28" t="s">
        <v>20</v>
      </c>
      <c r="L723" s="227">
        <v>0.2</v>
      </c>
      <c r="M723" s="33"/>
      <c r="N723" s="30">
        <v>12</v>
      </c>
      <c r="O723" s="31" t="s">
        <v>20</v>
      </c>
      <c r="P723" s="27">
        <f>(C723+(E723*F723*H723))-N723</f>
        <v>1980</v>
      </c>
      <c r="Q723" s="31" t="s">
        <v>20</v>
      </c>
      <c r="R723" s="32">
        <f>P723*(J723-(J723*L723)-((J723-(J723*L723))*M723))</f>
        <v>23760000</v>
      </c>
      <c r="S723" s="32">
        <f>R723/1.11</f>
        <v>21405405.405405402</v>
      </c>
    </row>
    <row r="724" spans="1:19" s="26" customFormat="1">
      <c r="A724" s="34" t="s">
        <v>762</v>
      </c>
      <c r="B724" s="26" t="s">
        <v>275</v>
      </c>
      <c r="C724" s="27">
        <v>2160</v>
      </c>
      <c r="D724" s="28" t="s">
        <v>20</v>
      </c>
      <c r="E724" s="244"/>
      <c r="F724" s="30">
        <v>1</v>
      </c>
      <c r="G724" s="31" t="s">
        <v>21</v>
      </c>
      <c r="H724" s="245">
        <v>480</v>
      </c>
      <c r="I724" s="31" t="s">
        <v>20</v>
      </c>
      <c r="J724" s="32">
        <v>29900</v>
      </c>
      <c r="K724" s="28" t="s">
        <v>20</v>
      </c>
      <c r="L724" s="227">
        <v>0.25</v>
      </c>
      <c r="M724" s="33"/>
      <c r="N724" s="30">
        <f>12+12+6</f>
        <v>30</v>
      </c>
      <c r="O724" s="31" t="s">
        <v>20</v>
      </c>
      <c r="P724" s="27">
        <f>(C724+(E724*F724*H724))-N724</f>
        <v>2130</v>
      </c>
      <c r="Q724" s="31" t="s">
        <v>20</v>
      </c>
      <c r="R724" s="32">
        <f>P724*(J724-(J724*L724)-((J724-(J724*L724))*M724))</f>
        <v>47765250</v>
      </c>
      <c r="S724" s="32">
        <f>R724/1.11</f>
        <v>43031756.756756753</v>
      </c>
    </row>
    <row r="725" spans="1:19" s="26" customFormat="1">
      <c r="A725" s="34" t="s">
        <v>760</v>
      </c>
      <c r="B725" s="26" t="s">
        <v>275</v>
      </c>
      <c r="C725" s="27">
        <v>1296</v>
      </c>
      <c r="D725" s="28" t="s">
        <v>20</v>
      </c>
      <c r="E725" s="244"/>
      <c r="F725" s="30">
        <v>1</v>
      </c>
      <c r="G725" s="31" t="s">
        <v>21</v>
      </c>
      <c r="H725" s="245">
        <v>384</v>
      </c>
      <c r="I725" s="31" t="s">
        <v>20</v>
      </c>
      <c r="J725" s="32">
        <v>16000</v>
      </c>
      <c r="K725" s="28" t="s">
        <v>20</v>
      </c>
      <c r="L725" s="227">
        <v>0.25</v>
      </c>
      <c r="M725" s="33"/>
      <c r="N725" s="30">
        <v>12</v>
      </c>
      <c r="O725" s="31" t="s">
        <v>20</v>
      </c>
      <c r="P725" s="27">
        <f>(C725+(E725*F725*H725))-N725</f>
        <v>1284</v>
      </c>
      <c r="Q725" s="31" t="s">
        <v>20</v>
      </c>
      <c r="R725" s="32">
        <f>P725*(J725-(J725*L725)-((J725-(J725*L725))*M725))</f>
        <v>15408000</v>
      </c>
      <c r="S725" s="32">
        <f>R725/1.11</f>
        <v>13881081.081081079</v>
      </c>
    </row>
    <row r="726" spans="1:19">
      <c r="S726" s="23"/>
    </row>
    <row r="727" spans="1:19" ht="15.75">
      <c r="A727" s="14" t="s">
        <v>555</v>
      </c>
      <c r="S727" s="23"/>
    </row>
    <row r="728" spans="1:19">
      <c r="A728" s="15" t="s">
        <v>556</v>
      </c>
      <c r="S728" s="23"/>
    </row>
    <row r="729" spans="1:19" s="17" customFormat="1">
      <c r="A729" s="16" t="s">
        <v>557</v>
      </c>
      <c r="B729" s="17" t="s">
        <v>19</v>
      </c>
      <c r="C729" s="18"/>
      <c r="D729" s="19" t="s">
        <v>34</v>
      </c>
      <c r="E729" s="20"/>
      <c r="F729" s="21">
        <v>1</v>
      </c>
      <c r="G729" s="22" t="s">
        <v>21</v>
      </c>
      <c r="H729" s="21">
        <v>48</v>
      </c>
      <c r="I729" s="22" t="s">
        <v>34</v>
      </c>
      <c r="J729" s="23">
        <v>31200</v>
      </c>
      <c r="K729" s="19" t="s">
        <v>34</v>
      </c>
      <c r="L729" s="24">
        <v>0.125</v>
      </c>
      <c r="M729" s="24">
        <v>0.05</v>
      </c>
      <c r="N729" s="21"/>
      <c r="O729" s="22" t="s">
        <v>34</v>
      </c>
      <c r="P729" s="18">
        <f>(C729+(E729*F729*H729))-N729</f>
        <v>0</v>
      </c>
      <c r="Q729" s="22" t="s">
        <v>34</v>
      </c>
      <c r="R729" s="23">
        <f>P729*(J729-(J729*L729)-((J729-(J729*L729))*M729))</f>
        <v>0</v>
      </c>
      <c r="S729" s="23">
        <f t="shared" si="160"/>
        <v>0</v>
      </c>
    </row>
    <row r="730" spans="1:19" s="17" customFormat="1">
      <c r="A730" s="286" t="s">
        <v>558</v>
      </c>
      <c r="B730" s="96" t="s">
        <v>26</v>
      </c>
      <c r="C730" s="97">
        <v>107</v>
      </c>
      <c r="D730" s="98" t="s">
        <v>43</v>
      </c>
      <c r="E730" s="105"/>
      <c r="F730" s="100">
        <v>1</v>
      </c>
      <c r="G730" s="101" t="s">
        <v>21</v>
      </c>
      <c r="H730" s="100">
        <v>48</v>
      </c>
      <c r="I730" s="101" t="s">
        <v>43</v>
      </c>
      <c r="J730" s="102">
        <f>1497600/48</f>
        <v>31200</v>
      </c>
      <c r="K730" s="98" t="s">
        <v>43</v>
      </c>
      <c r="L730" s="103"/>
      <c r="M730" s="103">
        <v>0.17</v>
      </c>
      <c r="N730" s="100">
        <f>48+2+6+15+10+48-22</f>
        <v>107</v>
      </c>
      <c r="O730" s="101" t="s">
        <v>43</v>
      </c>
      <c r="P730" s="97">
        <f>(C730+(E730*F730*H730))-N730</f>
        <v>0</v>
      </c>
      <c r="Q730" s="101" t="s">
        <v>43</v>
      </c>
      <c r="R730" s="102">
        <f>P730*(J730-(J730*L730)-((J730-(J730*L730))*M730))</f>
        <v>0</v>
      </c>
      <c r="S730" s="102">
        <f t="shared" si="160"/>
        <v>0</v>
      </c>
    </row>
    <row r="731" spans="1:19" s="26" customFormat="1">
      <c r="A731" s="210" t="s">
        <v>558</v>
      </c>
      <c r="B731" s="36" t="s">
        <v>26</v>
      </c>
      <c r="C731" s="37"/>
      <c r="D731" s="38" t="s">
        <v>43</v>
      </c>
      <c r="E731" s="39">
        <f>2+2+2+1</f>
        <v>7</v>
      </c>
      <c r="F731" s="40">
        <v>1</v>
      </c>
      <c r="G731" s="41" t="s">
        <v>21</v>
      </c>
      <c r="H731" s="40">
        <v>48</v>
      </c>
      <c r="I731" s="41" t="s">
        <v>43</v>
      </c>
      <c r="J731" s="42">
        <f>1584000/48</f>
        <v>33000</v>
      </c>
      <c r="K731" s="38" t="s">
        <v>43</v>
      </c>
      <c r="L731" s="43"/>
      <c r="M731" s="43">
        <v>0.17</v>
      </c>
      <c r="N731" s="40">
        <f>(48-26)+3+10+5+48</f>
        <v>88</v>
      </c>
      <c r="O731" s="41" t="s">
        <v>43</v>
      </c>
      <c r="P731" s="37">
        <f>(C731+(E731*F731*H731))-N731</f>
        <v>248</v>
      </c>
      <c r="Q731" s="41" t="s">
        <v>43</v>
      </c>
      <c r="R731" s="42">
        <f>P731*(J731-(J731*L731)-((J731-(J731*L731))*M731))</f>
        <v>6792720</v>
      </c>
      <c r="S731" s="42">
        <f t="shared" ref="S731" si="173">R731/1.11</f>
        <v>6119567.5675675673</v>
      </c>
    </row>
    <row r="732" spans="1:19">
      <c r="S732" s="23"/>
    </row>
    <row r="733" spans="1:19" ht="15.75">
      <c r="A733" s="14" t="s">
        <v>559</v>
      </c>
      <c r="S733" s="23"/>
    </row>
    <row r="734" spans="1:19" s="45" customFormat="1">
      <c r="A734" s="44" t="s">
        <v>734</v>
      </c>
      <c r="B734" s="45" t="s">
        <v>19</v>
      </c>
      <c r="C734" s="46">
        <v>84</v>
      </c>
      <c r="D734" s="47" t="s">
        <v>20</v>
      </c>
      <c r="E734" s="48"/>
      <c r="F734" s="49">
        <v>10</v>
      </c>
      <c r="G734" s="50" t="s">
        <v>34</v>
      </c>
      <c r="H734" s="49">
        <v>12</v>
      </c>
      <c r="I734" s="50" t="s">
        <v>20</v>
      </c>
      <c r="J734" s="51">
        <v>11200</v>
      </c>
      <c r="K734" s="47" t="s">
        <v>20</v>
      </c>
      <c r="L734" s="52">
        <v>0.125</v>
      </c>
      <c r="M734" s="52">
        <v>0.05</v>
      </c>
      <c r="N734" s="49">
        <v>24</v>
      </c>
      <c r="O734" s="50" t="s">
        <v>20</v>
      </c>
      <c r="P734" s="46">
        <f t="shared" ref="P734:P752" si="174">(C734+(E734*F734*H734))-N734</f>
        <v>60</v>
      </c>
      <c r="Q734" s="50" t="s">
        <v>20</v>
      </c>
      <c r="R734" s="51">
        <f t="shared" ref="R734:R752" si="175">P734*(J734-(J734*L734)-((J734-(J734*L734))*M734))</f>
        <v>558600</v>
      </c>
      <c r="S734" s="51">
        <f t="shared" ref="S734:S735" si="176">R734/1.11</f>
        <v>503243.2432432432</v>
      </c>
    </row>
    <row r="735" spans="1:19" s="45" customFormat="1">
      <c r="A735" s="44" t="s">
        <v>735</v>
      </c>
      <c r="B735" s="45" t="s">
        <v>19</v>
      </c>
      <c r="C735" s="46">
        <v>48</v>
      </c>
      <c r="D735" s="47" t="s">
        <v>20</v>
      </c>
      <c r="E735" s="48"/>
      <c r="F735" s="49">
        <v>10</v>
      </c>
      <c r="G735" s="50" t="s">
        <v>34</v>
      </c>
      <c r="H735" s="49">
        <v>12</v>
      </c>
      <c r="I735" s="50" t="s">
        <v>20</v>
      </c>
      <c r="J735" s="51">
        <v>12400</v>
      </c>
      <c r="K735" s="47" t="s">
        <v>20</v>
      </c>
      <c r="L735" s="52">
        <v>0.125</v>
      </c>
      <c r="M735" s="52">
        <v>0.05</v>
      </c>
      <c r="N735" s="49"/>
      <c r="O735" s="50" t="s">
        <v>20</v>
      </c>
      <c r="P735" s="46">
        <f t="shared" si="174"/>
        <v>48</v>
      </c>
      <c r="Q735" s="50" t="s">
        <v>20</v>
      </c>
      <c r="R735" s="51">
        <f t="shared" si="175"/>
        <v>494760</v>
      </c>
      <c r="S735" s="51">
        <f t="shared" si="176"/>
        <v>445729.7297297297</v>
      </c>
    </row>
    <row r="736" spans="1:19" s="63" customFormat="1">
      <c r="A736" s="95" t="s">
        <v>560</v>
      </c>
      <c r="B736" s="96" t="s">
        <v>19</v>
      </c>
      <c r="C736" s="97">
        <v>240</v>
      </c>
      <c r="D736" s="98" t="s">
        <v>20</v>
      </c>
      <c r="E736" s="105"/>
      <c r="F736" s="100">
        <v>10</v>
      </c>
      <c r="G736" s="101" t="s">
        <v>34</v>
      </c>
      <c r="H736" s="100">
        <v>12</v>
      </c>
      <c r="I736" s="101" t="s">
        <v>20</v>
      </c>
      <c r="J736" s="102">
        <v>12400</v>
      </c>
      <c r="K736" s="98" t="s">
        <v>20</v>
      </c>
      <c r="L736" s="103">
        <v>0.125</v>
      </c>
      <c r="M736" s="103">
        <v>0.05</v>
      </c>
      <c r="N736" s="100">
        <v>240</v>
      </c>
      <c r="O736" s="101" t="s">
        <v>20</v>
      </c>
      <c r="P736" s="97">
        <f t="shared" si="174"/>
        <v>0</v>
      </c>
      <c r="Q736" s="101" t="s">
        <v>20</v>
      </c>
      <c r="R736" s="102">
        <f t="shared" si="175"/>
        <v>0</v>
      </c>
      <c r="S736" s="102">
        <f t="shared" si="160"/>
        <v>0</v>
      </c>
    </row>
    <row r="737" spans="1:19" s="45" customFormat="1">
      <c r="A737" s="35" t="s">
        <v>560</v>
      </c>
      <c r="B737" s="36" t="s">
        <v>19</v>
      </c>
      <c r="C737" s="37">
        <v>480</v>
      </c>
      <c r="D737" s="38" t="s">
        <v>20</v>
      </c>
      <c r="E737" s="39">
        <f>1+2</f>
        <v>3</v>
      </c>
      <c r="F737" s="40">
        <v>10</v>
      </c>
      <c r="G737" s="41" t="s">
        <v>34</v>
      </c>
      <c r="H737" s="40">
        <v>12</v>
      </c>
      <c r="I737" s="41" t="s">
        <v>20</v>
      </c>
      <c r="J737" s="42">
        <v>12950</v>
      </c>
      <c r="K737" s="38" t="s">
        <v>20</v>
      </c>
      <c r="L737" s="43">
        <v>0.125</v>
      </c>
      <c r="M737" s="43">
        <v>0.05</v>
      </c>
      <c r="N737" s="40"/>
      <c r="O737" s="41" t="s">
        <v>20</v>
      </c>
      <c r="P737" s="37">
        <f t="shared" si="174"/>
        <v>840</v>
      </c>
      <c r="Q737" s="41" t="s">
        <v>20</v>
      </c>
      <c r="R737" s="42">
        <f t="shared" si="175"/>
        <v>9042337.5</v>
      </c>
      <c r="S737" s="42">
        <f t="shared" si="160"/>
        <v>8146249.9999999991</v>
      </c>
    </row>
    <row r="738" spans="1:19" s="17" customFormat="1">
      <c r="A738" s="16" t="s">
        <v>561</v>
      </c>
      <c r="B738" s="17" t="s">
        <v>19</v>
      </c>
      <c r="C738" s="18"/>
      <c r="D738" s="19" t="s">
        <v>20</v>
      </c>
      <c r="E738" s="20"/>
      <c r="F738" s="21">
        <v>5</v>
      </c>
      <c r="G738" s="22" t="s">
        <v>34</v>
      </c>
      <c r="H738" s="21">
        <v>12</v>
      </c>
      <c r="I738" s="22" t="s">
        <v>20</v>
      </c>
      <c r="J738" s="23">
        <v>27000</v>
      </c>
      <c r="K738" s="19" t="s">
        <v>20</v>
      </c>
      <c r="L738" s="24">
        <v>0.125</v>
      </c>
      <c r="M738" s="24">
        <v>0.05</v>
      </c>
      <c r="N738" s="21"/>
      <c r="O738" s="22" t="s">
        <v>20</v>
      </c>
      <c r="P738" s="18">
        <f t="shared" si="174"/>
        <v>0</v>
      </c>
      <c r="Q738" s="22" t="s">
        <v>20</v>
      </c>
      <c r="R738" s="23">
        <f t="shared" si="175"/>
        <v>0</v>
      </c>
      <c r="S738" s="23">
        <f t="shared" si="160"/>
        <v>0</v>
      </c>
    </row>
    <row r="739" spans="1:19" s="17" customFormat="1">
      <c r="A739" s="16" t="s">
        <v>562</v>
      </c>
      <c r="B739" s="17" t="s">
        <v>19</v>
      </c>
      <c r="C739" s="18"/>
      <c r="D739" s="19" t="s">
        <v>20</v>
      </c>
      <c r="E739" s="20"/>
      <c r="F739" s="21">
        <v>1</v>
      </c>
      <c r="G739" s="22" t="s">
        <v>21</v>
      </c>
      <c r="H739" s="21">
        <v>24</v>
      </c>
      <c r="I739" s="22" t="s">
        <v>20</v>
      </c>
      <c r="J739" s="23">
        <v>40000</v>
      </c>
      <c r="K739" s="19" t="s">
        <v>20</v>
      </c>
      <c r="L739" s="24">
        <v>0.125</v>
      </c>
      <c r="M739" s="24">
        <v>0.05</v>
      </c>
      <c r="N739" s="21"/>
      <c r="O739" s="22" t="s">
        <v>20</v>
      </c>
      <c r="P739" s="18">
        <f t="shared" si="174"/>
        <v>0</v>
      </c>
      <c r="Q739" s="22" t="s">
        <v>20</v>
      </c>
      <c r="R739" s="23">
        <f t="shared" si="175"/>
        <v>0</v>
      </c>
      <c r="S739" s="23">
        <f t="shared" si="160"/>
        <v>0</v>
      </c>
    </row>
    <row r="740" spans="1:19" s="26" customFormat="1">
      <c r="A740" s="25" t="s">
        <v>563</v>
      </c>
      <c r="B740" s="26" t="s">
        <v>19</v>
      </c>
      <c r="C740" s="27"/>
      <c r="D740" s="28" t="s">
        <v>20</v>
      </c>
      <c r="E740" s="29">
        <v>1</v>
      </c>
      <c r="F740" s="30">
        <v>1</v>
      </c>
      <c r="G740" s="31" t="s">
        <v>21</v>
      </c>
      <c r="H740" s="30">
        <v>24</v>
      </c>
      <c r="I740" s="31" t="s">
        <v>20</v>
      </c>
      <c r="J740" s="32">
        <v>45500</v>
      </c>
      <c r="K740" s="28" t="s">
        <v>20</v>
      </c>
      <c r="L740" s="33">
        <v>0.125</v>
      </c>
      <c r="M740" s="33">
        <v>0.05</v>
      </c>
      <c r="N740" s="30"/>
      <c r="O740" s="31" t="s">
        <v>20</v>
      </c>
      <c r="P740" s="27">
        <f t="shared" si="174"/>
        <v>24</v>
      </c>
      <c r="Q740" s="31" t="s">
        <v>20</v>
      </c>
      <c r="R740" s="32">
        <f t="shared" si="175"/>
        <v>907725</v>
      </c>
      <c r="S740" s="32">
        <f t="shared" si="160"/>
        <v>817770.27027027018</v>
      </c>
    </row>
    <row r="741" spans="1:19" s="17" customFormat="1">
      <c r="A741" s="16"/>
      <c r="C741" s="18"/>
      <c r="D741" s="19"/>
      <c r="E741" s="20"/>
      <c r="F741" s="21"/>
      <c r="G741" s="22"/>
      <c r="H741" s="21"/>
      <c r="I741" s="22"/>
      <c r="J741" s="23"/>
      <c r="K741" s="19"/>
      <c r="L741" s="24"/>
      <c r="M741" s="24"/>
      <c r="N741" s="21"/>
      <c r="O741" s="22"/>
      <c r="P741" s="18"/>
      <c r="Q741" s="22"/>
      <c r="R741" s="23"/>
      <c r="S741" s="23"/>
    </row>
    <row r="742" spans="1:19" s="17" customFormat="1">
      <c r="A742" s="16" t="s">
        <v>564</v>
      </c>
      <c r="B742" s="17" t="s">
        <v>26</v>
      </c>
      <c r="C742" s="18"/>
      <c r="D742" s="19" t="s">
        <v>20</v>
      </c>
      <c r="E742" s="20"/>
      <c r="F742" s="21">
        <v>10</v>
      </c>
      <c r="G742" s="22" t="s">
        <v>43</v>
      </c>
      <c r="H742" s="21">
        <v>12</v>
      </c>
      <c r="I742" s="22" t="s">
        <v>20</v>
      </c>
      <c r="J742" s="23">
        <f>1500000/10/12</f>
        <v>12500</v>
      </c>
      <c r="K742" s="19" t="s">
        <v>20</v>
      </c>
      <c r="L742" s="24"/>
      <c r="M742" s="24">
        <v>0.17</v>
      </c>
      <c r="N742" s="21"/>
      <c r="O742" s="22" t="s">
        <v>20</v>
      </c>
      <c r="P742" s="18">
        <f t="shared" si="174"/>
        <v>0</v>
      </c>
      <c r="Q742" s="22" t="s">
        <v>20</v>
      </c>
      <c r="R742" s="23">
        <f t="shared" si="175"/>
        <v>0</v>
      </c>
      <c r="S742" s="23">
        <f t="shared" si="160"/>
        <v>0</v>
      </c>
    </row>
    <row r="743" spans="1:19" s="63" customFormat="1">
      <c r="A743" s="72" t="s">
        <v>565</v>
      </c>
      <c r="B743" s="63" t="s">
        <v>26</v>
      </c>
      <c r="C743" s="64">
        <v>3</v>
      </c>
      <c r="D743" s="65" t="s">
        <v>43</v>
      </c>
      <c r="E743" s="66">
        <f>1+2</f>
        <v>3</v>
      </c>
      <c r="F743" s="67">
        <v>1</v>
      </c>
      <c r="G743" s="68" t="s">
        <v>21</v>
      </c>
      <c r="H743" s="67">
        <v>10</v>
      </c>
      <c r="I743" s="68" t="s">
        <v>43</v>
      </c>
      <c r="J743" s="69">
        <f>1560000/10</f>
        <v>156000</v>
      </c>
      <c r="K743" s="65" t="s">
        <v>43</v>
      </c>
      <c r="L743" s="70"/>
      <c r="M743" s="70">
        <v>0.17</v>
      </c>
      <c r="N743" s="67">
        <f>20+10+3</f>
        <v>33</v>
      </c>
      <c r="O743" s="68" t="s">
        <v>43</v>
      </c>
      <c r="P743" s="64">
        <f t="shared" si="174"/>
        <v>0</v>
      </c>
      <c r="Q743" s="68" t="s">
        <v>43</v>
      </c>
      <c r="R743" s="69">
        <f t="shared" si="175"/>
        <v>0</v>
      </c>
      <c r="S743" s="69">
        <f t="shared" si="160"/>
        <v>0</v>
      </c>
    </row>
    <row r="744" spans="1:19" s="63" customFormat="1">
      <c r="A744" s="72" t="s">
        <v>566</v>
      </c>
      <c r="B744" s="63" t="s">
        <v>26</v>
      </c>
      <c r="C744" s="64"/>
      <c r="D744" s="65" t="s">
        <v>20</v>
      </c>
      <c r="E744" s="66"/>
      <c r="F744" s="67">
        <v>10</v>
      </c>
      <c r="G744" s="68" t="s">
        <v>43</v>
      </c>
      <c r="H744" s="67">
        <v>12</v>
      </c>
      <c r="I744" s="68" t="s">
        <v>20</v>
      </c>
      <c r="J744" s="69">
        <f>13000</f>
        <v>13000</v>
      </c>
      <c r="K744" s="65" t="s">
        <v>20</v>
      </c>
      <c r="L744" s="70"/>
      <c r="M744" s="70">
        <v>0.17</v>
      </c>
      <c r="N744" s="67"/>
      <c r="O744" s="68" t="s">
        <v>20</v>
      </c>
      <c r="P744" s="64">
        <f t="shared" si="174"/>
        <v>0</v>
      </c>
      <c r="Q744" s="68" t="s">
        <v>20</v>
      </c>
      <c r="R744" s="69">
        <f t="shared" si="175"/>
        <v>0</v>
      </c>
      <c r="S744" s="23">
        <f t="shared" si="160"/>
        <v>0</v>
      </c>
    </row>
    <row r="745" spans="1:19" s="45" customFormat="1">
      <c r="A745" s="44" t="s">
        <v>567</v>
      </c>
      <c r="B745" s="45" t="s">
        <v>26</v>
      </c>
      <c r="C745" s="46">
        <v>6</v>
      </c>
      <c r="D745" s="47" t="s">
        <v>43</v>
      </c>
      <c r="E745" s="48">
        <f>3+2+2+3</f>
        <v>10</v>
      </c>
      <c r="F745" s="49">
        <v>4</v>
      </c>
      <c r="G745" s="50" t="s">
        <v>34</v>
      </c>
      <c r="H745" s="49">
        <v>2</v>
      </c>
      <c r="I745" s="50" t="s">
        <v>43</v>
      </c>
      <c r="J745" s="51">
        <f>1440000/4/2</f>
        <v>180000</v>
      </c>
      <c r="K745" s="47" t="s">
        <v>43</v>
      </c>
      <c r="L745" s="52"/>
      <c r="M745" s="52">
        <v>0.17</v>
      </c>
      <c r="N745" s="49">
        <f>1+(96/12)+(96/12)+1+(96/12)+1+3+3+(96/12)+8+(96/12)</f>
        <v>57</v>
      </c>
      <c r="O745" s="50" t="s">
        <v>43</v>
      </c>
      <c r="P745" s="46">
        <f>(C745+(E745*F745*H745))-N745</f>
        <v>29</v>
      </c>
      <c r="Q745" s="50" t="s">
        <v>43</v>
      </c>
      <c r="R745" s="51">
        <f>P745*(J745-(J745*L745)-((J745-(J745*L745))*M745))</f>
        <v>4332600</v>
      </c>
      <c r="S745" s="51">
        <f t="shared" si="160"/>
        <v>3903243.2432432431</v>
      </c>
    </row>
    <row r="746" spans="1:19" s="63" customFormat="1">
      <c r="A746" s="95" t="s">
        <v>568</v>
      </c>
      <c r="B746" s="96" t="s">
        <v>26</v>
      </c>
      <c r="C746" s="97">
        <v>8</v>
      </c>
      <c r="D746" s="98" t="s">
        <v>43</v>
      </c>
      <c r="E746" s="105"/>
      <c r="F746" s="100">
        <v>1</v>
      </c>
      <c r="G746" s="101" t="s">
        <v>21</v>
      </c>
      <c r="H746" s="100">
        <v>5</v>
      </c>
      <c r="I746" s="101" t="s">
        <v>43</v>
      </c>
      <c r="J746" s="102">
        <f>1320000/5</f>
        <v>264000</v>
      </c>
      <c r="K746" s="98" t="s">
        <v>20</v>
      </c>
      <c r="L746" s="103"/>
      <c r="M746" s="103">
        <v>0.17</v>
      </c>
      <c r="N746" s="100">
        <f>1+(60/12)+((60/12)-3)</f>
        <v>8</v>
      </c>
      <c r="O746" s="101" t="s">
        <v>43</v>
      </c>
      <c r="P746" s="97">
        <f t="shared" si="174"/>
        <v>0</v>
      </c>
      <c r="Q746" s="101" t="s">
        <v>43</v>
      </c>
      <c r="R746" s="102">
        <f t="shared" si="175"/>
        <v>0</v>
      </c>
      <c r="S746" s="102">
        <f t="shared" si="160"/>
        <v>0</v>
      </c>
    </row>
    <row r="747" spans="1:19" s="45" customFormat="1">
      <c r="A747" s="35" t="s">
        <v>568</v>
      </c>
      <c r="B747" s="36" t="s">
        <v>26</v>
      </c>
      <c r="C747" s="37">
        <v>5</v>
      </c>
      <c r="D747" s="38" t="s">
        <v>43</v>
      </c>
      <c r="E747" s="39"/>
      <c r="F747" s="40">
        <v>1</v>
      </c>
      <c r="G747" s="41" t="s">
        <v>21</v>
      </c>
      <c r="H747" s="40">
        <v>5</v>
      </c>
      <c r="I747" s="41" t="s">
        <v>43</v>
      </c>
      <c r="J747" s="42">
        <f>1410000/5</f>
        <v>282000</v>
      </c>
      <c r="K747" s="38" t="s">
        <v>20</v>
      </c>
      <c r="L747" s="43"/>
      <c r="M747" s="43">
        <v>0.17</v>
      </c>
      <c r="N747" s="40">
        <f>((60/12)-2)</f>
        <v>3</v>
      </c>
      <c r="O747" s="41" t="s">
        <v>43</v>
      </c>
      <c r="P747" s="37">
        <f t="shared" si="174"/>
        <v>2</v>
      </c>
      <c r="Q747" s="41" t="s">
        <v>43</v>
      </c>
      <c r="R747" s="42">
        <f t="shared" si="175"/>
        <v>468120</v>
      </c>
      <c r="S747" s="42">
        <f t="shared" si="160"/>
        <v>421729.7297297297</v>
      </c>
    </row>
    <row r="748" spans="1:19" s="45" customFormat="1">
      <c r="A748" s="249" t="s">
        <v>569</v>
      </c>
      <c r="B748" s="250" t="s">
        <v>26</v>
      </c>
      <c r="C748" s="251">
        <v>8</v>
      </c>
      <c r="D748" s="252" t="s">
        <v>43</v>
      </c>
      <c r="E748" s="262">
        <v>1</v>
      </c>
      <c r="F748" s="263">
        <v>1</v>
      </c>
      <c r="G748" s="264" t="s">
        <v>21</v>
      </c>
      <c r="H748" s="263">
        <v>4</v>
      </c>
      <c r="I748" s="264" t="s">
        <v>43</v>
      </c>
      <c r="J748" s="265">
        <f>1536000/4</f>
        <v>384000</v>
      </c>
      <c r="K748" s="252" t="s">
        <v>43</v>
      </c>
      <c r="L748" s="266"/>
      <c r="M748" s="266">
        <v>0.17</v>
      </c>
      <c r="N748" s="263">
        <f>4+2</f>
        <v>6</v>
      </c>
      <c r="O748" s="264" t="s">
        <v>43</v>
      </c>
      <c r="P748" s="251">
        <f t="shared" si="174"/>
        <v>6</v>
      </c>
      <c r="Q748" s="264" t="s">
        <v>43</v>
      </c>
      <c r="R748" s="265">
        <f t="shared" si="175"/>
        <v>1912320</v>
      </c>
      <c r="S748" s="265">
        <f t="shared" si="160"/>
        <v>1722810.8108108107</v>
      </c>
    </row>
    <row r="749" spans="1:19" s="45" customFormat="1">
      <c r="A749" s="249" t="s">
        <v>569</v>
      </c>
      <c r="B749" s="250" t="s">
        <v>26</v>
      </c>
      <c r="C749" s="251"/>
      <c r="D749" s="252" t="s">
        <v>43</v>
      </c>
      <c r="E749" s="262">
        <v>1</v>
      </c>
      <c r="F749" s="263">
        <v>1</v>
      </c>
      <c r="G749" s="264" t="s">
        <v>21</v>
      </c>
      <c r="H749" s="263">
        <v>4</v>
      </c>
      <c r="I749" s="264" t="s">
        <v>43</v>
      </c>
      <c r="J749" s="265">
        <f>1410000/4</f>
        <v>352500</v>
      </c>
      <c r="K749" s="252" t="s">
        <v>43</v>
      </c>
      <c r="L749" s="266"/>
      <c r="M749" s="266">
        <v>0.17</v>
      </c>
      <c r="N749" s="263"/>
      <c r="O749" s="264" t="s">
        <v>43</v>
      </c>
      <c r="P749" s="251">
        <f t="shared" ref="P749" si="177">(C749+(E749*F749*H749))-N749</f>
        <v>4</v>
      </c>
      <c r="Q749" s="264" t="s">
        <v>43</v>
      </c>
      <c r="R749" s="265">
        <f t="shared" ref="R749" si="178">P749*(J749-(J749*L749)-((J749-(J749*L749))*M749))</f>
        <v>1170300</v>
      </c>
      <c r="S749" s="265">
        <f t="shared" ref="S749" si="179">R749/1.11</f>
        <v>1054324.3243243243</v>
      </c>
    </row>
    <row r="750" spans="1:19" s="17" customFormat="1">
      <c r="A750" s="16" t="s">
        <v>570</v>
      </c>
      <c r="B750" s="17" t="s">
        <v>26</v>
      </c>
      <c r="C750" s="18">
        <v>42</v>
      </c>
      <c r="D750" s="19" t="s">
        <v>20</v>
      </c>
      <c r="E750" s="20"/>
      <c r="F750" s="21">
        <v>1</v>
      </c>
      <c r="G750" s="22" t="s">
        <v>21</v>
      </c>
      <c r="H750" s="21">
        <v>24</v>
      </c>
      <c r="I750" s="22" t="s">
        <v>20</v>
      </c>
      <c r="J750" s="23">
        <f>1164000/24</f>
        <v>48500</v>
      </c>
      <c r="K750" s="19" t="s">
        <v>20</v>
      </c>
      <c r="L750" s="24"/>
      <c r="M750" s="24">
        <v>0.17</v>
      </c>
      <c r="N750" s="21">
        <f>24+12+6</f>
        <v>42</v>
      </c>
      <c r="O750" s="22" t="s">
        <v>20</v>
      </c>
      <c r="P750" s="18">
        <f t="shared" si="174"/>
        <v>0</v>
      </c>
      <c r="Q750" s="22" t="s">
        <v>20</v>
      </c>
      <c r="R750" s="23">
        <f t="shared" si="175"/>
        <v>0</v>
      </c>
      <c r="S750" s="23">
        <f t="shared" si="160"/>
        <v>0</v>
      </c>
    </row>
    <row r="751" spans="1:19" s="17" customFormat="1">
      <c r="A751" s="16" t="s">
        <v>571</v>
      </c>
      <c r="B751" s="17" t="s">
        <v>26</v>
      </c>
      <c r="C751" s="18"/>
      <c r="D751" s="19" t="s">
        <v>20</v>
      </c>
      <c r="E751" s="20"/>
      <c r="F751" s="21">
        <v>1</v>
      </c>
      <c r="G751" s="22" t="s">
        <v>21</v>
      </c>
      <c r="H751" s="21">
        <v>24</v>
      </c>
      <c r="I751" s="22" t="s">
        <v>20</v>
      </c>
      <c r="J751" s="23">
        <f>1020000/24</f>
        <v>42500</v>
      </c>
      <c r="K751" s="19" t="s">
        <v>20</v>
      </c>
      <c r="L751" s="24"/>
      <c r="M751" s="24">
        <v>0.17</v>
      </c>
      <c r="N751" s="21"/>
      <c r="O751" s="22" t="s">
        <v>20</v>
      </c>
      <c r="P751" s="18">
        <f t="shared" si="174"/>
        <v>0</v>
      </c>
      <c r="Q751" s="22" t="s">
        <v>20</v>
      </c>
      <c r="R751" s="23">
        <f t="shared" si="175"/>
        <v>0</v>
      </c>
      <c r="S751" s="23">
        <f t="shared" si="160"/>
        <v>0</v>
      </c>
    </row>
    <row r="752" spans="1:19" s="17" customFormat="1">
      <c r="A752" s="16" t="s">
        <v>572</v>
      </c>
      <c r="B752" s="17" t="s">
        <v>26</v>
      </c>
      <c r="C752" s="18">
        <f>42+6</f>
        <v>48</v>
      </c>
      <c r="D752" s="19" t="s">
        <v>20</v>
      </c>
      <c r="E752" s="20"/>
      <c r="F752" s="21">
        <v>1</v>
      </c>
      <c r="G752" s="22" t="s">
        <v>21</v>
      </c>
      <c r="H752" s="21">
        <v>24</v>
      </c>
      <c r="I752" s="22" t="s">
        <v>20</v>
      </c>
      <c r="J752" s="23">
        <f>1416000/24</f>
        <v>59000</v>
      </c>
      <c r="K752" s="19" t="s">
        <v>20</v>
      </c>
      <c r="L752" s="24"/>
      <c r="M752" s="24">
        <v>0.17</v>
      </c>
      <c r="N752" s="21">
        <f>24+24</f>
        <v>48</v>
      </c>
      <c r="O752" s="22" t="s">
        <v>20</v>
      </c>
      <c r="P752" s="18">
        <f t="shared" si="174"/>
        <v>0</v>
      </c>
      <c r="Q752" s="22" t="s">
        <v>20</v>
      </c>
      <c r="R752" s="23">
        <f t="shared" si="175"/>
        <v>0</v>
      </c>
      <c r="S752" s="23">
        <f t="shared" si="160"/>
        <v>0</v>
      </c>
    </row>
    <row r="753" spans="1:19">
      <c r="S753" s="23"/>
    </row>
    <row r="754" spans="1:19">
      <c r="S754" s="23"/>
    </row>
    <row r="755" spans="1:19" ht="15.75">
      <c r="A755" s="14" t="s">
        <v>585</v>
      </c>
      <c r="S755" s="23"/>
    </row>
    <row r="756" spans="1:19" s="45" customFormat="1">
      <c r="A756" s="44" t="s">
        <v>586</v>
      </c>
      <c r="B756" s="45" t="s">
        <v>19</v>
      </c>
      <c r="C756" s="46">
        <v>250</v>
      </c>
      <c r="D756" s="47" t="s">
        <v>20</v>
      </c>
      <c r="E756" s="48">
        <f>1+1</f>
        <v>2</v>
      </c>
      <c r="F756" s="49">
        <v>72</v>
      </c>
      <c r="G756" s="50" t="s">
        <v>34</v>
      </c>
      <c r="H756" s="49">
        <v>10</v>
      </c>
      <c r="I756" s="50" t="s">
        <v>20</v>
      </c>
      <c r="J756" s="51">
        <v>3600</v>
      </c>
      <c r="K756" s="47" t="s">
        <v>20</v>
      </c>
      <c r="L756" s="52">
        <v>0.125</v>
      </c>
      <c r="M756" s="52">
        <v>0.05</v>
      </c>
      <c r="N756" s="49">
        <f>20+50+720+720</f>
        <v>1510</v>
      </c>
      <c r="O756" s="50" t="s">
        <v>20</v>
      </c>
      <c r="P756" s="46">
        <f t="shared" ref="P756:P767" si="180">(C756+(E756*F756*H756))-N756</f>
        <v>180</v>
      </c>
      <c r="Q756" s="50" t="s">
        <v>20</v>
      </c>
      <c r="R756" s="51">
        <f t="shared" ref="R756:R767" si="181">P756*(J756-(J756*L756)-((J756-(J756*L756))*M756))</f>
        <v>538650</v>
      </c>
      <c r="S756" s="51">
        <f t="shared" ref="S756:S828" si="182">R756/1.11</f>
        <v>485270.27027027024</v>
      </c>
    </row>
    <row r="757" spans="1:19" s="63" customFormat="1">
      <c r="A757" s="72" t="s">
        <v>587</v>
      </c>
      <c r="B757" s="63" t="s">
        <v>19</v>
      </c>
      <c r="C757" s="64"/>
      <c r="D757" s="65" t="s">
        <v>162</v>
      </c>
      <c r="E757" s="66"/>
      <c r="F757" s="67">
        <v>12</v>
      </c>
      <c r="G757" s="68" t="s">
        <v>34</v>
      </c>
      <c r="H757" s="67">
        <v>24</v>
      </c>
      <c r="I757" s="68" t="s">
        <v>162</v>
      </c>
      <c r="J757" s="69">
        <v>16500</v>
      </c>
      <c r="K757" s="65" t="s">
        <v>162</v>
      </c>
      <c r="L757" s="70">
        <v>0.125</v>
      </c>
      <c r="M757" s="70">
        <v>0.05</v>
      </c>
      <c r="N757" s="67"/>
      <c r="O757" s="68" t="s">
        <v>162</v>
      </c>
      <c r="P757" s="64">
        <f t="shared" si="180"/>
        <v>0</v>
      </c>
      <c r="Q757" s="68" t="s">
        <v>162</v>
      </c>
      <c r="R757" s="69">
        <f t="shared" si="181"/>
        <v>0</v>
      </c>
      <c r="S757" s="23">
        <f t="shared" si="182"/>
        <v>0</v>
      </c>
    </row>
    <row r="758" spans="1:19" s="63" customFormat="1">
      <c r="A758" s="72"/>
      <c r="C758" s="64"/>
      <c r="D758" s="65"/>
      <c r="E758" s="66"/>
      <c r="F758" s="67"/>
      <c r="G758" s="68"/>
      <c r="H758" s="67"/>
      <c r="I758" s="68"/>
      <c r="J758" s="69"/>
      <c r="K758" s="65"/>
      <c r="L758" s="70"/>
      <c r="M758" s="70"/>
      <c r="N758" s="67"/>
      <c r="O758" s="68"/>
      <c r="P758" s="64"/>
      <c r="Q758" s="68"/>
      <c r="R758" s="69"/>
      <c r="S758" s="23"/>
    </row>
    <row r="759" spans="1:19" s="26" customFormat="1">
      <c r="A759" s="25" t="s">
        <v>588</v>
      </c>
      <c r="B759" s="26" t="s">
        <v>26</v>
      </c>
      <c r="C759" s="27">
        <v>1730</v>
      </c>
      <c r="D759" s="28" t="s">
        <v>20</v>
      </c>
      <c r="E759" s="29">
        <f>(1+1+1+1)</f>
        <v>4</v>
      </c>
      <c r="F759" s="30">
        <v>48</v>
      </c>
      <c r="G759" s="31" t="s">
        <v>34</v>
      </c>
      <c r="H759" s="30">
        <v>10</v>
      </c>
      <c r="I759" s="31" t="s">
        <v>20</v>
      </c>
      <c r="J759" s="32">
        <f>30500/10</f>
        <v>3050</v>
      </c>
      <c r="K759" s="28" t="s">
        <v>20</v>
      </c>
      <c r="L759" s="33"/>
      <c r="M759" s="33">
        <v>0.17</v>
      </c>
      <c r="N759" s="30">
        <f>100+1920+410+330+150+300+20+(10+10)</f>
        <v>3250</v>
      </c>
      <c r="O759" s="31" t="s">
        <v>20</v>
      </c>
      <c r="P759" s="27">
        <f t="shared" si="180"/>
        <v>400</v>
      </c>
      <c r="Q759" s="31" t="s">
        <v>20</v>
      </c>
      <c r="R759" s="32">
        <f t="shared" si="181"/>
        <v>1012600</v>
      </c>
      <c r="S759" s="32">
        <f t="shared" si="182"/>
        <v>912252.25225225219</v>
      </c>
    </row>
    <row r="760" spans="1:19" s="17" customFormat="1">
      <c r="A760" s="16" t="s">
        <v>589</v>
      </c>
      <c r="B760" s="17" t="s">
        <v>26</v>
      </c>
      <c r="C760" s="18">
        <v>40</v>
      </c>
      <c r="D760" s="19" t="s">
        <v>20</v>
      </c>
      <c r="E760" s="20">
        <v>1</v>
      </c>
      <c r="F760" s="21">
        <v>48</v>
      </c>
      <c r="G760" s="22" t="s">
        <v>34</v>
      </c>
      <c r="H760" s="21">
        <v>10</v>
      </c>
      <c r="I760" s="22" t="s">
        <v>20</v>
      </c>
      <c r="J760" s="23">
        <f>30500/10</f>
        <v>3050</v>
      </c>
      <c r="K760" s="19" t="s">
        <v>20</v>
      </c>
      <c r="L760" s="24"/>
      <c r="M760" s="24">
        <v>0.17</v>
      </c>
      <c r="N760" s="21">
        <f>480+(30+10)</f>
        <v>520</v>
      </c>
      <c r="O760" s="22" t="s">
        <v>20</v>
      </c>
      <c r="P760" s="18">
        <f t="shared" si="180"/>
        <v>0</v>
      </c>
      <c r="Q760" s="22" t="s">
        <v>20</v>
      </c>
      <c r="R760" s="23">
        <f t="shared" si="181"/>
        <v>0</v>
      </c>
      <c r="S760" s="23">
        <f t="shared" si="182"/>
        <v>0</v>
      </c>
    </row>
    <row r="761" spans="1:19" s="17" customFormat="1">
      <c r="A761" s="16" t="s">
        <v>590</v>
      </c>
      <c r="B761" s="17" t="s">
        <v>26</v>
      </c>
      <c r="C761" s="18">
        <v>1</v>
      </c>
      <c r="D761" s="19" t="s">
        <v>43</v>
      </c>
      <c r="E761" s="20"/>
      <c r="F761" s="21">
        <v>12</v>
      </c>
      <c r="G761" s="22" t="s">
        <v>34</v>
      </c>
      <c r="H761" s="21">
        <v>12</v>
      </c>
      <c r="I761" s="22" t="s">
        <v>43</v>
      </c>
      <c r="J761" s="23">
        <v>25800</v>
      </c>
      <c r="K761" s="19" t="s">
        <v>43</v>
      </c>
      <c r="L761" s="24"/>
      <c r="M761" s="24">
        <v>0.17</v>
      </c>
      <c r="N761" s="21">
        <v>1</v>
      </c>
      <c r="O761" s="22" t="s">
        <v>43</v>
      </c>
      <c r="P761" s="18">
        <f t="shared" si="180"/>
        <v>0</v>
      </c>
      <c r="Q761" s="22" t="s">
        <v>43</v>
      </c>
      <c r="R761" s="23">
        <f t="shared" si="181"/>
        <v>0</v>
      </c>
      <c r="S761" s="23">
        <f t="shared" si="182"/>
        <v>0</v>
      </c>
    </row>
    <row r="762" spans="1:19" s="17" customFormat="1">
      <c r="A762" s="16"/>
      <c r="C762" s="18"/>
      <c r="D762" s="19"/>
      <c r="E762" s="20"/>
      <c r="F762" s="21"/>
      <c r="G762" s="22"/>
      <c r="H762" s="21"/>
      <c r="I762" s="22"/>
      <c r="J762" s="23"/>
      <c r="K762" s="19"/>
      <c r="L762" s="24"/>
      <c r="M762" s="24"/>
      <c r="N762" s="21"/>
      <c r="O762" s="22"/>
      <c r="P762" s="18"/>
      <c r="Q762" s="22"/>
      <c r="R762" s="23"/>
      <c r="S762" s="23"/>
    </row>
    <row r="763" spans="1:19" s="63" customFormat="1">
      <c r="A763" s="72" t="s">
        <v>591</v>
      </c>
      <c r="B763" s="63" t="s">
        <v>275</v>
      </c>
      <c r="C763" s="64"/>
      <c r="D763" s="65" t="s">
        <v>104</v>
      </c>
      <c r="E763" s="66"/>
      <c r="F763" s="67">
        <v>1</v>
      </c>
      <c r="G763" s="68" t="s">
        <v>21</v>
      </c>
      <c r="H763" s="67">
        <v>24</v>
      </c>
      <c r="I763" s="68" t="s">
        <v>104</v>
      </c>
      <c r="J763" s="69">
        <v>94000</v>
      </c>
      <c r="K763" s="65" t="s">
        <v>104</v>
      </c>
      <c r="L763" s="70"/>
      <c r="M763" s="70"/>
      <c r="N763" s="67"/>
      <c r="O763" s="68" t="s">
        <v>104</v>
      </c>
      <c r="P763" s="64">
        <f t="shared" si="180"/>
        <v>0</v>
      </c>
      <c r="Q763" s="68" t="s">
        <v>104</v>
      </c>
      <c r="R763" s="69">
        <f t="shared" si="181"/>
        <v>0</v>
      </c>
      <c r="S763" s="23">
        <f t="shared" si="182"/>
        <v>0</v>
      </c>
    </row>
    <row r="764" spans="1:19" s="63" customFormat="1">
      <c r="A764" s="72"/>
      <c r="C764" s="64"/>
      <c r="D764" s="65"/>
      <c r="E764" s="66"/>
      <c r="F764" s="67"/>
      <c r="G764" s="68"/>
      <c r="H764" s="67"/>
      <c r="I764" s="68"/>
      <c r="J764" s="69"/>
      <c r="K764" s="65"/>
      <c r="L764" s="70"/>
      <c r="M764" s="70"/>
      <c r="N764" s="67"/>
      <c r="O764" s="68"/>
      <c r="P764" s="64"/>
      <c r="Q764" s="68"/>
      <c r="R764" s="69"/>
      <c r="S764" s="23"/>
    </row>
    <row r="765" spans="1:19" s="26" customFormat="1">
      <c r="A765" s="25" t="s">
        <v>592</v>
      </c>
      <c r="B765" s="26" t="s">
        <v>182</v>
      </c>
      <c r="C765" s="27">
        <v>921</v>
      </c>
      <c r="D765" s="28" t="s">
        <v>43</v>
      </c>
      <c r="E765" s="29"/>
      <c r="F765" s="30">
        <v>1</v>
      </c>
      <c r="G765" s="31" t="s">
        <v>21</v>
      </c>
      <c r="H765" s="30">
        <v>108</v>
      </c>
      <c r="I765" s="31" t="s">
        <v>43</v>
      </c>
      <c r="J765" s="32">
        <v>18000</v>
      </c>
      <c r="K765" s="28" t="s">
        <v>43</v>
      </c>
      <c r="L765" s="33">
        <v>0.05</v>
      </c>
      <c r="M765" s="33"/>
      <c r="N765" s="30">
        <f>2+2+30+2+108+12+108</f>
        <v>264</v>
      </c>
      <c r="O765" s="31" t="s">
        <v>43</v>
      </c>
      <c r="P765" s="27">
        <f t="shared" si="180"/>
        <v>657</v>
      </c>
      <c r="Q765" s="31" t="s">
        <v>43</v>
      </c>
      <c r="R765" s="32">
        <f t="shared" si="181"/>
        <v>11234700</v>
      </c>
      <c r="S765" s="32">
        <f t="shared" si="182"/>
        <v>10121351.351351351</v>
      </c>
    </row>
    <row r="766" spans="1:19" s="26" customFormat="1">
      <c r="A766" s="25"/>
      <c r="C766" s="27"/>
      <c r="D766" s="28"/>
      <c r="E766" s="29"/>
      <c r="F766" s="30"/>
      <c r="G766" s="31"/>
      <c r="H766" s="30"/>
      <c r="I766" s="31"/>
      <c r="J766" s="32"/>
      <c r="K766" s="28"/>
      <c r="L766" s="33"/>
      <c r="M766" s="33"/>
      <c r="N766" s="30"/>
      <c r="O766" s="31"/>
      <c r="P766" s="27"/>
      <c r="Q766" s="31"/>
      <c r="R766" s="32"/>
      <c r="S766" s="32"/>
    </row>
    <row r="767" spans="1:19" s="26" customFormat="1">
      <c r="A767" s="25" t="s">
        <v>738</v>
      </c>
      <c r="B767" s="26" t="s">
        <v>659</v>
      </c>
      <c r="C767" s="27">
        <v>3400</v>
      </c>
      <c r="D767" s="28" t="s">
        <v>20</v>
      </c>
      <c r="E767" s="29"/>
      <c r="F767" s="30">
        <v>1</v>
      </c>
      <c r="G767" s="31" t="s">
        <v>21</v>
      </c>
      <c r="H767" s="30">
        <v>600</v>
      </c>
      <c r="I767" s="31" t="s">
        <v>20</v>
      </c>
      <c r="J767" s="32">
        <v>2700</v>
      </c>
      <c r="K767" s="28" t="s">
        <v>20</v>
      </c>
      <c r="L767" s="33">
        <v>0.35</v>
      </c>
      <c r="M767" s="33"/>
      <c r="N767" s="30"/>
      <c r="O767" s="31" t="s">
        <v>20</v>
      </c>
      <c r="P767" s="27">
        <f t="shared" si="180"/>
        <v>3400</v>
      </c>
      <c r="Q767" s="31" t="s">
        <v>20</v>
      </c>
      <c r="R767" s="32">
        <f t="shared" si="181"/>
        <v>5967000</v>
      </c>
      <c r="S767" s="32">
        <f t="shared" si="182"/>
        <v>5375675.6756756753</v>
      </c>
    </row>
    <row r="768" spans="1:19">
      <c r="S768" s="23"/>
    </row>
    <row r="769" spans="1:19" ht="15.75">
      <c r="A769" s="14" t="s">
        <v>593</v>
      </c>
      <c r="S769" s="23"/>
    </row>
    <row r="770" spans="1:19">
      <c r="A770" s="15" t="s">
        <v>594</v>
      </c>
      <c r="S770" s="23"/>
    </row>
    <row r="771" spans="1:19" s="63" customFormat="1">
      <c r="A771" s="72" t="s">
        <v>595</v>
      </c>
      <c r="B771" s="63" t="s">
        <v>19</v>
      </c>
      <c r="C771" s="64"/>
      <c r="D771" s="65" t="s">
        <v>20</v>
      </c>
      <c r="E771" s="66"/>
      <c r="F771" s="67">
        <v>40</v>
      </c>
      <c r="G771" s="68" t="s">
        <v>104</v>
      </c>
      <c r="H771" s="67">
        <v>12</v>
      </c>
      <c r="I771" s="68" t="s">
        <v>20</v>
      </c>
      <c r="J771" s="69">
        <v>6700</v>
      </c>
      <c r="K771" s="65" t="s">
        <v>20</v>
      </c>
      <c r="L771" s="70">
        <v>0.125</v>
      </c>
      <c r="M771" s="70">
        <v>0.05</v>
      </c>
      <c r="N771" s="67"/>
      <c r="O771" s="68" t="s">
        <v>20</v>
      </c>
      <c r="P771" s="64">
        <f t="shared" ref="P771" si="183">(C771+(E771*F771*H771))-N771</f>
        <v>0</v>
      </c>
      <c r="Q771" s="68" t="s">
        <v>20</v>
      </c>
      <c r="R771" s="69">
        <f t="shared" ref="R771" si="184">P771*(J771-(J771*L771)-((J771-(J771*L771))*M771))</f>
        <v>0</v>
      </c>
      <c r="S771" s="23">
        <f t="shared" si="182"/>
        <v>0</v>
      </c>
    </row>
    <row r="772" spans="1:19" s="63" customFormat="1">
      <c r="A772" s="72" t="s">
        <v>596</v>
      </c>
      <c r="B772" s="63" t="s">
        <v>19</v>
      </c>
      <c r="C772" s="64"/>
      <c r="D772" s="65" t="s">
        <v>20</v>
      </c>
      <c r="E772" s="66"/>
      <c r="F772" s="67">
        <v>20</v>
      </c>
      <c r="G772" s="68" t="s">
        <v>104</v>
      </c>
      <c r="H772" s="67">
        <v>12</v>
      </c>
      <c r="I772" s="68" t="s">
        <v>20</v>
      </c>
      <c r="J772" s="69">
        <v>8400</v>
      </c>
      <c r="K772" s="65" t="s">
        <v>20</v>
      </c>
      <c r="L772" s="70">
        <v>0.125</v>
      </c>
      <c r="M772" s="70">
        <v>0.05</v>
      </c>
      <c r="N772" s="67"/>
      <c r="O772" s="68" t="s">
        <v>20</v>
      </c>
      <c r="P772" s="64">
        <f>(C772+(E772*F772*H772))-N772</f>
        <v>0</v>
      </c>
      <c r="Q772" s="68" t="s">
        <v>20</v>
      </c>
      <c r="R772" s="69">
        <f>P772*(J772-(J772*L772)-((J772-(J772*L772))*M772))</f>
        <v>0</v>
      </c>
      <c r="S772" s="23">
        <f t="shared" si="182"/>
        <v>0</v>
      </c>
    </row>
    <row r="773" spans="1:19" s="63" customFormat="1">
      <c r="A773" s="72"/>
      <c r="C773" s="64"/>
      <c r="D773" s="65"/>
      <c r="E773" s="66"/>
      <c r="F773" s="67"/>
      <c r="G773" s="68"/>
      <c r="H773" s="67"/>
      <c r="I773" s="68"/>
      <c r="J773" s="69"/>
      <c r="K773" s="65"/>
      <c r="L773" s="70"/>
      <c r="M773" s="70"/>
      <c r="N773" s="67"/>
      <c r="O773" s="68"/>
      <c r="P773" s="64"/>
      <c r="Q773" s="68"/>
      <c r="R773" s="69"/>
      <c r="S773" s="23"/>
    </row>
    <row r="774" spans="1:19" s="17" customFormat="1">
      <c r="A774" s="93" t="s">
        <v>597</v>
      </c>
      <c r="B774" s="17" t="s">
        <v>26</v>
      </c>
      <c r="C774" s="18"/>
      <c r="D774" s="19" t="s">
        <v>43</v>
      </c>
      <c r="E774" s="20"/>
      <c r="F774" s="21">
        <v>1</v>
      </c>
      <c r="G774" s="22" t="s">
        <v>21</v>
      </c>
      <c r="H774" s="21">
        <v>40</v>
      </c>
      <c r="I774" s="22" t="s">
        <v>43</v>
      </c>
      <c r="J774" s="23">
        <f>3096000/40</f>
        <v>77400</v>
      </c>
      <c r="K774" s="19" t="s">
        <v>43</v>
      </c>
      <c r="L774" s="24"/>
      <c r="M774" s="24">
        <v>0.17</v>
      </c>
      <c r="N774" s="21"/>
      <c r="O774" s="22" t="s">
        <v>43</v>
      </c>
      <c r="P774" s="18">
        <f t="shared" ref="P774:P779" si="185">(C774+(E774*F774*H774))-N774</f>
        <v>0</v>
      </c>
      <c r="Q774" s="22" t="s">
        <v>43</v>
      </c>
      <c r="R774" s="23">
        <f t="shared" ref="R774:R779" si="186">P774*(J774-(J774*L774)-((J774-(J774*L774))*M774))</f>
        <v>0</v>
      </c>
      <c r="S774" s="23">
        <f t="shared" si="182"/>
        <v>0</v>
      </c>
    </row>
    <row r="775" spans="1:19" s="26" customFormat="1">
      <c r="A775" s="94" t="s">
        <v>598</v>
      </c>
      <c r="B775" s="26" t="s">
        <v>26</v>
      </c>
      <c r="C775" s="27">
        <v>30</v>
      </c>
      <c r="D775" s="28" t="s">
        <v>43</v>
      </c>
      <c r="E775" s="29"/>
      <c r="F775" s="30">
        <v>1</v>
      </c>
      <c r="G775" s="31" t="s">
        <v>21</v>
      </c>
      <c r="H775" s="30">
        <v>40</v>
      </c>
      <c r="I775" s="31" t="s">
        <v>43</v>
      </c>
      <c r="J775" s="32">
        <f>2976000/40</f>
        <v>74400</v>
      </c>
      <c r="K775" s="28" t="s">
        <v>43</v>
      </c>
      <c r="L775" s="33"/>
      <c r="M775" s="33">
        <v>0.17</v>
      </c>
      <c r="N775" s="30">
        <f>5+1</f>
        <v>6</v>
      </c>
      <c r="O775" s="31" t="s">
        <v>43</v>
      </c>
      <c r="P775" s="27">
        <f t="shared" si="185"/>
        <v>24</v>
      </c>
      <c r="Q775" s="31" t="s">
        <v>43</v>
      </c>
      <c r="R775" s="32">
        <f t="shared" si="186"/>
        <v>1482048</v>
      </c>
      <c r="S775" s="32">
        <f t="shared" si="182"/>
        <v>1335178.3783783782</v>
      </c>
    </row>
    <row r="776" spans="1:19" s="17" customFormat="1">
      <c r="A776" s="93" t="s">
        <v>599</v>
      </c>
      <c r="B776" s="17" t="s">
        <v>26</v>
      </c>
      <c r="C776" s="18"/>
      <c r="D776" s="19" t="s">
        <v>20</v>
      </c>
      <c r="E776" s="20"/>
      <c r="F776" s="21">
        <v>1</v>
      </c>
      <c r="G776" s="22" t="s">
        <v>21</v>
      </c>
      <c r="H776" s="21">
        <v>20</v>
      </c>
      <c r="I776" s="22" t="s">
        <v>20</v>
      </c>
      <c r="J776" s="23">
        <v>90000</v>
      </c>
      <c r="K776" s="19" t="s">
        <v>20</v>
      </c>
      <c r="L776" s="24"/>
      <c r="M776" s="24">
        <v>0.17</v>
      </c>
      <c r="N776" s="21"/>
      <c r="O776" s="22" t="s">
        <v>20</v>
      </c>
      <c r="P776" s="18">
        <f t="shared" si="185"/>
        <v>0</v>
      </c>
      <c r="Q776" s="22" t="s">
        <v>20</v>
      </c>
      <c r="R776" s="23">
        <f t="shared" si="186"/>
        <v>0</v>
      </c>
      <c r="S776" s="23">
        <f t="shared" si="182"/>
        <v>0</v>
      </c>
    </row>
    <row r="777" spans="1:19" s="17" customFormat="1">
      <c r="A777" s="93" t="s">
        <v>600</v>
      </c>
      <c r="B777" s="17" t="s">
        <v>26</v>
      </c>
      <c r="C777" s="18"/>
      <c r="D777" s="19" t="s">
        <v>20</v>
      </c>
      <c r="E777" s="20"/>
      <c r="F777" s="21">
        <v>1</v>
      </c>
      <c r="G777" s="22" t="s">
        <v>21</v>
      </c>
      <c r="H777" s="21">
        <v>20</v>
      </c>
      <c r="I777" s="22" t="s">
        <v>20</v>
      </c>
      <c r="J777" s="23">
        <v>87500</v>
      </c>
      <c r="K777" s="19" t="s">
        <v>20</v>
      </c>
      <c r="L777" s="24"/>
      <c r="M777" s="24">
        <v>0.17</v>
      </c>
      <c r="N777" s="21"/>
      <c r="O777" s="22" t="s">
        <v>20</v>
      </c>
      <c r="P777" s="18">
        <f t="shared" si="185"/>
        <v>0</v>
      </c>
      <c r="Q777" s="22" t="s">
        <v>20</v>
      </c>
      <c r="R777" s="23">
        <f t="shared" si="186"/>
        <v>0</v>
      </c>
      <c r="S777" s="23">
        <f t="shared" si="182"/>
        <v>0</v>
      </c>
    </row>
    <row r="778" spans="1:19" s="26" customFormat="1">
      <c r="A778" s="94" t="s">
        <v>601</v>
      </c>
      <c r="B778" s="26" t="s">
        <v>26</v>
      </c>
      <c r="C778" s="27"/>
      <c r="D778" s="28" t="s">
        <v>43</v>
      </c>
      <c r="E778" s="29">
        <v>1</v>
      </c>
      <c r="F778" s="30">
        <v>1</v>
      </c>
      <c r="G778" s="31" t="s">
        <v>21</v>
      </c>
      <c r="H778" s="30">
        <v>40</v>
      </c>
      <c r="I778" s="31" t="s">
        <v>43</v>
      </c>
      <c r="J778" s="32">
        <f>3360000/40</f>
        <v>84000</v>
      </c>
      <c r="K778" s="28" t="s">
        <v>43</v>
      </c>
      <c r="L778" s="33"/>
      <c r="M778" s="33">
        <v>0.17</v>
      </c>
      <c r="N778" s="30">
        <v>1</v>
      </c>
      <c r="O778" s="31" t="s">
        <v>43</v>
      </c>
      <c r="P778" s="27">
        <f t="shared" si="185"/>
        <v>39</v>
      </c>
      <c r="Q778" s="31" t="s">
        <v>43</v>
      </c>
      <c r="R778" s="32">
        <f t="shared" si="186"/>
        <v>2719080</v>
      </c>
      <c r="S778" s="32">
        <f t="shared" si="182"/>
        <v>2449621.6216216213</v>
      </c>
    </row>
    <row r="779" spans="1:19" s="26" customFormat="1">
      <c r="A779" s="94" t="s">
        <v>602</v>
      </c>
      <c r="B779" s="26" t="s">
        <v>26</v>
      </c>
      <c r="C779" s="27">
        <v>20</v>
      </c>
      <c r="D779" s="28" t="s">
        <v>43</v>
      </c>
      <c r="E779" s="29"/>
      <c r="F779" s="30">
        <v>1</v>
      </c>
      <c r="G779" s="31" t="s">
        <v>21</v>
      </c>
      <c r="H779" s="30">
        <v>20</v>
      </c>
      <c r="I779" s="31" t="s">
        <v>43</v>
      </c>
      <c r="J779" s="32">
        <f>1992000/20</f>
        <v>99600</v>
      </c>
      <c r="K779" s="28" t="s">
        <v>43</v>
      </c>
      <c r="L779" s="33"/>
      <c r="M779" s="33">
        <v>0.17</v>
      </c>
      <c r="N779" s="30">
        <f>2+2+2+1</f>
        <v>7</v>
      </c>
      <c r="O779" s="31" t="s">
        <v>43</v>
      </c>
      <c r="P779" s="27">
        <f t="shared" si="185"/>
        <v>13</v>
      </c>
      <c r="Q779" s="31" t="s">
        <v>43</v>
      </c>
      <c r="R779" s="32">
        <f t="shared" si="186"/>
        <v>1074684</v>
      </c>
      <c r="S779" s="32">
        <f t="shared" si="182"/>
        <v>968183.78378378367</v>
      </c>
    </row>
    <row r="780" spans="1:19" s="26" customFormat="1">
      <c r="A780" s="94"/>
      <c r="C780" s="27"/>
      <c r="D780" s="28"/>
      <c r="E780" s="29"/>
      <c r="F780" s="30"/>
      <c r="G780" s="31"/>
      <c r="H780" s="30"/>
      <c r="I780" s="31"/>
      <c r="J780" s="32"/>
      <c r="K780" s="28"/>
      <c r="L780" s="33"/>
      <c r="M780" s="33"/>
      <c r="N780" s="30"/>
      <c r="O780" s="31"/>
      <c r="P780" s="27"/>
      <c r="Q780" s="31"/>
      <c r="R780" s="32"/>
      <c r="S780" s="32"/>
    </row>
    <row r="781" spans="1:19">
      <c r="A781" s="15" t="s">
        <v>603</v>
      </c>
      <c r="S781" s="23"/>
    </row>
    <row r="782" spans="1:19" s="63" customFormat="1">
      <c r="A782" s="72" t="s">
        <v>604</v>
      </c>
      <c r="B782" s="63" t="s">
        <v>19</v>
      </c>
      <c r="C782" s="64"/>
      <c r="D782" s="65" t="s">
        <v>43</v>
      </c>
      <c r="E782" s="66"/>
      <c r="F782" s="67">
        <v>18</v>
      </c>
      <c r="G782" s="68" t="s">
        <v>104</v>
      </c>
      <c r="H782" s="67">
        <v>1</v>
      </c>
      <c r="I782" s="68" t="s">
        <v>43</v>
      </c>
      <c r="J782" s="69">
        <f>5300*12</f>
        <v>63600</v>
      </c>
      <c r="K782" s="65" t="s">
        <v>43</v>
      </c>
      <c r="L782" s="70">
        <v>0.125</v>
      </c>
      <c r="M782" s="70">
        <v>0.05</v>
      </c>
      <c r="N782" s="67"/>
      <c r="O782" s="68" t="s">
        <v>43</v>
      </c>
      <c r="P782" s="64">
        <f t="shared" ref="P782:P788" si="187">(C782+(E782*F782*H782))-N782</f>
        <v>0</v>
      </c>
      <c r="Q782" s="68" t="s">
        <v>43</v>
      </c>
      <c r="R782" s="69">
        <f t="shared" ref="R782:R788" si="188">P782*(J782-(J782*L782)-((J782-(J782*L782))*M782))</f>
        <v>0</v>
      </c>
      <c r="S782" s="23">
        <f t="shared" si="182"/>
        <v>0</v>
      </c>
    </row>
    <row r="783" spans="1:19" s="63" customFormat="1">
      <c r="A783" s="72" t="s">
        <v>605</v>
      </c>
      <c r="B783" s="63" t="s">
        <v>19</v>
      </c>
      <c r="C783" s="64">
        <v>1</v>
      </c>
      <c r="D783" s="65" t="s">
        <v>43</v>
      </c>
      <c r="E783" s="66"/>
      <c r="F783" s="67">
        <v>24</v>
      </c>
      <c r="G783" s="68" t="s">
        <v>104</v>
      </c>
      <c r="H783" s="67">
        <v>2</v>
      </c>
      <c r="I783" s="68" t="s">
        <v>43</v>
      </c>
      <c r="J783" s="69">
        <f>4900*12</f>
        <v>58800</v>
      </c>
      <c r="K783" s="65" t="s">
        <v>43</v>
      </c>
      <c r="L783" s="70">
        <v>0.125</v>
      </c>
      <c r="M783" s="70">
        <v>0.05</v>
      </c>
      <c r="N783" s="67">
        <v>1</v>
      </c>
      <c r="O783" s="68" t="s">
        <v>43</v>
      </c>
      <c r="P783" s="64">
        <f t="shared" si="187"/>
        <v>0</v>
      </c>
      <c r="Q783" s="68" t="s">
        <v>43</v>
      </c>
      <c r="R783" s="69">
        <f t="shared" si="188"/>
        <v>0</v>
      </c>
      <c r="S783" s="23">
        <f t="shared" si="182"/>
        <v>0</v>
      </c>
    </row>
    <row r="784" spans="1:19" s="63" customFormat="1">
      <c r="A784" s="72" t="s">
        <v>606</v>
      </c>
      <c r="B784" s="63" t="s">
        <v>19</v>
      </c>
      <c r="C784" s="64">
        <v>4</v>
      </c>
      <c r="D784" s="65" t="s">
        <v>43</v>
      </c>
      <c r="E784" s="66"/>
      <c r="F784" s="67">
        <v>18</v>
      </c>
      <c r="G784" s="68" t="s">
        <v>104</v>
      </c>
      <c r="H784" s="67">
        <v>1</v>
      </c>
      <c r="I784" s="68" t="s">
        <v>43</v>
      </c>
      <c r="J784" s="69">
        <f>6100*12</f>
        <v>73200</v>
      </c>
      <c r="K784" s="65" t="s">
        <v>43</v>
      </c>
      <c r="L784" s="70">
        <v>0.125</v>
      </c>
      <c r="M784" s="70">
        <v>0.05</v>
      </c>
      <c r="N784" s="67">
        <v>4</v>
      </c>
      <c r="O784" s="68" t="s">
        <v>43</v>
      </c>
      <c r="P784" s="64">
        <f t="shared" si="187"/>
        <v>0</v>
      </c>
      <c r="Q784" s="68" t="s">
        <v>43</v>
      </c>
      <c r="R784" s="69">
        <f t="shared" si="188"/>
        <v>0</v>
      </c>
      <c r="S784" s="23">
        <f t="shared" si="182"/>
        <v>0</v>
      </c>
    </row>
    <row r="785" spans="1:19" s="63" customFormat="1">
      <c r="A785" s="72" t="s">
        <v>607</v>
      </c>
      <c r="B785" s="63" t="s">
        <v>19</v>
      </c>
      <c r="C785" s="64">
        <v>60</v>
      </c>
      <c r="D785" s="65" t="s">
        <v>43</v>
      </c>
      <c r="E785" s="66"/>
      <c r="F785" s="67">
        <v>24</v>
      </c>
      <c r="G785" s="68" t="s">
        <v>104</v>
      </c>
      <c r="H785" s="67">
        <v>6</v>
      </c>
      <c r="I785" s="68" t="s">
        <v>20</v>
      </c>
      <c r="J785" s="69">
        <v>12600</v>
      </c>
      <c r="K785" s="65" t="s">
        <v>20</v>
      </c>
      <c r="L785" s="70">
        <v>0.125</v>
      </c>
      <c r="M785" s="70">
        <v>0.05</v>
      </c>
      <c r="N785" s="67">
        <f>(5*12)</f>
        <v>60</v>
      </c>
      <c r="O785" s="68" t="s">
        <v>20</v>
      </c>
      <c r="P785" s="64">
        <f t="shared" si="187"/>
        <v>0</v>
      </c>
      <c r="Q785" s="68" t="s">
        <v>20</v>
      </c>
      <c r="R785" s="69">
        <f t="shared" si="188"/>
        <v>0</v>
      </c>
      <c r="S785" s="23">
        <f t="shared" si="182"/>
        <v>0</v>
      </c>
    </row>
    <row r="786" spans="1:19" s="63" customFormat="1">
      <c r="A786" s="72"/>
      <c r="C786" s="64"/>
      <c r="D786" s="65"/>
      <c r="E786" s="66"/>
      <c r="F786" s="67"/>
      <c r="G786" s="68"/>
      <c r="H786" s="67"/>
      <c r="I786" s="68"/>
      <c r="J786" s="69"/>
      <c r="K786" s="65"/>
      <c r="L786" s="70"/>
      <c r="M786" s="70"/>
      <c r="N786" s="67"/>
      <c r="O786" s="68"/>
      <c r="P786" s="64"/>
      <c r="Q786" s="68"/>
      <c r="R786" s="69"/>
      <c r="S786" s="23"/>
    </row>
    <row r="787" spans="1:19" s="45" customFormat="1">
      <c r="A787" s="44" t="s">
        <v>608</v>
      </c>
      <c r="B787" s="45" t="s">
        <v>26</v>
      </c>
      <c r="C787" s="46">
        <v>35</v>
      </c>
      <c r="D787" s="47" t="s">
        <v>43</v>
      </c>
      <c r="E787" s="48"/>
      <c r="F787" s="49">
        <v>1</v>
      </c>
      <c r="G787" s="50" t="s">
        <v>21</v>
      </c>
      <c r="H787" s="49">
        <v>18</v>
      </c>
      <c r="I787" s="50" t="s">
        <v>43</v>
      </c>
      <c r="J787" s="51">
        <f>1069200/18</f>
        <v>59400</v>
      </c>
      <c r="K787" s="47" t="s">
        <v>43</v>
      </c>
      <c r="L787" s="52"/>
      <c r="M787" s="52">
        <v>0.17</v>
      </c>
      <c r="N787" s="49">
        <v>1</v>
      </c>
      <c r="O787" s="50" t="s">
        <v>43</v>
      </c>
      <c r="P787" s="46">
        <f t="shared" si="187"/>
        <v>34</v>
      </c>
      <c r="Q787" s="50" t="s">
        <v>43</v>
      </c>
      <c r="R787" s="51">
        <f t="shared" si="188"/>
        <v>1676268</v>
      </c>
      <c r="S787" s="51">
        <f t="shared" si="182"/>
        <v>1510151.3513513512</v>
      </c>
    </row>
    <row r="788" spans="1:19" s="26" customFormat="1">
      <c r="A788" s="25" t="s">
        <v>609</v>
      </c>
      <c r="B788" s="26" t="s">
        <v>26</v>
      </c>
      <c r="C788" s="27">
        <v>5</v>
      </c>
      <c r="D788" s="28" t="s">
        <v>43</v>
      </c>
      <c r="E788" s="29"/>
      <c r="F788" s="30">
        <v>1</v>
      </c>
      <c r="G788" s="31" t="s">
        <v>21</v>
      </c>
      <c r="H788" s="30">
        <v>18</v>
      </c>
      <c r="I788" s="31" t="s">
        <v>43</v>
      </c>
      <c r="J788" s="32">
        <f>1274400/18</f>
        <v>70800</v>
      </c>
      <c r="K788" s="28" t="s">
        <v>43</v>
      </c>
      <c r="L788" s="33"/>
      <c r="M788" s="33">
        <v>0.17</v>
      </c>
      <c r="N788" s="30"/>
      <c r="O788" s="31" t="s">
        <v>43</v>
      </c>
      <c r="P788" s="27">
        <f t="shared" si="187"/>
        <v>5</v>
      </c>
      <c r="Q788" s="31" t="s">
        <v>43</v>
      </c>
      <c r="R788" s="32">
        <f t="shared" si="188"/>
        <v>293820</v>
      </c>
      <c r="S788" s="32">
        <f t="shared" si="182"/>
        <v>264702.70270270266</v>
      </c>
    </row>
    <row r="789" spans="1:19">
      <c r="S789" s="23"/>
    </row>
    <row r="790" spans="1:19" ht="15.75">
      <c r="A790" s="14" t="s">
        <v>610</v>
      </c>
      <c r="S790" s="23"/>
    </row>
    <row r="791" spans="1:19">
      <c r="A791" s="15" t="s">
        <v>611</v>
      </c>
      <c r="S791" s="23"/>
    </row>
    <row r="792" spans="1:19" s="17" customFormat="1">
      <c r="A792" s="16" t="s">
        <v>782</v>
      </c>
      <c r="B792" s="63" t="s">
        <v>19</v>
      </c>
      <c r="C792" s="18"/>
      <c r="D792" s="19" t="s">
        <v>20</v>
      </c>
      <c r="E792" s="20"/>
      <c r="F792" s="21">
        <v>1</v>
      </c>
      <c r="G792" s="22" t="s">
        <v>21</v>
      </c>
      <c r="H792" s="21">
        <v>72</v>
      </c>
      <c r="I792" s="22" t="s">
        <v>20</v>
      </c>
      <c r="J792" s="23">
        <v>34500</v>
      </c>
      <c r="K792" s="19" t="s">
        <v>20</v>
      </c>
      <c r="L792" s="24">
        <v>0.125</v>
      </c>
      <c r="M792" s="24">
        <v>0.05</v>
      </c>
      <c r="N792" s="21"/>
      <c r="O792" s="22" t="s">
        <v>20</v>
      </c>
      <c r="P792" s="18">
        <f>(C792+(E792*F792*H792))-N792</f>
        <v>0</v>
      </c>
      <c r="Q792" s="22" t="s">
        <v>20</v>
      </c>
      <c r="R792" s="23">
        <f>P792*(J792-(J792*L792)-((J792-(J792*L792))*M792))</f>
        <v>0</v>
      </c>
      <c r="S792" s="23">
        <f t="shared" ref="S792" si="189">R792/1.11</f>
        <v>0</v>
      </c>
    </row>
    <row r="793" spans="1:19" s="17" customFormat="1">
      <c r="A793" s="16" t="s">
        <v>612</v>
      </c>
      <c r="B793" s="63" t="s">
        <v>19</v>
      </c>
      <c r="C793" s="18"/>
      <c r="D793" s="19" t="s">
        <v>20</v>
      </c>
      <c r="E793" s="20"/>
      <c r="F793" s="21">
        <v>1</v>
      </c>
      <c r="G793" s="22" t="s">
        <v>21</v>
      </c>
      <c r="H793" s="21">
        <v>24</v>
      </c>
      <c r="I793" s="22" t="s">
        <v>20</v>
      </c>
      <c r="J793" s="23">
        <v>97000</v>
      </c>
      <c r="K793" s="19" t="s">
        <v>20</v>
      </c>
      <c r="L793" s="24">
        <v>0.125</v>
      </c>
      <c r="M793" s="24">
        <v>0.05</v>
      </c>
      <c r="N793" s="21"/>
      <c r="O793" s="22" t="s">
        <v>20</v>
      </c>
      <c r="P793" s="18">
        <f>(C793+(E793*F793*H793))-N793</f>
        <v>0</v>
      </c>
      <c r="Q793" s="22" t="s">
        <v>20</v>
      </c>
      <c r="R793" s="23">
        <f>P793*(J793-(J793*L793)-((J793-(J793*L793))*M793))</f>
        <v>0</v>
      </c>
      <c r="S793" s="23">
        <f t="shared" si="182"/>
        <v>0</v>
      </c>
    </row>
    <row r="794" spans="1:19" s="17" customFormat="1">
      <c r="A794" s="16"/>
      <c r="B794" s="63"/>
      <c r="C794" s="18"/>
      <c r="D794" s="19"/>
      <c r="E794" s="20"/>
      <c r="F794" s="21"/>
      <c r="G794" s="22"/>
      <c r="H794" s="21"/>
      <c r="I794" s="22"/>
      <c r="J794" s="23"/>
      <c r="K794" s="19"/>
      <c r="L794" s="24"/>
      <c r="M794" s="24"/>
      <c r="N794" s="21"/>
      <c r="O794" s="22"/>
      <c r="P794" s="18"/>
      <c r="Q794" s="22"/>
      <c r="R794" s="23"/>
      <c r="S794" s="23"/>
    </row>
    <row r="795" spans="1:19" s="17" customFormat="1">
      <c r="A795" s="16" t="s">
        <v>613</v>
      </c>
      <c r="B795" s="17" t="s">
        <v>26</v>
      </c>
      <c r="C795" s="18"/>
      <c r="D795" s="19" t="s">
        <v>43</v>
      </c>
      <c r="E795" s="20"/>
      <c r="F795" s="21">
        <v>1</v>
      </c>
      <c r="G795" s="22" t="s">
        <v>21</v>
      </c>
      <c r="H795" s="21">
        <v>48</v>
      </c>
      <c r="I795" s="22" t="s">
        <v>20</v>
      </c>
      <c r="J795" s="23">
        <f>2400000/48</f>
        <v>50000</v>
      </c>
      <c r="K795" s="19" t="s">
        <v>20</v>
      </c>
      <c r="L795" s="24"/>
      <c r="M795" s="24">
        <v>0.17</v>
      </c>
      <c r="N795" s="21"/>
      <c r="O795" s="22" t="s">
        <v>20</v>
      </c>
      <c r="P795" s="18">
        <f>(C795+(E795*F795*H795))-N795</f>
        <v>0</v>
      </c>
      <c r="Q795" s="22" t="s">
        <v>20</v>
      </c>
      <c r="R795" s="23">
        <f>P795*(J795-(J795*L795)-((J795-(J795*L795))*M795))</f>
        <v>0</v>
      </c>
      <c r="S795" s="23">
        <f t="shared" si="182"/>
        <v>0</v>
      </c>
    </row>
    <row r="796" spans="1:19" s="17" customFormat="1">
      <c r="A796" s="16"/>
      <c r="C796" s="18"/>
      <c r="D796" s="19"/>
      <c r="E796" s="20"/>
      <c r="F796" s="21"/>
      <c r="G796" s="22"/>
      <c r="H796" s="21"/>
      <c r="I796" s="22"/>
      <c r="J796" s="23"/>
      <c r="K796" s="19"/>
      <c r="L796" s="24"/>
      <c r="M796" s="24"/>
      <c r="N796" s="21"/>
      <c r="O796" s="22"/>
      <c r="P796" s="18"/>
      <c r="Q796" s="22"/>
      <c r="R796" s="23"/>
      <c r="S796" s="23"/>
    </row>
    <row r="797" spans="1:19">
      <c r="A797" s="15" t="s">
        <v>614</v>
      </c>
      <c r="S797" s="23"/>
    </row>
    <row r="798" spans="1:19" s="45" customFormat="1">
      <c r="A798" s="44" t="s">
        <v>615</v>
      </c>
      <c r="B798" s="45" t="s">
        <v>19</v>
      </c>
      <c r="C798" s="46">
        <v>24</v>
      </c>
      <c r="D798" s="47" t="s">
        <v>43</v>
      </c>
      <c r="E798" s="48">
        <f>2+5+2</f>
        <v>9</v>
      </c>
      <c r="F798" s="49">
        <v>1</v>
      </c>
      <c r="G798" s="50" t="s">
        <v>21</v>
      </c>
      <c r="H798" s="49">
        <v>20</v>
      </c>
      <c r="I798" s="50" t="s">
        <v>43</v>
      </c>
      <c r="J798" s="51">
        <v>85200</v>
      </c>
      <c r="K798" s="47" t="s">
        <v>43</v>
      </c>
      <c r="L798" s="52">
        <v>0.125</v>
      </c>
      <c r="M798" s="52">
        <v>0.05</v>
      </c>
      <c r="N798" s="49">
        <f>20+10+80+20</f>
        <v>130</v>
      </c>
      <c r="O798" s="50" t="s">
        <v>43</v>
      </c>
      <c r="P798" s="46">
        <f t="shared" ref="P798:P839" si="190">(C798+(E798*F798*H798))-N798</f>
        <v>74</v>
      </c>
      <c r="Q798" s="50" t="s">
        <v>43</v>
      </c>
      <c r="R798" s="51">
        <f t="shared" ref="R798:R839" si="191">P798*(J798-(J798*L798)-((J798-(J798*L798))*M798))</f>
        <v>5240865</v>
      </c>
      <c r="S798" s="51">
        <f t="shared" si="182"/>
        <v>4721500</v>
      </c>
    </row>
    <row r="799" spans="1:19" s="17" customFormat="1">
      <c r="A799" s="16" t="s">
        <v>616</v>
      </c>
      <c r="B799" s="17" t="s">
        <v>19</v>
      </c>
      <c r="C799" s="18">
        <v>36</v>
      </c>
      <c r="D799" s="19" t="s">
        <v>20</v>
      </c>
      <c r="E799" s="20">
        <v>1</v>
      </c>
      <c r="F799" s="21">
        <v>24</v>
      </c>
      <c r="G799" s="22" t="s">
        <v>34</v>
      </c>
      <c r="H799" s="21">
        <v>10</v>
      </c>
      <c r="I799" s="22" t="s">
        <v>20</v>
      </c>
      <c r="J799" s="23">
        <v>9750</v>
      </c>
      <c r="K799" s="19" t="s">
        <v>20</v>
      </c>
      <c r="L799" s="24">
        <v>0.125</v>
      </c>
      <c r="M799" s="24">
        <v>0.05</v>
      </c>
      <c r="N799" s="21">
        <f>(3*12)+(20*12)</f>
        <v>276</v>
      </c>
      <c r="O799" s="22" t="s">
        <v>20</v>
      </c>
      <c r="P799" s="18">
        <f t="shared" si="190"/>
        <v>0</v>
      </c>
      <c r="Q799" s="22" t="s">
        <v>20</v>
      </c>
      <c r="R799" s="23">
        <f t="shared" si="191"/>
        <v>0</v>
      </c>
      <c r="S799" s="23">
        <f t="shared" si="182"/>
        <v>0</v>
      </c>
    </row>
    <row r="800" spans="1:19" s="17" customFormat="1">
      <c r="A800" s="16" t="s">
        <v>617</v>
      </c>
      <c r="B800" s="17" t="s">
        <v>19</v>
      </c>
      <c r="C800" s="18"/>
      <c r="D800" s="19" t="s">
        <v>43</v>
      </c>
      <c r="E800" s="20"/>
      <c r="F800" s="21">
        <v>1</v>
      </c>
      <c r="G800" s="22" t="s">
        <v>21</v>
      </c>
      <c r="H800" s="21">
        <v>25</v>
      </c>
      <c r="I800" s="22" t="s">
        <v>43</v>
      </c>
      <c r="J800" s="23">
        <v>70800</v>
      </c>
      <c r="K800" s="19" t="s">
        <v>43</v>
      </c>
      <c r="L800" s="24">
        <v>0.125</v>
      </c>
      <c r="M800" s="24">
        <v>0.05</v>
      </c>
      <c r="N800" s="21"/>
      <c r="O800" s="22" t="s">
        <v>43</v>
      </c>
      <c r="P800" s="18">
        <f t="shared" si="190"/>
        <v>0</v>
      </c>
      <c r="Q800" s="22" t="s">
        <v>43</v>
      </c>
      <c r="R800" s="23">
        <f t="shared" si="191"/>
        <v>0</v>
      </c>
      <c r="S800" s="23">
        <f t="shared" si="182"/>
        <v>0</v>
      </c>
    </row>
    <row r="801" spans="1:19" s="45" customFormat="1">
      <c r="A801" s="44" t="s">
        <v>618</v>
      </c>
      <c r="B801" s="45" t="s">
        <v>19</v>
      </c>
      <c r="C801" s="46">
        <v>220</v>
      </c>
      <c r="D801" s="47" t="s">
        <v>43</v>
      </c>
      <c r="E801" s="48"/>
      <c r="F801" s="49">
        <v>20</v>
      </c>
      <c r="G801" s="50" t="s">
        <v>34</v>
      </c>
      <c r="H801" s="49">
        <v>1</v>
      </c>
      <c r="I801" s="50" t="s">
        <v>43</v>
      </c>
      <c r="J801" s="51">
        <f>6600*12</f>
        <v>79200</v>
      </c>
      <c r="K801" s="47" t="s">
        <v>43</v>
      </c>
      <c r="L801" s="52">
        <v>0.125</v>
      </c>
      <c r="M801" s="52">
        <v>0.05</v>
      </c>
      <c r="N801" s="49">
        <v>20</v>
      </c>
      <c r="O801" s="50" t="s">
        <v>43</v>
      </c>
      <c r="P801" s="46">
        <f t="shared" si="190"/>
        <v>200</v>
      </c>
      <c r="Q801" s="50" t="s">
        <v>43</v>
      </c>
      <c r="R801" s="51">
        <f t="shared" si="191"/>
        <v>13167000</v>
      </c>
      <c r="S801" s="51">
        <f t="shared" si="182"/>
        <v>11862162.162162161</v>
      </c>
    </row>
    <row r="802" spans="1:19" s="85" customFormat="1">
      <c r="A802" s="84" t="s">
        <v>619</v>
      </c>
      <c r="B802" s="85" t="s">
        <v>19</v>
      </c>
      <c r="C802" s="86">
        <v>330</v>
      </c>
      <c r="D802" s="87" t="s">
        <v>20</v>
      </c>
      <c r="E802" s="92">
        <f>2+1</f>
        <v>3</v>
      </c>
      <c r="F802" s="88">
        <v>20</v>
      </c>
      <c r="G802" s="89" t="s">
        <v>34</v>
      </c>
      <c r="H802" s="88">
        <v>6</v>
      </c>
      <c r="I802" s="89" t="s">
        <v>20</v>
      </c>
      <c r="J802" s="90">
        <v>18700</v>
      </c>
      <c r="K802" s="87" t="s">
        <v>20</v>
      </c>
      <c r="L802" s="91">
        <v>0.125</v>
      </c>
      <c r="M802" s="91">
        <v>0.05</v>
      </c>
      <c r="N802" s="88">
        <f>(10*12)</f>
        <v>120</v>
      </c>
      <c r="O802" s="89" t="s">
        <v>20</v>
      </c>
      <c r="P802" s="86">
        <f t="shared" si="190"/>
        <v>570</v>
      </c>
      <c r="Q802" s="89" t="s">
        <v>20</v>
      </c>
      <c r="R802" s="90">
        <f t="shared" si="191"/>
        <v>8860293.75</v>
      </c>
      <c r="S802" s="51">
        <f t="shared" si="182"/>
        <v>7982246.6216216208</v>
      </c>
    </row>
    <row r="803" spans="1:19" s="63" customFormat="1">
      <c r="A803" s="72" t="s">
        <v>620</v>
      </c>
      <c r="B803" s="63" t="s">
        <v>19</v>
      </c>
      <c r="C803" s="64"/>
      <c r="D803" s="65" t="s">
        <v>20</v>
      </c>
      <c r="E803" s="66"/>
      <c r="F803" s="67">
        <v>20</v>
      </c>
      <c r="G803" s="68" t="s">
        <v>34</v>
      </c>
      <c r="H803" s="67">
        <v>6</v>
      </c>
      <c r="I803" s="68" t="s">
        <v>20</v>
      </c>
      <c r="J803" s="69">
        <v>14800</v>
      </c>
      <c r="K803" s="65" t="s">
        <v>20</v>
      </c>
      <c r="L803" s="70">
        <v>0.125</v>
      </c>
      <c r="M803" s="70">
        <v>0.05</v>
      </c>
      <c r="N803" s="67"/>
      <c r="O803" s="68" t="s">
        <v>20</v>
      </c>
      <c r="P803" s="64">
        <f t="shared" si="190"/>
        <v>0</v>
      </c>
      <c r="Q803" s="68" t="s">
        <v>20</v>
      </c>
      <c r="R803" s="69">
        <f t="shared" si="191"/>
        <v>0</v>
      </c>
      <c r="S803" s="69">
        <f t="shared" si="182"/>
        <v>0</v>
      </c>
    </row>
    <row r="804" spans="1:19" s="17" customFormat="1">
      <c r="A804" s="16" t="s">
        <v>621</v>
      </c>
      <c r="B804" s="17" t="s">
        <v>19</v>
      </c>
      <c r="C804" s="18"/>
      <c r="D804" s="19" t="s">
        <v>20</v>
      </c>
      <c r="E804" s="20"/>
      <c r="F804" s="21">
        <v>1</v>
      </c>
      <c r="G804" s="22" t="s">
        <v>21</v>
      </c>
      <c r="H804" s="21">
        <v>12</v>
      </c>
      <c r="I804" s="22" t="s">
        <v>20</v>
      </c>
      <c r="J804" s="23">
        <v>162000</v>
      </c>
      <c r="K804" s="19" t="s">
        <v>20</v>
      </c>
      <c r="L804" s="24">
        <v>0.125</v>
      </c>
      <c r="M804" s="24">
        <v>0.05</v>
      </c>
      <c r="N804" s="21"/>
      <c r="O804" s="22" t="s">
        <v>20</v>
      </c>
      <c r="P804" s="18">
        <f t="shared" si="190"/>
        <v>0</v>
      </c>
      <c r="Q804" s="22" t="s">
        <v>20</v>
      </c>
      <c r="R804" s="23">
        <f t="shared" si="191"/>
        <v>0</v>
      </c>
      <c r="S804" s="23">
        <f t="shared" si="182"/>
        <v>0</v>
      </c>
    </row>
    <row r="805" spans="1:19" s="17" customFormat="1">
      <c r="A805" s="16" t="s">
        <v>622</v>
      </c>
      <c r="B805" s="17" t="s">
        <v>19</v>
      </c>
      <c r="C805" s="18"/>
      <c r="D805" s="19" t="s">
        <v>20</v>
      </c>
      <c r="E805" s="20"/>
      <c r="F805" s="21">
        <v>1</v>
      </c>
      <c r="G805" s="22" t="s">
        <v>21</v>
      </c>
      <c r="H805" s="21">
        <v>36</v>
      </c>
      <c r="I805" s="22" t="s">
        <v>20</v>
      </c>
      <c r="J805" s="23">
        <v>58000</v>
      </c>
      <c r="K805" s="19" t="s">
        <v>20</v>
      </c>
      <c r="L805" s="24">
        <v>0.125</v>
      </c>
      <c r="M805" s="24">
        <v>0.05</v>
      </c>
      <c r="N805" s="21"/>
      <c r="O805" s="22" t="s">
        <v>20</v>
      </c>
      <c r="P805" s="18">
        <f t="shared" si="190"/>
        <v>0</v>
      </c>
      <c r="Q805" s="22" t="s">
        <v>20</v>
      </c>
      <c r="R805" s="23">
        <f t="shared" si="191"/>
        <v>0</v>
      </c>
      <c r="S805" s="23">
        <f t="shared" si="182"/>
        <v>0</v>
      </c>
    </row>
    <row r="806" spans="1:19" s="26" customFormat="1">
      <c r="A806" s="25" t="s">
        <v>623</v>
      </c>
      <c r="B806" s="26" t="s">
        <v>19</v>
      </c>
      <c r="C806" s="27">
        <v>12</v>
      </c>
      <c r="D806" s="28" t="s">
        <v>20</v>
      </c>
      <c r="E806" s="29"/>
      <c r="F806" s="30">
        <v>1</v>
      </c>
      <c r="G806" s="31" t="s">
        <v>21</v>
      </c>
      <c r="H806" s="30">
        <v>12</v>
      </c>
      <c r="I806" s="31" t="s">
        <v>20</v>
      </c>
      <c r="J806" s="32">
        <v>97000</v>
      </c>
      <c r="K806" s="28" t="s">
        <v>20</v>
      </c>
      <c r="L806" s="33">
        <v>0.125</v>
      </c>
      <c r="M806" s="33">
        <v>0.05</v>
      </c>
      <c r="N806" s="30"/>
      <c r="O806" s="31" t="s">
        <v>20</v>
      </c>
      <c r="P806" s="27">
        <f t="shared" si="190"/>
        <v>12</v>
      </c>
      <c r="Q806" s="31" t="s">
        <v>20</v>
      </c>
      <c r="R806" s="32">
        <f t="shared" si="191"/>
        <v>967575</v>
      </c>
      <c r="S806" s="32">
        <f t="shared" si="182"/>
        <v>871689.18918918911</v>
      </c>
    </row>
    <row r="807" spans="1:19" s="26" customFormat="1">
      <c r="A807" s="25" t="s">
        <v>624</v>
      </c>
      <c r="B807" s="26" t="s">
        <v>19</v>
      </c>
      <c r="C807" s="27">
        <v>6</v>
      </c>
      <c r="D807" s="28" t="s">
        <v>20</v>
      </c>
      <c r="E807" s="29"/>
      <c r="F807" s="30">
        <v>1</v>
      </c>
      <c r="G807" s="31" t="s">
        <v>21</v>
      </c>
      <c r="H807" s="30">
        <v>12</v>
      </c>
      <c r="I807" s="31" t="s">
        <v>20</v>
      </c>
      <c r="J807" s="32">
        <v>95000</v>
      </c>
      <c r="K807" s="28" t="s">
        <v>20</v>
      </c>
      <c r="L807" s="33">
        <v>0.125</v>
      </c>
      <c r="M807" s="33">
        <v>0.05</v>
      </c>
      <c r="N807" s="30"/>
      <c r="O807" s="31" t="s">
        <v>20</v>
      </c>
      <c r="P807" s="27">
        <f t="shared" si="190"/>
        <v>6</v>
      </c>
      <c r="Q807" s="31" t="s">
        <v>20</v>
      </c>
      <c r="R807" s="32">
        <f t="shared" si="191"/>
        <v>473812.5</v>
      </c>
      <c r="S807" s="32">
        <f t="shared" si="182"/>
        <v>426858.10810810805</v>
      </c>
    </row>
    <row r="808" spans="1:19" s="17" customFormat="1">
      <c r="A808" s="16" t="s">
        <v>625</v>
      </c>
      <c r="B808" s="17" t="s">
        <v>19</v>
      </c>
      <c r="C808" s="18"/>
      <c r="D808" s="19" t="s">
        <v>20</v>
      </c>
      <c r="E808" s="20"/>
      <c r="F808" s="21">
        <v>1</v>
      </c>
      <c r="G808" s="22" t="s">
        <v>21</v>
      </c>
      <c r="H808" s="21">
        <v>6</v>
      </c>
      <c r="I808" s="22" t="s">
        <v>20</v>
      </c>
      <c r="J808" s="23">
        <v>187000</v>
      </c>
      <c r="K808" s="19" t="s">
        <v>20</v>
      </c>
      <c r="L808" s="24">
        <v>0.125</v>
      </c>
      <c r="M808" s="24">
        <v>0.05</v>
      </c>
      <c r="N808" s="21"/>
      <c r="O808" s="22" t="s">
        <v>20</v>
      </c>
      <c r="P808" s="18">
        <f t="shared" si="190"/>
        <v>0</v>
      </c>
      <c r="Q808" s="22" t="s">
        <v>20</v>
      </c>
      <c r="R808" s="23">
        <f t="shared" si="191"/>
        <v>0</v>
      </c>
      <c r="S808" s="23">
        <f t="shared" si="182"/>
        <v>0</v>
      </c>
    </row>
    <row r="809" spans="1:19" s="26" customFormat="1">
      <c r="A809" s="25" t="s">
        <v>626</v>
      </c>
      <c r="B809" s="26" t="s">
        <v>19</v>
      </c>
      <c r="C809" s="27">
        <v>6</v>
      </c>
      <c r="D809" s="28" t="s">
        <v>20</v>
      </c>
      <c r="E809" s="29"/>
      <c r="F809" s="30">
        <v>1</v>
      </c>
      <c r="G809" s="31" t="s">
        <v>21</v>
      </c>
      <c r="H809" s="30">
        <v>6</v>
      </c>
      <c r="I809" s="31" t="s">
        <v>20</v>
      </c>
      <c r="J809" s="32">
        <v>420000</v>
      </c>
      <c r="K809" s="28" t="s">
        <v>20</v>
      </c>
      <c r="L809" s="33">
        <v>0.125</v>
      </c>
      <c r="M809" s="33">
        <v>0.05</v>
      </c>
      <c r="N809" s="30"/>
      <c r="O809" s="31" t="s">
        <v>20</v>
      </c>
      <c r="P809" s="27">
        <f t="shared" si="190"/>
        <v>6</v>
      </c>
      <c r="Q809" s="31" t="s">
        <v>20</v>
      </c>
      <c r="R809" s="32">
        <f t="shared" si="191"/>
        <v>2094750</v>
      </c>
      <c r="S809" s="32">
        <f t="shared" si="182"/>
        <v>1887162.1621621619</v>
      </c>
    </row>
    <row r="810" spans="1:19" s="26" customFormat="1">
      <c r="A810" s="25"/>
      <c r="C810" s="27"/>
      <c r="D810" s="28"/>
      <c r="E810" s="29"/>
      <c r="F810" s="30"/>
      <c r="G810" s="31"/>
      <c r="H810" s="30"/>
      <c r="I810" s="31"/>
      <c r="J810" s="32"/>
      <c r="K810" s="28"/>
      <c r="L810" s="33"/>
      <c r="M810" s="33"/>
      <c r="N810" s="30"/>
      <c r="O810" s="31"/>
      <c r="P810" s="27"/>
      <c r="Q810" s="31"/>
      <c r="R810" s="32"/>
      <c r="S810" s="32"/>
    </row>
    <row r="811" spans="1:19" s="45" customFormat="1">
      <c r="A811" s="44" t="s">
        <v>627</v>
      </c>
      <c r="B811" s="45" t="s">
        <v>26</v>
      </c>
      <c r="C811" s="46">
        <v>80</v>
      </c>
      <c r="D811" s="47" t="s">
        <v>43</v>
      </c>
      <c r="E811" s="48">
        <f>10+10</f>
        <v>20</v>
      </c>
      <c r="F811" s="49">
        <v>1</v>
      </c>
      <c r="G811" s="50" t="s">
        <v>21</v>
      </c>
      <c r="H811" s="49">
        <v>20</v>
      </c>
      <c r="I811" s="50" t="s">
        <v>43</v>
      </c>
      <c r="J811" s="51">
        <f>1740000/20</f>
        <v>87000</v>
      </c>
      <c r="K811" s="47" t="s">
        <v>43</v>
      </c>
      <c r="L811" s="52"/>
      <c r="M811" s="52">
        <v>0.17</v>
      </c>
      <c r="N811" s="49">
        <f>40+60+20+2+20+20+20+40+40+20+20+3+40+40</f>
        <v>385</v>
      </c>
      <c r="O811" s="50" t="s">
        <v>43</v>
      </c>
      <c r="P811" s="46">
        <f t="shared" si="190"/>
        <v>95</v>
      </c>
      <c r="Q811" s="50" t="s">
        <v>43</v>
      </c>
      <c r="R811" s="51">
        <f t="shared" si="191"/>
        <v>6859950</v>
      </c>
      <c r="S811" s="51">
        <f t="shared" si="182"/>
        <v>6180135.1351351347</v>
      </c>
    </row>
    <row r="812" spans="1:19">
      <c r="A812" s="34" t="s">
        <v>628</v>
      </c>
      <c r="B812" s="2" t="s">
        <v>26</v>
      </c>
      <c r="C812" s="3">
        <v>180</v>
      </c>
      <c r="D812" s="4" t="s">
        <v>43</v>
      </c>
      <c r="F812" s="6">
        <v>1</v>
      </c>
      <c r="G812" s="7" t="s">
        <v>21</v>
      </c>
      <c r="H812" s="6">
        <v>20</v>
      </c>
      <c r="I812" s="7" t="s">
        <v>43</v>
      </c>
      <c r="J812" s="8">
        <f>1680000/20</f>
        <v>84000</v>
      </c>
      <c r="K812" s="4" t="s">
        <v>43</v>
      </c>
      <c r="M812" s="9">
        <v>0.17</v>
      </c>
      <c r="O812" s="7" t="s">
        <v>43</v>
      </c>
      <c r="P812" s="3">
        <f t="shared" si="190"/>
        <v>180</v>
      </c>
      <c r="Q812" s="7" t="s">
        <v>43</v>
      </c>
      <c r="R812" s="8">
        <f t="shared" si="191"/>
        <v>12549600</v>
      </c>
      <c r="S812" s="32">
        <f t="shared" si="182"/>
        <v>11305945.945945945</v>
      </c>
    </row>
    <row r="813" spans="1:19">
      <c r="A813" s="159" t="s">
        <v>629</v>
      </c>
      <c r="B813" s="160" t="s">
        <v>26</v>
      </c>
      <c r="C813" s="161">
        <v>10</v>
      </c>
      <c r="D813" s="162" t="s">
        <v>43</v>
      </c>
      <c r="E813" s="163"/>
      <c r="F813" s="164">
        <v>1</v>
      </c>
      <c r="G813" s="165" t="s">
        <v>21</v>
      </c>
      <c r="H813" s="164">
        <v>20</v>
      </c>
      <c r="I813" s="165" t="s">
        <v>43</v>
      </c>
      <c r="J813" s="166">
        <f>1680000/20</f>
        <v>84000</v>
      </c>
      <c r="K813" s="162" t="s">
        <v>43</v>
      </c>
      <c r="L813" s="167"/>
      <c r="M813" s="167">
        <v>0.17</v>
      </c>
      <c r="N813" s="164"/>
      <c r="O813" s="165" t="s">
        <v>43</v>
      </c>
      <c r="P813" s="161">
        <f t="shared" si="190"/>
        <v>10</v>
      </c>
      <c r="Q813" s="165" t="s">
        <v>43</v>
      </c>
      <c r="R813" s="166">
        <f t="shared" si="191"/>
        <v>697200</v>
      </c>
      <c r="S813" s="42">
        <f t="shared" si="182"/>
        <v>628108.10810810805</v>
      </c>
    </row>
    <row r="814" spans="1:19">
      <c r="A814" s="159" t="s">
        <v>629</v>
      </c>
      <c r="B814" s="160" t="s">
        <v>26</v>
      </c>
      <c r="C814" s="161">
        <v>100</v>
      </c>
      <c r="D814" s="162" t="s">
        <v>43</v>
      </c>
      <c r="E814" s="163"/>
      <c r="F814" s="164">
        <v>1</v>
      </c>
      <c r="G814" s="165" t="s">
        <v>21</v>
      </c>
      <c r="H814" s="164">
        <v>20</v>
      </c>
      <c r="I814" s="165" t="s">
        <v>43</v>
      </c>
      <c r="J814" s="166">
        <f>1740000/20</f>
        <v>87000</v>
      </c>
      <c r="K814" s="162" t="s">
        <v>43</v>
      </c>
      <c r="L814" s="167"/>
      <c r="M814" s="167">
        <v>0.17</v>
      </c>
      <c r="N814" s="164"/>
      <c r="O814" s="165" t="s">
        <v>43</v>
      </c>
      <c r="P814" s="161">
        <f t="shared" si="190"/>
        <v>100</v>
      </c>
      <c r="Q814" s="165" t="s">
        <v>43</v>
      </c>
      <c r="R814" s="166">
        <f t="shared" si="191"/>
        <v>7221000</v>
      </c>
      <c r="S814" s="42">
        <f t="shared" si="182"/>
        <v>6505405.405405405</v>
      </c>
    </row>
    <row r="815" spans="1:19" s="63" customFormat="1">
      <c r="A815" s="72" t="s">
        <v>630</v>
      </c>
      <c r="B815" s="63" t="s">
        <v>26</v>
      </c>
      <c r="C815" s="64"/>
      <c r="D815" s="65" t="s">
        <v>43</v>
      </c>
      <c r="E815" s="66"/>
      <c r="F815" s="67">
        <v>1</v>
      </c>
      <c r="G815" s="68" t="s">
        <v>21</v>
      </c>
      <c r="H815" s="67">
        <v>20</v>
      </c>
      <c r="I815" s="68" t="s">
        <v>43</v>
      </c>
      <c r="J815" s="69">
        <f>2352000/20</f>
        <v>117600</v>
      </c>
      <c r="K815" s="65" t="s">
        <v>43</v>
      </c>
      <c r="L815" s="70"/>
      <c r="M815" s="70">
        <v>0.17</v>
      </c>
      <c r="N815" s="67"/>
      <c r="O815" s="232" t="s">
        <v>43</v>
      </c>
      <c r="P815" s="64">
        <f t="shared" si="190"/>
        <v>0</v>
      </c>
      <c r="Q815" s="68" t="s">
        <v>43</v>
      </c>
      <c r="R815" s="69">
        <f t="shared" si="191"/>
        <v>0</v>
      </c>
      <c r="S815" s="69">
        <f t="shared" si="182"/>
        <v>0</v>
      </c>
    </row>
    <row r="816" spans="1:19" s="63" customFormat="1">
      <c r="A816" s="72" t="s">
        <v>724</v>
      </c>
      <c r="B816" s="63" t="s">
        <v>26</v>
      </c>
      <c r="C816" s="64"/>
      <c r="D816" s="65" t="s">
        <v>43</v>
      </c>
      <c r="E816" s="66"/>
      <c r="F816" s="67">
        <v>1</v>
      </c>
      <c r="G816" s="68" t="s">
        <v>21</v>
      </c>
      <c r="H816" s="67">
        <v>20</v>
      </c>
      <c r="I816" s="68" t="s">
        <v>43</v>
      </c>
      <c r="J816" s="69">
        <f>2352000/20</f>
        <v>117600</v>
      </c>
      <c r="K816" s="65" t="s">
        <v>43</v>
      </c>
      <c r="L816" s="70"/>
      <c r="M816" s="70">
        <v>0.17</v>
      </c>
      <c r="N816" s="67"/>
      <c r="O816" s="200" t="s">
        <v>43</v>
      </c>
      <c r="P816" s="64">
        <f t="shared" si="190"/>
        <v>0</v>
      </c>
      <c r="Q816" s="68" t="s">
        <v>43</v>
      </c>
      <c r="R816" s="69">
        <f t="shared" si="191"/>
        <v>0</v>
      </c>
      <c r="S816" s="69">
        <f t="shared" si="182"/>
        <v>0</v>
      </c>
    </row>
    <row r="817" spans="1:19" s="85" customFormat="1">
      <c r="A817" s="84" t="s">
        <v>631</v>
      </c>
      <c r="B817" s="85" t="s">
        <v>26</v>
      </c>
      <c r="C817" s="86">
        <v>165</v>
      </c>
      <c r="D817" s="87" t="s">
        <v>43</v>
      </c>
      <c r="E817" s="92"/>
      <c r="F817" s="88">
        <v>1</v>
      </c>
      <c r="G817" s="89" t="s">
        <v>21</v>
      </c>
      <c r="H817" s="88">
        <v>20</v>
      </c>
      <c r="I817" s="89" t="s">
        <v>43</v>
      </c>
      <c r="J817" s="90">
        <f>2352000/20</f>
        <v>117600</v>
      </c>
      <c r="K817" s="87" t="s">
        <v>43</v>
      </c>
      <c r="L817" s="91"/>
      <c r="M817" s="91">
        <v>0.17</v>
      </c>
      <c r="N817" s="88">
        <f>2+1+40+1</f>
        <v>44</v>
      </c>
      <c r="O817" s="89" t="s">
        <v>43</v>
      </c>
      <c r="P817" s="86">
        <f t="shared" si="190"/>
        <v>121</v>
      </c>
      <c r="Q817" s="89" t="s">
        <v>43</v>
      </c>
      <c r="R817" s="90">
        <f t="shared" si="191"/>
        <v>11810568</v>
      </c>
      <c r="S817" s="51">
        <f t="shared" si="182"/>
        <v>10640151.351351351</v>
      </c>
    </row>
    <row r="818" spans="1:19">
      <c r="A818" s="34" t="s">
        <v>632</v>
      </c>
      <c r="B818" s="2" t="s">
        <v>26</v>
      </c>
      <c r="C818" s="3">
        <v>26</v>
      </c>
      <c r="D818" s="4" t="s">
        <v>43</v>
      </c>
      <c r="F818" s="6">
        <v>1</v>
      </c>
      <c r="G818" s="7" t="s">
        <v>21</v>
      </c>
      <c r="H818" s="6">
        <v>40</v>
      </c>
      <c r="I818" s="7" t="s">
        <v>43</v>
      </c>
      <c r="J818" s="8">
        <f>2688000/40</f>
        <v>67200</v>
      </c>
      <c r="K818" s="4" t="s">
        <v>43</v>
      </c>
      <c r="M818" s="9">
        <v>0.17</v>
      </c>
      <c r="O818" s="7" t="s">
        <v>43</v>
      </c>
      <c r="P818" s="3">
        <f t="shared" si="190"/>
        <v>26</v>
      </c>
      <c r="Q818" s="7" t="s">
        <v>43</v>
      </c>
      <c r="R818" s="8">
        <f t="shared" si="191"/>
        <v>1450176</v>
      </c>
      <c r="S818" s="32">
        <f t="shared" si="182"/>
        <v>1306464.8648648649</v>
      </c>
    </row>
    <row r="819" spans="1:19" s="17" customFormat="1">
      <c r="A819" s="16" t="s">
        <v>633</v>
      </c>
      <c r="B819" s="17" t="s">
        <v>26</v>
      </c>
      <c r="C819" s="18"/>
      <c r="D819" s="19" t="s">
        <v>43</v>
      </c>
      <c r="E819" s="20"/>
      <c r="F819" s="21">
        <v>1</v>
      </c>
      <c r="G819" s="22" t="s">
        <v>21</v>
      </c>
      <c r="H819" s="21">
        <v>20</v>
      </c>
      <c r="I819" s="22" t="s">
        <v>43</v>
      </c>
      <c r="J819" s="23">
        <v>120000</v>
      </c>
      <c r="K819" s="19" t="s">
        <v>43</v>
      </c>
      <c r="L819" s="24"/>
      <c r="M819" s="24">
        <v>0.17</v>
      </c>
      <c r="N819" s="21"/>
      <c r="O819" s="22" t="s">
        <v>43</v>
      </c>
      <c r="P819" s="18">
        <f t="shared" si="190"/>
        <v>0</v>
      </c>
      <c r="Q819" s="22" t="s">
        <v>43</v>
      </c>
      <c r="R819" s="23">
        <f t="shared" si="191"/>
        <v>0</v>
      </c>
      <c r="S819" s="23">
        <f t="shared" si="182"/>
        <v>0</v>
      </c>
    </row>
    <row r="820" spans="1:19" s="45" customFormat="1">
      <c r="A820" s="44" t="s">
        <v>634</v>
      </c>
      <c r="B820" s="45" t="s">
        <v>26</v>
      </c>
      <c r="C820" s="46">
        <v>31</v>
      </c>
      <c r="D820" s="47" t="s">
        <v>43</v>
      </c>
      <c r="E820" s="48"/>
      <c r="F820" s="49">
        <v>1</v>
      </c>
      <c r="G820" s="50" t="s">
        <v>21</v>
      </c>
      <c r="H820" s="49">
        <v>25</v>
      </c>
      <c r="I820" s="50" t="s">
        <v>43</v>
      </c>
      <c r="J820" s="51">
        <f>1740000/25</f>
        <v>69600</v>
      </c>
      <c r="K820" s="47" t="s">
        <v>43</v>
      </c>
      <c r="L820" s="52"/>
      <c r="M820" s="52">
        <v>0.17</v>
      </c>
      <c r="N820" s="49">
        <f>1+1+25+3</f>
        <v>30</v>
      </c>
      <c r="O820" s="50" t="s">
        <v>43</v>
      </c>
      <c r="P820" s="46">
        <f t="shared" si="190"/>
        <v>1</v>
      </c>
      <c r="Q820" s="50" t="s">
        <v>43</v>
      </c>
      <c r="R820" s="51">
        <f t="shared" si="191"/>
        <v>57768</v>
      </c>
      <c r="S820" s="51">
        <f t="shared" si="182"/>
        <v>52043.24324324324</v>
      </c>
    </row>
    <row r="821" spans="1:19" s="45" customFormat="1">
      <c r="A821" s="44" t="s">
        <v>635</v>
      </c>
      <c r="B821" s="45" t="s">
        <v>26</v>
      </c>
      <c r="C821" s="46">
        <v>5</v>
      </c>
      <c r="D821" s="47" t="s">
        <v>43</v>
      </c>
      <c r="E821" s="48"/>
      <c r="F821" s="49">
        <v>1</v>
      </c>
      <c r="G821" s="50" t="s">
        <v>21</v>
      </c>
      <c r="H821" s="49">
        <v>10</v>
      </c>
      <c r="I821" s="50" t="s">
        <v>43</v>
      </c>
      <c r="J821" s="51">
        <f>2280000/10</f>
        <v>228000</v>
      </c>
      <c r="K821" s="47" t="s">
        <v>43</v>
      </c>
      <c r="L821" s="52"/>
      <c r="M821" s="52">
        <v>0.17</v>
      </c>
      <c r="N821" s="49">
        <f>3+1</f>
        <v>4</v>
      </c>
      <c r="O821" s="50" t="s">
        <v>43</v>
      </c>
      <c r="P821" s="46">
        <f t="shared" si="190"/>
        <v>1</v>
      </c>
      <c r="Q821" s="50" t="s">
        <v>43</v>
      </c>
      <c r="R821" s="51">
        <f t="shared" si="191"/>
        <v>189240</v>
      </c>
      <c r="S821" s="32">
        <f t="shared" si="182"/>
        <v>170486.48648648648</v>
      </c>
    </row>
    <row r="822" spans="1:19" s="63" customFormat="1">
      <c r="A822" s="72" t="s">
        <v>636</v>
      </c>
      <c r="B822" s="63" t="s">
        <v>26</v>
      </c>
      <c r="C822" s="64">
        <v>2.5</v>
      </c>
      <c r="D822" s="65" t="s">
        <v>43</v>
      </c>
      <c r="E822" s="66">
        <v>3</v>
      </c>
      <c r="F822" s="67">
        <v>1</v>
      </c>
      <c r="G822" s="68" t="s">
        <v>21</v>
      </c>
      <c r="H822" s="67">
        <v>10</v>
      </c>
      <c r="I822" s="68" t="s">
        <v>43</v>
      </c>
      <c r="J822" s="69">
        <f>2280000/10</f>
        <v>228000</v>
      </c>
      <c r="K822" s="65" t="s">
        <v>43</v>
      </c>
      <c r="L822" s="70"/>
      <c r="M822" s="70">
        <v>0.17</v>
      </c>
      <c r="N822" s="67">
        <f>10+10+2+2+20-11.5</f>
        <v>32.5</v>
      </c>
      <c r="O822" s="313" t="s">
        <v>43</v>
      </c>
      <c r="P822" s="64">
        <f t="shared" si="190"/>
        <v>0</v>
      </c>
      <c r="Q822" s="68" t="s">
        <v>43</v>
      </c>
      <c r="R822" s="69">
        <f t="shared" si="191"/>
        <v>0</v>
      </c>
      <c r="S822" s="23">
        <f t="shared" si="182"/>
        <v>0</v>
      </c>
    </row>
    <row r="823" spans="1:19" s="45" customFormat="1">
      <c r="A823" s="44" t="s">
        <v>637</v>
      </c>
      <c r="B823" s="45" t="s">
        <v>26</v>
      </c>
      <c r="C823" s="46">
        <v>80</v>
      </c>
      <c r="D823" s="47" t="s">
        <v>43</v>
      </c>
      <c r="E823" s="48"/>
      <c r="F823" s="49">
        <v>1</v>
      </c>
      <c r="G823" s="50" t="s">
        <v>21</v>
      </c>
      <c r="H823" s="49">
        <v>10</v>
      </c>
      <c r="I823" s="50" t="s">
        <v>43</v>
      </c>
      <c r="J823" s="51">
        <f>2040000/10</f>
        <v>204000</v>
      </c>
      <c r="K823" s="47" t="s">
        <v>43</v>
      </c>
      <c r="L823" s="52"/>
      <c r="M823" s="52">
        <v>0.17</v>
      </c>
      <c r="N823" s="49">
        <f>(20-9)+10</f>
        <v>21</v>
      </c>
      <c r="O823" s="50" t="s">
        <v>43</v>
      </c>
      <c r="P823" s="46">
        <f t="shared" si="190"/>
        <v>59</v>
      </c>
      <c r="Q823" s="50" t="s">
        <v>43</v>
      </c>
      <c r="R823" s="51">
        <f t="shared" si="191"/>
        <v>9989880</v>
      </c>
      <c r="S823" s="32">
        <f t="shared" si="182"/>
        <v>8999891.8918918911</v>
      </c>
    </row>
    <row r="824" spans="1:19" s="85" customFormat="1">
      <c r="A824" s="84" t="s">
        <v>638</v>
      </c>
      <c r="B824" s="85" t="s">
        <v>26</v>
      </c>
      <c r="C824" s="86">
        <v>45</v>
      </c>
      <c r="D824" s="87" t="s">
        <v>43</v>
      </c>
      <c r="E824" s="92"/>
      <c r="F824" s="88">
        <v>1</v>
      </c>
      <c r="G824" s="89" t="s">
        <v>21</v>
      </c>
      <c r="H824" s="88">
        <v>10</v>
      </c>
      <c r="I824" s="89" t="s">
        <v>43</v>
      </c>
      <c r="J824" s="90">
        <f>2040000/10</f>
        <v>204000</v>
      </c>
      <c r="K824" s="87" t="s">
        <v>43</v>
      </c>
      <c r="L824" s="91"/>
      <c r="M824" s="91">
        <v>0.17</v>
      </c>
      <c r="N824" s="88"/>
      <c r="O824" s="89" t="s">
        <v>43</v>
      </c>
      <c r="P824" s="86">
        <f t="shared" si="190"/>
        <v>45</v>
      </c>
      <c r="Q824" s="89" t="s">
        <v>43</v>
      </c>
      <c r="R824" s="90">
        <f t="shared" si="191"/>
        <v>7619400</v>
      </c>
      <c r="S824" s="32">
        <f t="shared" si="182"/>
        <v>6864324.3243243238</v>
      </c>
    </row>
    <row r="825" spans="1:19" s="17" customFormat="1">
      <c r="A825" s="16" t="s">
        <v>639</v>
      </c>
      <c r="B825" s="17" t="s">
        <v>26</v>
      </c>
      <c r="C825" s="18"/>
      <c r="D825" s="19" t="s">
        <v>20</v>
      </c>
      <c r="E825" s="20"/>
      <c r="F825" s="21">
        <v>20</v>
      </c>
      <c r="G825" s="22" t="s">
        <v>34</v>
      </c>
      <c r="H825" s="21">
        <v>6</v>
      </c>
      <c r="I825" s="22" t="s">
        <v>20</v>
      </c>
      <c r="J825" s="23">
        <v>14500</v>
      </c>
      <c r="K825" s="19" t="s">
        <v>20</v>
      </c>
      <c r="L825" s="24"/>
      <c r="M825" s="24">
        <v>0.17</v>
      </c>
      <c r="N825" s="21"/>
      <c r="O825" s="22" t="s">
        <v>20</v>
      </c>
      <c r="P825" s="18">
        <f t="shared" si="190"/>
        <v>0</v>
      </c>
      <c r="Q825" s="22" t="s">
        <v>20</v>
      </c>
      <c r="R825" s="23">
        <f t="shared" si="191"/>
        <v>0</v>
      </c>
      <c r="S825" s="23">
        <f t="shared" si="182"/>
        <v>0</v>
      </c>
    </row>
    <row r="826" spans="1:19" s="45" customFormat="1">
      <c r="A826" s="35" t="s">
        <v>640</v>
      </c>
      <c r="B826" s="36" t="s">
        <v>26</v>
      </c>
      <c r="C826" s="37">
        <v>27</v>
      </c>
      <c r="D826" s="38" t="s">
        <v>20</v>
      </c>
      <c r="E826" s="39"/>
      <c r="F826" s="40">
        <v>1</v>
      </c>
      <c r="G826" s="41" t="s">
        <v>21</v>
      </c>
      <c r="H826" s="40">
        <v>6</v>
      </c>
      <c r="I826" s="41" t="s">
        <v>20</v>
      </c>
      <c r="J826" s="42">
        <f>2130000/6</f>
        <v>355000</v>
      </c>
      <c r="K826" s="38" t="s">
        <v>20</v>
      </c>
      <c r="L826" s="43"/>
      <c r="M826" s="43">
        <v>0.17</v>
      </c>
      <c r="N826" s="40">
        <v>4</v>
      </c>
      <c r="O826" s="41" t="s">
        <v>20</v>
      </c>
      <c r="P826" s="37">
        <f t="shared" si="190"/>
        <v>23</v>
      </c>
      <c r="Q826" s="41" t="s">
        <v>20</v>
      </c>
      <c r="R826" s="42">
        <f t="shared" si="191"/>
        <v>6776950</v>
      </c>
      <c r="S826" s="42">
        <f t="shared" si="182"/>
        <v>6105360.3603603598</v>
      </c>
    </row>
    <row r="827" spans="1:19" s="45" customFormat="1">
      <c r="A827" s="35" t="s">
        <v>640</v>
      </c>
      <c r="B827" s="36" t="s">
        <v>26</v>
      </c>
      <c r="C827" s="37"/>
      <c r="D827" s="38" t="s">
        <v>20</v>
      </c>
      <c r="E827" s="39">
        <v>1</v>
      </c>
      <c r="F827" s="40">
        <v>1</v>
      </c>
      <c r="G827" s="41" t="s">
        <v>21</v>
      </c>
      <c r="H827" s="40">
        <v>6</v>
      </c>
      <c r="I827" s="41" t="s">
        <v>20</v>
      </c>
      <c r="J827" s="42">
        <f>2160000/6</f>
        <v>360000</v>
      </c>
      <c r="K827" s="38" t="s">
        <v>20</v>
      </c>
      <c r="L827" s="43"/>
      <c r="M827" s="43">
        <v>0.17</v>
      </c>
      <c r="N827" s="40"/>
      <c r="O827" s="41" t="s">
        <v>20</v>
      </c>
      <c r="P827" s="37">
        <f t="shared" ref="P827" si="192">(C827+(E827*F827*H827))-N827</f>
        <v>6</v>
      </c>
      <c r="Q827" s="41" t="s">
        <v>20</v>
      </c>
      <c r="R827" s="42">
        <f t="shared" ref="R827" si="193">P827*(J827-(J827*L827)-((J827-(J827*L827))*M827))</f>
        <v>1792800</v>
      </c>
      <c r="S827" s="42">
        <f t="shared" ref="S827" si="194">R827/1.11</f>
        <v>1615135.1351351349</v>
      </c>
    </row>
    <row r="828" spans="1:19" s="63" customFormat="1">
      <c r="A828" s="72" t="s">
        <v>641</v>
      </c>
      <c r="B828" s="63" t="s">
        <v>26</v>
      </c>
      <c r="C828" s="64"/>
      <c r="D828" s="65" t="s">
        <v>20</v>
      </c>
      <c r="E828" s="66"/>
      <c r="F828" s="67">
        <v>1</v>
      </c>
      <c r="G828" s="68" t="s">
        <v>21</v>
      </c>
      <c r="H828" s="67">
        <v>6</v>
      </c>
      <c r="I828" s="68" t="s">
        <v>20</v>
      </c>
      <c r="J828" s="69">
        <f>930000/6</f>
        <v>155000</v>
      </c>
      <c r="K828" s="65" t="s">
        <v>20</v>
      </c>
      <c r="L828" s="70"/>
      <c r="M828" s="70">
        <v>0.17</v>
      </c>
      <c r="N828" s="67"/>
      <c r="O828" s="68" t="s">
        <v>20</v>
      </c>
      <c r="P828" s="64">
        <f t="shared" si="190"/>
        <v>0</v>
      </c>
      <c r="Q828" s="68" t="s">
        <v>20</v>
      </c>
      <c r="R828" s="69">
        <f t="shared" si="191"/>
        <v>0</v>
      </c>
      <c r="S828" s="69">
        <f t="shared" si="182"/>
        <v>0</v>
      </c>
    </row>
    <row r="829" spans="1:19" s="63" customFormat="1">
      <c r="A829" s="95" t="s">
        <v>642</v>
      </c>
      <c r="B829" s="96" t="s">
        <v>26</v>
      </c>
      <c r="C829" s="97">
        <v>29</v>
      </c>
      <c r="D829" s="98" t="s">
        <v>20</v>
      </c>
      <c r="E829" s="105"/>
      <c r="F829" s="100">
        <v>1</v>
      </c>
      <c r="G829" s="101" t="s">
        <v>21</v>
      </c>
      <c r="H829" s="100">
        <v>6</v>
      </c>
      <c r="I829" s="101" t="s">
        <v>20</v>
      </c>
      <c r="J829" s="102">
        <f>480000/6</f>
        <v>80000</v>
      </c>
      <c r="K829" s="98" t="s">
        <v>20</v>
      </c>
      <c r="L829" s="103"/>
      <c r="M829" s="103">
        <v>0.17</v>
      </c>
      <c r="N829" s="100">
        <f>6+6+6+8+6-3</f>
        <v>29</v>
      </c>
      <c r="O829" s="101" t="s">
        <v>20</v>
      </c>
      <c r="P829" s="97">
        <f t="shared" si="190"/>
        <v>0</v>
      </c>
      <c r="Q829" s="101" t="s">
        <v>20</v>
      </c>
      <c r="R829" s="102">
        <f t="shared" si="191"/>
        <v>0</v>
      </c>
      <c r="S829" s="102">
        <f t="shared" ref="S829:S839" si="195">R829/1.11</f>
        <v>0</v>
      </c>
    </row>
    <row r="830" spans="1:19" s="45" customFormat="1">
      <c r="A830" s="35" t="s">
        <v>642</v>
      </c>
      <c r="B830" s="36" t="s">
        <v>26</v>
      </c>
      <c r="C830" s="37"/>
      <c r="D830" s="38" t="s">
        <v>20</v>
      </c>
      <c r="E830" s="39">
        <f>1+1+2</f>
        <v>4</v>
      </c>
      <c r="F830" s="40">
        <v>1</v>
      </c>
      <c r="G830" s="41" t="s">
        <v>21</v>
      </c>
      <c r="H830" s="40">
        <v>6</v>
      </c>
      <c r="I830" s="41" t="s">
        <v>20</v>
      </c>
      <c r="J830" s="42">
        <f>504000/6</f>
        <v>84000</v>
      </c>
      <c r="K830" s="38" t="s">
        <v>20</v>
      </c>
      <c r="L830" s="43"/>
      <c r="M830" s="43">
        <v>0.17</v>
      </c>
      <c r="N830" s="40">
        <f>(6-3)</f>
        <v>3</v>
      </c>
      <c r="O830" s="41" t="s">
        <v>20</v>
      </c>
      <c r="P830" s="37">
        <f t="shared" ref="P830" si="196">(C830+(E830*F830*H830))-N830</f>
        <v>21</v>
      </c>
      <c r="Q830" s="41" t="s">
        <v>20</v>
      </c>
      <c r="R830" s="42">
        <f t="shared" ref="R830" si="197">P830*(J830-(J830*L830)-((J830-(J830*L830))*M830))</f>
        <v>1464120</v>
      </c>
      <c r="S830" s="42">
        <f t="shared" ref="S830" si="198">R830/1.11</f>
        <v>1319027.027027027</v>
      </c>
    </row>
    <row r="831" spans="1:19" s="17" customFormat="1">
      <c r="A831" s="16" t="s">
        <v>643</v>
      </c>
      <c r="B831" s="17" t="s">
        <v>26</v>
      </c>
      <c r="C831" s="18"/>
      <c r="D831" s="19" t="s">
        <v>20</v>
      </c>
      <c r="E831" s="20"/>
      <c r="F831" s="21">
        <v>1</v>
      </c>
      <c r="G831" s="22" t="s">
        <v>21</v>
      </c>
      <c r="H831" s="21">
        <v>6</v>
      </c>
      <c r="I831" s="22" t="s">
        <v>20</v>
      </c>
      <c r="J831" s="23">
        <f>990000/6</f>
        <v>165000</v>
      </c>
      <c r="K831" s="19" t="s">
        <v>20</v>
      </c>
      <c r="L831" s="24"/>
      <c r="M831" s="24">
        <v>0.17</v>
      </c>
      <c r="N831" s="21"/>
      <c r="O831" s="22" t="s">
        <v>20</v>
      </c>
      <c r="P831" s="18">
        <f t="shared" si="190"/>
        <v>0</v>
      </c>
      <c r="Q831" s="22" t="s">
        <v>20</v>
      </c>
      <c r="R831" s="23">
        <f t="shared" si="191"/>
        <v>0</v>
      </c>
      <c r="S831" s="23">
        <f t="shared" si="195"/>
        <v>0</v>
      </c>
    </row>
    <row r="832" spans="1:19" s="17" customFormat="1">
      <c r="A832" s="16"/>
      <c r="C832" s="18"/>
      <c r="D832" s="19"/>
      <c r="E832" s="20"/>
      <c r="F832" s="21"/>
      <c r="G832" s="22"/>
      <c r="H832" s="21"/>
      <c r="I832" s="22"/>
      <c r="J832" s="23"/>
      <c r="K832" s="19"/>
      <c r="L832" s="24"/>
      <c r="M832" s="24"/>
      <c r="N832" s="21"/>
      <c r="O832" s="22"/>
      <c r="P832" s="18"/>
      <c r="Q832" s="22"/>
      <c r="R832" s="23"/>
      <c r="S832" s="23"/>
    </row>
    <row r="833" spans="1:19" s="26" customFormat="1">
      <c r="A833" s="138" t="s">
        <v>644</v>
      </c>
      <c r="B833" s="26" t="s">
        <v>645</v>
      </c>
      <c r="C833" s="27">
        <v>34</v>
      </c>
      <c r="D833" s="28" t="s">
        <v>43</v>
      </c>
      <c r="E833" s="29">
        <v>2</v>
      </c>
      <c r="F833" s="30">
        <v>1</v>
      </c>
      <c r="G833" s="31" t="s">
        <v>21</v>
      </c>
      <c r="H833" s="30">
        <v>30</v>
      </c>
      <c r="I833" s="31" t="s">
        <v>43</v>
      </c>
      <c r="J833" s="32">
        <v>130000</v>
      </c>
      <c r="K833" s="28" t="s">
        <v>43</v>
      </c>
      <c r="L833" s="33">
        <v>0.17499999999999999</v>
      </c>
      <c r="M833" s="33">
        <v>0.03</v>
      </c>
      <c r="N833" s="30">
        <f>1+30+1+3+5+4</f>
        <v>44</v>
      </c>
      <c r="O833" s="31" t="s">
        <v>43</v>
      </c>
      <c r="P833" s="27">
        <f t="shared" si="190"/>
        <v>50</v>
      </c>
      <c r="Q833" s="31" t="s">
        <v>43</v>
      </c>
      <c r="R833" s="32">
        <f t="shared" si="191"/>
        <v>5201625</v>
      </c>
      <c r="S833" s="32">
        <f t="shared" si="195"/>
        <v>4686148.6486486485</v>
      </c>
    </row>
    <row r="834" spans="1:19" s="17" customFormat="1">
      <c r="A834" s="137" t="s">
        <v>646</v>
      </c>
      <c r="B834" s="17" t="s">
        <v>645</v>
      </c>
      <c r="C834" s="18">
        <v>2</v>
      </c>
      <c r="D834" s="19" t="s">
        <v>43</v>
      </c>
      <c r="E834" s="20"/>
      <c r="F834" s="21">
        <v>1</v>
      </c>
      <c r="G834" s="22" t="s">
        <v>21</v>
      </c>
      <c r="H834" s="21">
        <v>30</v>
      </c>
      <c r="I834" s="22" t="s">
        <v>43</v>
      </c>
      <c r="J834" s="23">
        <v>216000</v>
      </c>
      <c r="K834" s="19" t="s">
        <v>43</v>
      </c>
      <c r="L834" s="24"/>
      <c r="M834" s="24">
        <v>0.15</v>
      </c>
      <c r="N834" s="21">
        <f>1+1</f>
        <v>2</v>
      </c>
      <c r="O834" s="22" t="s">
        <v>43</v>
      </c>
      <c r="P834" s="18">
        <f t="shared" si="190"/>
        <v>0</v>
      </c>
      <c r="Q834" s="22" t="s">
        <v>43</v>
      </c>
      <c r="R834" s="23">
        <f t="shared" si="191"/>
        <v>0</v>
      </c>
      <c r="S834" s="23">
        <f t="shared" si="195"/>
        <v>0</v>
      </c>
    </row>
    <row r="835" spans="1:19" s="17" customFormat="1">
      <c r="A835" s="137" t="s">
        <v>647</v>
      </c>
      <c r="B835" s="17" t="s">
        <v>645</v>
      </c>
      <c r="C835" s="18"/>
      <c r="D835" s="19" t="s">
        <v>43</v>
      </c>
      <c r="E835" s="20"/>
      <c r="F835" s="21">
        <v>1</v>
      </c>
      <c r="G835" s="22" t="s">
        <v>21</v>
      </c>
      <c r="H835" s="21">
        <v>30</v>
      </c>
      <c r="I835" s="22" t="s">
        <v>43</v>
      </c>
      <c r="J835" s="23">
        <v>216000</v>
      </c>
      <c r="K835" s="19" t="s">
        <v>43</v>
      </c>
      <c r="L835" s="24"/>
      <c r="M835" s="24">
        <v>0.15</v>
      </c>
      <c r="N835" s="21"/>
      <c r="O835" s="22" t="s">
        <v>43</v>
      </c>
      <c r="P835" s="18">
        <f t="shared" si="190"/>
        <v>0</v>
      </c>
      <c r="Q835" s="22" t="s">
        <v>43</v>
      </c>
      <c r="R835" s="23">
        <f t="shared" si="191"/>
        <v>0</v>
      </c>
      <c r="S835" s="23">
        <f t="shared" si="195"/>
        <v>0</v>
      </c>
    </row>
    <row r="836" spans="1:19" s="17" customFormat="1">
      <c r="A836" s="137" t="s">
        <v>648</v>
      </c>
      <c r="B836" s="17" t="s">
        <v>645</v>
      </c>
      <c r="C836" s="18"/>
      <c r="D836" s="19" t="s">
        <v>43</v>
      </c>
      <c r="E836" s="20"/>
      <c r="F836" s="21">
        <v>1</v>
      </c>
      <c r="G836" s="22" t="s">
        <v>21</v>
      </c>
      <c r="H836" s="21">
        <v>30</v>
      </c>
      <c r="I836" s="22" t="s">
        <v>43</v>
      </c>
      <c r="J836" s="23">
        <v>220000</v>
      </c>
      <c r="K836" s="19" t="s">
        <v>43</v>
      </c>
      <c r="L836" s="24"/>
      <c r="M836" s="24">
        <v>0.15</v>
      </c>
      <c r="N836" s="21"/>
      <c r="O836" s="22" t="s">
        <v>43</v>
      </c>
      <c r="P836" s="18">
        <f t="shared" si="190"/>
        <v>0</v>
      </c>
      <c r="Q836" s="22" t="s">
        <v>43</v>
      </c>
      <c r="R836" s="23">
        <f t="shared" si="191"/>
        <v>0</v>
      </c>
      <c r="S836" s="23">
        <f t="shared" si="195"/>
        <v>0</v>
      </c>
    </row>
    <row r="837" spans="1:19" s="26" customFormat="1">
      <c r="A837" s="138" t="s">
        <v>649</v>
      </c>
      <c r="B837" s="26" t="s">
        <v>645</v>
      </c>
      <c r="C837" s="27">
        <v>3</v>
      </c>
      <c r="D837" s="28" t="s">
        <v>43</v>
      </c>
      <c r="E837" s="29">
        <v>1</v>
      </c>
      <c r="F837" s="30">
        <v>1</v>
      </c>
      <c r="G837" s="31" t="s">
        <v>21</v>
      </c>
      <c r="H837" s="30">
        <v>20</v>
      </c>
      <c r="I837" s="31" t="s">
        <v>43</v>
      </c>
      <c r="J837" s="32">
        <v>285600</v>
      </c>
      <c r="K837" s="28" t="s">
        <v>43</v>
      </c>
      <c r="L837" s="33">
        <v>0.17499999999999999</v>
      </c>
      <c r="M837" s="33">
        <v>0.03</v>
      </c>
      <c r="N837" s="30">
        <f>1+1+3</f>
        <v>5</v>
      </c>
      <c r="O837" s="31" t="s">
        <v>43</v>
      </c>
      <c r="P837" s="27">
        <f t="shared" si="190"/>
        <v>18</v>
      </c>
      <c r="Q837" s="31" t="s">
        <v>43</v>
      </c>
      <c r="R837" s="32">
        <f t="shared" si="191"/>
        <v>4113925.1999999997</v>
      </c>
      <c r="S837" s="32">
        <f t="shared" si="195"/>
        <v>3706238.9189189184</v>
      </c>
    </row>
    <row r="838" spans="1:19" s="26" customFormat="1">
      <c r="A838" s="138"/>
      <c r="C838" s="27"/>
      <c r="D838" s="28"/>
      <c r="E838" s="29"/>
      <c r="F838" s="30"/>
      <c r="G838" s="31"/>
      <c r="H838" s="30"/>
      <c r="I838" s="31"/>
      <c r="J838" s="32"/>
      <c r="K838" s="28"/>
      <c r="L838" s="33"/>
      <c r="M838" s="33"/>
      <c r="N838" s="30"/>
      <c r="O838" s="31"/>
      <c r="P838" s="27"/>
      <c r="Q838" s="31"/>
      <c r="R838" s="32"/>
      <c r="S838" s="32"/>
    </row>
    <row r="839" spans="1:19" s="26" customFormat="1">
      <c r="A839" s="138" t="s">
        <v>650</v>
      </c>
      <c r="B839" s="45" t="s">
        <v>192</v>
      </c>
      <c r="C839" s="27">
        <v>98</v>
      </c>
      <c r="D839" s="28" t="s">
        <v>43</v>
      </c>
      <c r="E839" s="29"/>
      <c r="F839" s="30">
        <v>1</v>
      </c>
      <c r="G839" s="31" t="s">
        <v>21</v>
      </c>
      <c r="H839" s="30">
        <v>5</v>
      </c>
      <c r="I839" s="31" t="s">
        <v>43</v>
      </c>
      <c r="J839" s="32">
        <v>250000</v>
      </c>
      <c r="K839" s="28" t="s">
        <v>43</v>
      </c>
      <c r="L839" s="33"/>
      <c r="M839" s="33"/>
      <c r="N839" s="30">
        <v>1</v>
      </c>
      <c r="O839" s="228" t="s">
        <v>43</v>
      </c>
      <c r="P839" s="27">
        <f t="shared" si="190"/>
        <v>97</v>
      </c>
      <c r="Q839" s="31" t="s">
        <v>43</v>
      </c>
      <c r="R839" s="32">
        <f t="shared" si="191"/>
        <v>24250000</v>
      </c>
      <c r="S839" s="32">
        <f t="shared" si="195"/>
        <v>21846846.846846845</v>
      </c>
    </row>
    <row r="840" spans="1:19" s="26" customFormat="1">
      <c r="A840" s="138"/>
      <c r="B840" s="45"/>
      <c r="C840" s="27"/>
      <c r="D840" s="28"/>
      <c r="E840" s="29"/>
      <c r="F840" s="30"/>
      <c r="G840" s="31"/>
      <c r="H840" s="30"/>
      <c r="I840" s="31"/>
      <c r="J840" s="32"/>
      <c r="K840" s="28"/>
      <c r="L840" s="33"/>
      <c r="M840" s="33"/>
      <c r="N840" s="30"/>
      <c r="O840" s="228"/>
      <c r="P840" s="27"/>
      <c r="Q840" s="31"/>
      <c r="R840" s="32"/>
      <c r="S840" s="32"/>
    </row>
    <row r="841" spans="1:19">
      <c r="A841" s="15" t="s">
        <v>651</v>
      </c>
      <c r="S841" s="23"/>
    </row>
    <row r="842" spans="1:19" s="45" customFormat="1">
      <c r="A842" s="44" t="s">
        <v>653</v>
      </c>
      <c r="B842" s="45" t="s">
        <v>645</v>
      </c>
      <c r="C842" s="46">
        <v>2444</v>
      </c>
      <c r="D842" s="47" t="s">
        <v>104</v>
      </c>
      <c r="E842" s="48">
        <v>20</v>
      </c>
      <c r="F842" s="49">
        <v>1</v>
      </c>
      <c r="G842" s="50" t="s">
        <v>21</v>
      </c>
      <c r="H842" s="49">
        <v>100</v>
      </c>
      <c r="I842" s="50" t="s">
        <v>104</v>
      </c>
      <c r="J842" s="51">
        <v>14000</v>
      </c>
      <c r="K842" s="47" t="s">
        <v>104</v>
      </c>
      <c r="L842" s="52">
        <v>0.1</v>
      </c>
      <c r="M842" s="52"/>
      <c r="N842" s="49">
        <f>200+100+200+300+200+100</f>
        <v>1100</v>
      </c>
      <c r="O842" s="50" t="s">
        <v>104</v>
      </c>
      <c r="P842" s="46">
        <f t="shared" ref="P842:P852" si="199">(C842+(E842*F842*H842))-N842</f>
        <v>3344</v>
      </c>
      <c r="Q842" s="50" t="s">
        <v>104</v>
      </c>
      <c r="R842" s="51">
        <f t="shared" ref="R842:R852" si="200">P842*(J842-(J842*L842)-((J842-(J842*L842))*M842))</f>
        <v>42134400</v>
      </c>
      <c r="S842" s="51">
        <f t="shared" ref="S842:S929" si="201">R842/1.11</f>
        <v>37958918.918918915</v>
      </c>
    </row>
    <row r="843" spans="1:19" s="45" customFormat="1">
      <c r="A843" s="44" t="s">
        <v>654</v>
      </c>
      <c r="B843" s="45" t="s">
        <v>645</v>
      </c>
      <c r="C843" s="46">
        <v>705</v>
      </c>
      <c r="D843" s="47" t="s">
        <v>104</v>
      </c>
      <c r="E843" s="48"/>
      <c r="F843" s="49">
        <v>1</v>
      </c>
      <c r="G843" s="50" t="s">
        <v>21</v>
      </c>
      <c r="H843" s="49">
        <v>50</v>
      </c>
      <c r="I843" s="50" t="s">
        <v>104</v>
      </c>
      <c r="J843" s="51">
        <v>24000</v>
      </c>
      <c r="K843" s="47" t="s">
        <v>104</v>
      </c>
      <c r="L843" s="52"/>
      <c r="M843" s="52"/>
      <c r="N843" s="49">
        <f>50+50</f>
        <v>100</v>
      </c>
      <c r="O843" s="50" t="s">
        <v>104</v>
      </c>
      <c r="P843" s="46">
        <f t="shared" si="199"/>
        <v>605</v>
      </c>
      <c r="Q843" s="50" t="s">
        <v>104</v>
      </c>
      <c r="R843" s="51">
        <f t="shared" si="200"/>
        <v>14520000</v>
      </c>
      <c r="S843" s="51">
        <f t="shared" si="201"/>
        <v>13081081.081081079</v>
      </c>
    </row>
    <row r="844" spans="1:19" s="45" customFormat="1">
      <c r="A844" s="44"/>
      <c r="C844" s="46"/>
      <c r="D844" s="47"/>
      <c r="E844" s="48"/>
      <c r="F844" s="49"/>
      <c r="G844" s="50"/>
      <c r="H844" s="49"/>
      <c r="I844" s="50"/>
      <c r="J844" s="51"/>
      <c r="K844" s="47"/>
      <c r="L844" s="52"/>
      <c r="M844" s="52"/>
      <c r="N844" s="49"/>
      <c r="O844" s="50"/>
      <c r="P844" s="46"/>
      <c r="Q844" s="50"/>
      <c r="R844" s="51"/>
      <c r="S844" s="51"/>
    </row>
    <row r="845" spans="1:19" s="26" customFormat="1">
      <c r="A845" s="25" t="s">
        <v>652</v>
      </c>
      <c r="B845" s="26" t="s">
        <v>19</v>
      </c>
      <c r="C845" s="27">
        <v>32</v>
      </c>
      <c r="D845" s="28" t="s">
        <v>34</v>
      </c>
      <c r="E845" s="29"/>
      <c r="F845" s="30">
        <v>1</v>
      </c>
      <c r="G845" s="31" t="s">
        <v>21</v>
      </c>
      <c r="H845" s="30">
        <v>50</v>
      </c>
      <c r="I845" s="31" t="s">
        <v>34</v>
      </c>
      <c r="J845" s="32">
        <v>28000</v>
      </c>
      <c r="K845" s="28" t="s">
        <v>34</v>
      </c>
      <c r="L845" s="33">
        <v>0.125</v>
      </c>
      <c r="M845" s="33">
        <v>0.05</v>
      </c>
      <c r="N845" s="30"/>
      <c r="O845" s="31" t="s">
        <v>34</v>
      </c>
      <c r="P845" s="27">
        <f>(C845+(E845*F845*H845))-N845</f>
        <v>32</v>
      </c>
      <c r="Q845" s="31" t="s">
        <v>34</v>
      </c>
      <c r="R845" s="32">
        <f>P845*(J845-(J845*L845)-((J845-(J845*L845))*M845))</f>
        <v>744800</v>
      </c>
      <c r="S845" s="32">
        <f>R845/1.11</f>
        <v>670990.99099099089</v>
      </c>
    </row>
    <row r="846" spans="1:19" s="26" customFormat="1">
      <c r="A846" s="25"/>
      <c r="C846" s="27"/>
      <c r="D846" s="28"/>
      <c r="E846" s="29"/>
      <c r="F846" s="30"/>
      <c r="G846" s="31"/>
      <c r="H846" s="30"/>
      <c r="I846" s="31"/>
      <c r="J846" s="32"/>
      <c r="K846" s="28"/>
      <c r="L846" s="33"/>
      <c r="M846" s="33"/>
      <c r="N846" s="30"/>
      <c r="O846" s="31"/>
      <c r="P846" s="27"/>
      <c r="Q846" s="31"/>
      <c r="R846" s="32"/>
      <c r="S846" s="32"/>
    </row>
    <row r="847" spans="1:19" s="17" customFormat="1">
      <c r="A847" s="109" t="s">
        <v>655</v>
      </c>
      <c r="B847" s="17" t="s">
        <v>26</v>
      </c>
      <c r="C847" s="18"/>
      <c r="D847" s="19" t="s">
        <v>34</v>
      </c>
      <c r="E847" s="20"/>
      <c r="F847" s="21">
        <v>40</v>
      </c>
      <c r="G847" s="22" t="s">
        <v>104</v>
      </c>
      <c r="H847" s="21">
        <v>20</v>
      </c>
      <c r="I847" s="22" t="s">
        <v>34</v>
      </c>
      <c r="J847" s="23">
        <f>20000/20</f>
        <v>1000</v>
      </c>
      <c r="K847" s="19" t="s">
        <v>34</v>
      </c>
      <c r="L847" s="24"/>
      <c r="M847" s="24">
        <v>0.17</v>
      </c>
      <c r="N847" s="21"/>
      <c r="O847" s="22" t="s">
        <v>34</v>
      </c>
      <c r="P847" s="18">
        <f>(C847+(E847*F847*H847))-N847</f>
        <v>0</v>
      </c>
      <c r="Q847" s="22" t="s">
        <v>34</v>
      </c>
      <c r="R847" s="23">
        <f>P847*(J847-(J847*L847)-((J847-(J847*L847))*M847))</f>
        <v>0</v>
      </c>
      <c r="S847" s="23">
        <f t="shared" si="201"/>
        <v>0</v>
      </c>
    </row>
    <row r="848" spans="1:19" s="45" customFormat="1">
      <c r="A848" s="108" t="s">
        <v>656</v>
      </c>
      <c r="B848" s="45" t="s">
        <v>26</v>
      </c>
      <c r="C848" s="46">
        <v>40</v>
      </c>
      <c r="D848" s="47" t="s">
        <v>104</v>
      </c>
      <c r="E848" s="48"/>
      <c r="F848" s="49">
        <v>1</v>
      </c>
      <c r="G848" s="50" t="s">
        <v>21</v>
      </c>
      <c r="H848" s="49">
        <v>20</v>
      </c>
      <c r="I848" s="50" t="s">
        <v>104</v>
      </c>
      <c r="J848" s="51">
        <f>840000/20</f>
        <v>42000</v>
      </c>
      <c r="K848" s="47" t="s">
        <v>104</v>
      </c>
      <c r="L848" s="52"/>
      <c r="M848" s="52">
        <v>0.17</v>
      </c>
      <c r="N848" s="49">
        <v>20</v>
      </c>
      <c r="O848" s="50" t="s">
        <v>104</v>
      </c>
      <c r="P848" s="46">
        <f>(C848+(E848*F848*H848))-N848</f>
        <v>20</v>
      </c>
      <c r="Q848" s="50" t="s">
        <v>104</v>
      </c>
      <c r="R848" s="51">
        <f>P848*(J848-(J848*L848)-((J848-(J848*L848))*M848))</f>
        <v>697200</v>
      </c>
      <c r="S848" s="51">
        <f t="shared" si="201"/>
        <v>628108.10810810805</v>
      </c>
    </row>
    <row r="849" spans="1:19" s="16" customFormat="1">
      <c r="A849" s="72" t="s">
        <v>657</v>
      </c>
      <c r="B849" s="16" t="s">
        <v>26</v>
      </c>
      <c r="C849" s="129">
        <v>75</v>
      </c>
      <c r="D849" s="130" t="s">
        <v>104</v>
      </c>
      <c r="E849" s="131"/>
      <c r="F849" s="132">
        <v>1</v>
      </c>
      <c r="G849" s="133" t="s">
        <v>21</v>
      </c>
      <c r="H849" s="132">
        <v>15</v>
      </c>
      <c r="I849" s="133" t="s">
        <v>104</v>
      </c>
      <c r="J849" s="134">
        <f>525000/15</f>
        <v>35000</v>
      </c>
      <c r="K849" s="130" t="s">
        <v>104</v>
      </c>
      <c r="L849" s="135"/>
      <c r="M849" s="135">
        <v>0.17</v>
      </c>
      <c r="N849" s="132">
        <v>75</v>
      </c>
      <c r="O849" s="133" t="s">
        <v>104</v>
      </c>
      <c r="P849" s="129">
        <f>(C849+(E849*F849*H849))-N849</f>
        <v>0</v>
      </c>
      <c r="Q849" s="133" t="s">
        <v>104</v>
      </c>
      <c r="R849" s="134">
        <f>P849*(J849-(J849*L849)-((J849-(J849*L849))*M849))</f>
        <v>0</v>
      </c>
      <c r="S849" s="134">
        <f t="shared" si="201"/>
        <v>0</v>
      </c>
    </row>
    <row r="850" spans="1:19" s="16" customFormat="1">
      <c r="A850" s="72"/>
      <c r="C850" s="129"/>
      <c r="D850" s="130"/>
      <c r="E850" s="131"/>
      <c r="F850" s="132"/>
      <c r="G850" s="133"/>
      <c r="H850" s="132"/>
      <c r="I850" s="133"/>
      <c r="J850" s="134"/>
      <c r="K850" s="130"/>
      <c r="L850" s="135"/>
      <c r="M850" s="135"/>
      <c r="N850" s="132"/>
      <c r="O850" s="133"/>
      <c r="P850" s="129"/>
      <c r="Q850" s="133"/>
      <c r="R850" s="134"/>
      <c r="S850" s="134"/>
    </row>
    <row r="851" spans="1:19" s="45" customFormat="1">
      <c r="A851" s="108" t="s">
        <v>658</v>
      </c>
      <c r="B851" s="45" t="s">
        <v>659</v>
      </c>
      <c r="C851" s="46"/>
      <c r="D851" s="47" t="s">
        <v>34</v>
      </c>
      <c r="E851" s="48">
        <v>2</v>
      </c>
      <c r="F851" s="49">
        <v>1</v>
      </c>
      <c r="G851" s="50" t="s">
        <v>21</v>
      </c>
      <c r="H851" s="49">
        <v>200</v>
      </c>
      <c r="I851" s="50" t="s">
        <v>34</v>
      </c>
      <c r="J851" s="51">
        <v>11500</v>
      </c>
      <c r="K851" s="47" t="s">
        <v>104</v>
      </c>
      <c r="L851" s="52">
        <v>0.17499999999999999</v>
      </c>
      <c r="M851" s="52">
        <v>0.03</v>
      </c>
      <c r="N851" s="49">
        <f>200+50</f>
        <v>250</v>
      </c>
      <c r="O851" s="50" t="s">
        <v>34</v>
      </c>
      <c r="P851" s="46">
        <f t="shared" si="199"/>
        <v>150</v>
      </c>
      <c r="Q851" s="50" t="s">
        <v>34</v>
      </c>
      <c r="R851" s="51">
        <f t="shared" si="200"/>
        <v>1380431.25</v>
      </c>
      <c r="S851" s="32">
        <f t="shared" si="201"/>
        <v>1243631.7567567567</v>
      </c>
    </row>
    <row r="852" spans="1:19" s="45" customFormat="1">
      <c r="A852" s="108" t="s">
        <v>736</v>
      </c>
      <c r="B852" s="45" t="s">
        <v>659</v>
      </c>
      <c r="C852" s="46">
        <v>400</v>
      </c>
      <c r="D852" s="47" t="s">
        <v>34</v>
      </c>
      <c r="E852" s="48"/>
      <c r="F852" s="49">
        <v>1</v>
      </c>
      <c r="G852" s="50" t="s">
        <v>21</v>
      </c>
      <c r="H852" s="49">
        <v>200</v>
      </c>
      <c r="I852" s="50" t="s">
        <v>34</v>
      </c>
      <c r="J852" s="51">
        <v>13800</v>
      </c>
      <c r="K852" s="47" t="s">
        <v>104</v>
      </c>
      <c r="L852" s="52">
        <v>0.17499999999999999</v>
      </c>
      <c r="M852" s="52">
        <v>0.03</v>
      </c>
      <c r="N852" s="49">
        <v>50</v>
      </c>
      <c r="O852" s="50" t="s">
        <v>34</v>
      </c>
      <c r="P852" s="46">
        <f t="shared" si="199"/>
        <v>350</v>
      </c>
      <c r="Q852" s="50" t="s">
        <v>34</v>
      </c>
      <c r="R852" s="51">
        <f t="shared" si="200"/>
        <v>3865207.5000000005</v>
      </c>
      <c r="S852" s="32">
        <f t="shared" si="201"/>
        <v>3482168.9189189188</v>
      </c>
    </row>
    <row r="853" spans="1:19" s="26" customFormat="1">
      <c r="A853" s="138"/>
      <c r="B853" s="45"/>
      <c r="C853" s="27"/>
      <c r="D853" s="28"/>
      <c r="E853" s="29"/>
      <c r="F853" s="30"/>
      <c r="G853" s="31"/>
      <c r="H853" s="30"/>
      <c r="I853" s="31"/>
      <c r="J853" s="32"/>
      <c r="K853" s="28"/>
      <c r="L853" s="33"/>
      <c r="M853" s="33"/>
      <c r="N853" s="30"/>
      <c r="O853" s="228"/>
      <c r="P853" s="27"/>
      <c r="Q853" s="31"/>
      <c r="R853" s="32"/>
      <c r="S853" s="32"/>
    </row>
    <row r="854" spans="1:19">
      <c r="A854" s="15" t="s">
        <v>844</v>
      </c>
      <c r="S854" s="23"/>
    </row>
    <row r="855" spans="1:19" s="63" customFormat="1">
      <c r="A855" s="72" t="s">
        <v>845</v>
      </c>
      <c r="B855" s="63" t="s">
        <v>645</v>
      </c>
      <c r="C855" s="64"/>
      <c r="D855" s="65" t="s">
        <v>43</v>
      </c>
      <c r="E855" s="66">
        <v>1</v>
      </c>
      <c r="F855" s="67">
        <v>1</v>
      </c>
      <c r="G855" s="68" t="s">
        <v>21</v>
      </c>
      <c r="H855" s="67">
        <v>30</v>
      </c>
      <c r="I855" s="68" t="s">
        <v>43</v>
      </c>
      <c r="J855" s="69">
        <v>102000</v>
      </c>
      <c r="K855" s="65" t="s">
        <v>43</v>
      </c>
      <c r="L855" s="70">
        <v>0.17499999999999999</v>
      </c>
      <c r="M855" s="70">
        <v>0.03</v>
      </c>
      <c r="N855" s="67">
        <v>30</v>
      </c>
      <c r="O855" s="68" t="s">
        <v>43</v>
      </c>
      <c r="P855" s="64">
        <f t="shared" ref="P855" si="202">(C855+(E855*F855*H855))-N855</f>
        <v>0</v>
      </c>
      <c r="Q855" s="68" t="s">
        <v>43</v>
      </c>
      <c r="R855" s="69">
        <f t="shared" ref="R855" si="203">P855*(J855-(J855*L855)-((J855-(J855*L855))*M855))</f>
        <v>0</v>
      </c>
      <c r="S855" s="69">
        <f t="shared" ref="S855" si="204">R855/1.11</f>
        <v>0</v>
      </c>
    </row>
    <row r="856" spans="1:19">
      <c r="S856" s="23"/>
    </row>
    <row r="857" spans="1:19" ht="15.75">
      <c r="A857" s="14" t="s">
        <v>660</v>
      </c>
      <c r="S857" s="23"/>
    </row>
    <row r="858" spans="1:19" s="26" customFormat="1">
      <c r="A858" s="94" t="s">
        <v>661</v>
      </c>
      <c r="B858" s="26" t="s">
        <v>182</v>
      </c>
      <c r="C858" s="27">
        <v>383</v>
      </c>
      <c r="D858" s="28" t="s">
        <v>104</v>
      </c>
      <c r="E858" s="29"/>
      <c r="F858" s="30">
        <v>1</v>
      </c>
      <c r="G858" s="31" t="s">
        <v>21</v>
      </c>
      <c r="H858" s="30">
        <v>60</v>
      </c>
      <c r="I858" s="31" t="s">
        <v>104</v>
      </c>
      <c r="J858" s="32">
        <v>8600</v>
      </c>
      <c r="K858" s="28" t="s">
        <v>104</v>
      </c>
      <c r="L858" s="33">
        <v>0.05</v>
      </c>
      <c r="M858" s="33"/>
      <c r="N858" s="30"/>
      <c r="O858" s="31" t="s">
        <v>104</v>
      </c>
      <c r="P858" s="27">
        <f t="shared" ref="P858:P877" si="205">(C858+(E858*F858*H858))-N858</f>
        <v>383</v>
      </c>
      <c r="Q858" s="31" t="s">
        <v>104</v>
      </c>
      <c r="R858" s="32">
        <f t="shared" ref="R858:R877" si="206">P858*(J858-(J858*L858)-((J858-(J858*L858))*M858))</f>
        <v>3129110</v>
      </c>
      <c r="S858" s="32">
        <f t="shared" si="201"/>
        <v>2819018.018018018</v>
      </c>
    </row>
    <row r="859" spans="1:19" s="26" customFormat="1">
      <c r="A859" s="94"/>
      <c r="C859" s="27"/>
      <c r="D859" s="28"/>
      <c r="E859" s="29"/>
      <c r="F859" s="30"/>
      <c r="G859" s="31"/>
      <c r="H859" s="30"/>
      <c r="I859" s="31"/>
      <c r="J859" s="32"/>
      <c r="K859" s="28"/>
      <c r="L859" s="33"/>
      <c r="M859" s="33"/>
      <c r="N859" s="30"/>
      <c r="O859" s="31"/>
      <c r="P859" s="27"/>
      <c r="Q859" s="31"/>
      <c r="R859" s="32"/>
      <c r="S859" s="32"/>
    </row>
    <row r="860" spans="1:19" s="17" customFormat="1">
      <c r="A860" s="93" t="s">
        <v>666</v>
      </c>
      <c r="B860" s="17" t="s">
        <v>19</v>
      </c>
      <c r="C860" s="18"/>
      <c r="D860" s="19" t="s">
        <v>34</v>
      </c>
      <c r="E860" s="20">
        <v>2</v>
      </c>
      <c r="F860" s="21">
        <v>1</v>
      </c>
      <c r="G860" s="22" t="s">
        <v>21</v>
      </c>
      <c r="H860" s="21">
        <v>50</v>
      </c>
      <c r="I860" s="22" t="s">
        <v>34</v>
      </c>
      <c r="J860" s="23">
        <v>32300</v>
      </c>
      <c r="K860" s="19" t="s">
        <v>34</v>
      </c>
      <c r="L860" s="24">
        <v>0.125</v>
      </c>
      <c r="M860" s="24">
        <v>0.05</v>
      </c>
      <c r="N860" s="21">
        <v>100</v>
      </c>
      <c r="O860" s="22" t="s">
        <v>34</v>
      </c>
      <c r="P860" s="18">
        <f>(C860+(E860*F860*H860))-N860</f>
        <v>0</v>
      </c>
      <c r="Q860" s="22" t="s">
        <v>34</v>
      </c>
      <c r="R860" s="23">
        <f>P860*(J860-(J860*L860)-((J860-(J860*L860))*M860))</f>
        <v>0</v>
      </c>
      <c r="S860" s="23">
        <f>R860/1.11</f>
        <v>0</v>
      </c>
    </row>
    <row r="861" spans="1:19" s="17" customFormat="1">
      <c r="A861" s="93" t="s">
        <v>667</v>
      </c>
      <c r="B861" s="17" t="s">
        <v>19</v>
      </c>
      <c r="C861" s="18"/>
      <c r="D861" s="19" t="s">
        <v>34</v>
      </c>
      <c r="E861" s="20"/>
      <c r="F861" s="21">
        <v>1</v>
      </c>
      <c r="G861" s="22" t="s">
        <v>21</v>
      </c>
      <c r="H861" s="21">
        <v>50</v>
      </c>
      <c r="I861" s="22" t="s">
        <v>34</v>
      </c>
      <c r="J861" s="23">
        <v>12000</v>
      </c>
      <c r="K861" s="19" t="s">
        <v>34</v>
      </c>
      <c r="L861" s="24">
        <v>0.125</v>
      </c>
      <c r="M861" s="24">
        <v>0.05</v>
      </c>
      <c r="N861" s="21"/>
      <c r="O861" s="22" t="s">
        <v>34</v>
      </c>
      <c r="P861" s="18">
        <f>(C861+(E861*F861*H861))-N861</f>
        <v>0</v>
      </c>
      <c r="Q861" s="22" t="s">
        <v>34</v>
      </c>
      <c r="R861" s="23">
        <f>P861*(J861-(J861*L861)-((J861-(J861*L861))*M861))</f>
        <v>0</v>
      </c>
      <c r="S861" s="23">
        <f>R861/1.11</f>
        <v>0</v>
      </c>
    </row>
    <row r="862" spans="1:19" s="26" customFormat="1">
      <c r="A862" s="94" t="s">
        <v>829</v>
      </c>
      <c r="B862" s="26" t="s">
        <v>19</v>
      </c>
      <c r="C862" s="27">
        <v>100</v>
      </c>
      <c r="D862" s="28" t="s">
        <v>34</v>
      </c>
      <c r="E862" s="29"/>
      <c r="F862" s="30">
        <v>1</v>
      </c>
      <c r="G862" s="31" t="s">
        <v>21</v>
      </c>
      <c r="H862" s="30">
        <v>50</v>
      </c>
      <c r="I862" s="31" t="s">
        <v>34</v>
      </c>
      <c r="J862" s="32">
        <v>29100</v>
      </c>
      <c r="K862" s="28" t="s">
        <v>34</v>
      </c>
      <c r="L862" s="33">
        <v>0.125</v>
      </c>
      <c r="M862" s="33">
        <v>0.05</v>
      </c>
      <c r="N862" s="30"/>
      <c r="O862" s="31" t="s">
        <v>34</v>
      </c>
      <c r="P862" s="27">
        <f>(C862+(E862*F862*H862))-N862</f>
        <v>100</v>
      </c>
      <c r="Q862" s="31" t="s">
        <v>34</v>
      </c>
      <c r="R862" s="32">
        <f>P862*(J862-(J862*L862)-((J862-(J862*L862))*M862))</f>
        <v>2418937.5</v>
      </c>
      <c r="S862" s="32">
        <f>R862/1.11</f>
        <v>2179222.9729729728</v>
      </c>
    </row>
    <row r="863" spans="1:19" s="17" customFormat="1">
      <c r="A863" s="93" t="s">
        <v>668</v>
      </c>
      <c r="B863" s="17" t="s">
        <v>19</v>
      </c>
      <c r="C863" s="18"/>
      <c r="D863" s="19" t="s">
        <v>34</v>
      </c>
      <c r="E863" s="20"/>
      <c r="F863" s="21">
        <v>1</v>
      </c>
      <c r="G863" s="22" t="s">
        <v>21</v>
      </c>
      <c r="H863" s="21">
        <v>50</v>
      </c>
      <c r="I863" s="22" t="s">
        <v>34</v>
      </c>
      <c r="J863" s="23">
        <v>36200</v>
      </c>
      <c r="K863" s="19" t="s">
        <v>34</v>
      </c>
      <c r="L863" s="24">
        <v>0.125</v>
      </c>
      <c r="M863" s="24">
        <v>0.05</v>
      </c>
      <c r="N863" s="21"/>
      <c r="O863" s="22" t="s">
        <v>34</v>
      </c>
      <c r="P863" s="18">
        <f>(C863+(E863*F863*H863))-N863</f>
        <v>0</v>
      </c>
      <c r="Q863" s="22" t="s">
        <v>34</v>
      </c>
      <c r="R863" s="23">
        <f>P863*(J863-(J863*L863)-((J863-(J863*L863))*M863))</f>
        <v>0</v>
      </c>
      <c r="S863" s="23">
        <f>R863/1.11</f>
        <v>0</v>
      </c>
    </row>
    <row r="864" spans="1:19" s="45" customFormat="1">
      <c r="A864" s="94" t="s">
        <v>662</v>
      </c>
      <c r="B864" s="45" t="s">
        <v>19</v>
      </c>
      <c r="C864" s="46">
        <v>143</v>
      </c>
      <c r="D864" s="47" t="s">
        <v>34</v>
      </c>
      <c r="E864" s="48">
        <f>15+2+1+2+2</f>
        <v>22</v>
      </c>
      <c r="F864" s="49">
        <v>1</v>
      </c>
      <c r="G864" s="50" t="s">
        <v>21</v>
      </c>
      <c r="H864" s="49">
        <v>50</v>
      </c>
      <c r="I864" s="50" t="s">
        <v>34</v>
      </c>
      <c r="J864" s="51">
        <v>34100</v>
      </c>
      <c r="K864" s="47" t="s">
        <v>34</v>
      </c>
      <c r="L864" s="52">
        <v>0.125</v>
      </c>
      <c r="M864" s="52">
        <v>0.05</v>
      </c>
      <c r="N864" s="49">
        <f>500+100+50+150+50+100+50+100+100</f>
        <v>1200</v>
      </c>
      <c r="O864" s="50" t="s">
        <v>34</v>
      </c>
      <c r="P864" s="46">
        <f t="shared" si="205"/>
        <v>43</v>
      </c>
      <c r="Q864" s="50" t="s">
        <v>34</v>
      </c>
      <c r="R864" s="51">
        <f t="shared" si="206"/>
        <v>1218861.875</v>
      </c>
      <c r="S864" s="32">
        <f t="shared" si="201"/>
        <v>1098073.7612612611</v>
      </c>
    </row>
    <row r="865" spans="1:19" s="45" customFormat="1">
      <c r="A865" s="44" t="s">
        <v>663</v>
      </c>
      <c r="B865" s="45" t="s">
        <v>19</v>
      </c>
      <c r="C865" s="46">
        <v>100</v>
      </c>
      <c r="D865" s="47" t="s">
        <v>34</v>
      </c>
      <c r="E865" s="48">
        <f>7+1+1</f>
        <v>9</v>
      </c>
      <c r="F865" s="49">
        <v>1</v>
      </c>
      <c r="G865" s="50" t="s">
        <v>21</v>
      </c>
      <c r="H865" s="49">
        <v>50</v>
      </c>
      <c r="I865" s="50" t="s">
        <v>34</v>
      </c>
      <c r="J865" s="51">
        <v>34100</v>
      </c>
      <c r="K865" s="47" t="s">
        <v>34</v>
      </c>
      <c r="L865" s="52">
        <v>0.125</v>
      </c>
      <c r="M865" s="52">
        <v>0.05</v>
      </c>
      <c r="N865" s="49">
        <f>50+50+50+100+100+50+50</f>
        <v>450</v>
      </c>
      <c r="O865" s="50" t="s">
        <v>34</v>
      </c>
      <c r="P865" s="46">
        <f t="shared" si="205"/>
        <v>100</v>
      </c>
      <c r="Q865" s="50" t="s">
        <v>34</v>
      </c>
      <c r="R865" s="51">
        <f t="shared" si="206"/>
        <v>2834562.5</v>
      </c>
      <c r="S865" s="51">
        <f t="shared" si="201"/>
        <v>2553659.9099099096</v>
      </c>
    </row>
    <row r="866" spans="1:19" s="45" customFormat="1">
      <c r="A866" s="44" t="s">
        <v>664</v>
      </c>
      <c r="B866" s="45" t="s">
        <v>19</v>
      </c>
      <c r="C866" s="46">
        <v>151</v>
      </c>
      <c r="D866" s="47" t="s">
        <v>34</v>
      </c>
      <c r="E866" s="48">
        <f>1+1</f>
        <v>2</v>
      </c>
      <c r="F866" s="49">
        <v>1</v>
      </c>
      <c r="G866" s="50" t="s">
        <v>21</v>
      </c>
      <c r="H866" s="49">
        <v>50</v>
      </c>
      <c r="I866" s="50" t="s">
        <v>34</v>
      </c>
      <c r="J866" s="51">
        <v>32000</v>
      </c>
      <c r="K866" s="47" t="s">
        <v>34</v>
      </c>
      <c r="L866" s="52">
        <v>0.125</v>
      </c>
      <c r="M866" s="52">
        <v>0.05</v>
      </c>
      <c r="N866" s="49">
        <f>50+50+50+50+12+26</f>
        <v>238</v>
      </c>
      <c r="O866" s="50" t="s">
        <v>34</v>
      </c>
      <c r="P866" s="46">
        <f t="shared" si="205"/>
        <v>13</v>
      </c>
      <c r="Q866" s="50" t="s">
        <v>34</v>
      </c>
      <c r="R866" s="51">
        <f t="shared" si="206"/>
        <v>345800</v>
      </c>
      <c r="S866" s="51">
        <f t="shared" si="201"/>
        <v>311531.53153153148</v>
      </c>
    </row>
    <row r="867" spans="1:19" s="63" customFormat="1">
      <c r="A867" s="93" t="s">
        <v>665</v>
      </c>
      <c r="B867" s="63" t="s">
        <v>19</v>
      </c>
      <c r="C867" s="64">
        <v>108</v>
      </c>
      <c r="D867" s="65" t="s">
        <v>34</v>
      </c>
      <c r="E867" s="66">
        <f>2+1+2</f>
        <v>5</v>
      </c>
      <c r="F867" s="67">
        <v>1</v>
      </c>
      <c r="G867" s="68" t="s">
        <v>21</v>
      </c>
      <c r="H867" s="67">
        <v>50</v>
      </c>
      <c r="I867" s="68" t="s">
        <v>34</v>
      </c>
      <c r="J867" s="69">
        <v>32000</v>
      </c>
      <c r="K867" s="65" t="s">
        <v>34</v>
      </c>
      <c r="L867" s="70">
        <v>0.125</v>
      </c>
      <c r="M867" s="70">
        <v>0.05</v>
      </c>
      <c r="N867" s="67">
        <f>50+20+50+100+50+100-12</f>
        <v>358</v>
      </c>
      <c r="O867" s="68" t="s">
        <v>34</v>
      </c>
      <c r="P867" s="64">
        <f t="shared" si="205"/>
        <v>0</v>
      </c>
      <c r="Q867" s="68" t="s">
        <v>34</v>
      </c>
      <c r="R867" s="69">
        <f t="shared" si="206"/>
        <v>0</v>
      </c>
      <c r="S867" s="23">
        <f t="shared" si="201"/>
        <v>0</v>
      </c>
    </row>
    <row r="868" spans="1:19" s="45" customFormat="1">
      <c r="A868" s="94" t="s">
        <v>669</v>
      </c>
      <c r="B868" s="45" t="s">
        <v>19</v>
      </c>
      <c r="C868" s="46">
        <v>929</v>
      </c>
      <c r="D868" s="47" t="s">
        <v>34</v>
      </c>
      <c r="E868" s="48">
        <f>15+1+2+2</f>
        <v>20</v>
      </c>
      <c r="F868" s="49">
        <v>1</v>
      </c>
      <c r="G868" s="50" t="s">
        <v>21</v>
      </c>
      <c r="H868" s="49">
        <v>50</v>
      </c>
      <c r="I868" s="50" t="s">
        <v>34</v>
      </c>
      <c r="J868" s="51">
        <v>28300</v>
      </c>
      <c r="K868" s="47" t="s">
        <v>34</v>
      </c>
      <c r="L868" s="52">
        <v>0.125</v>
      </c>
      <c r="M868" s="52">
        <v>0.05</v>
      </c>
      <c r="N868" s="49">
        <f>100+50+2+500+3+250+150+250+50+50+50+100+100+30</f>
        <v>1685</v>
      </c>
      <c r="O868" s="50" t="s">
        <v>34</v>
      </c>
      <c r="P868" s="46">
        <f t="shared" si="205"/>
        <v>244</v>
      </c>
      <c r="Q868" s="50" t="s">
        <v>34</v>
      </c>
      <c r="R868" s="51">
        <f t="shared" si="206"/>
        <v>5739947.5</v>
      </c>
      <c r="S868" s="51">
        <f t="shared" si="201"/>
        <v>5171123.8738738736</v>
      </c>
    </row>
    <row r="869" spans="1:19" s="63" customFormat="1">
      <c r="A869" s="93" t="s">
        <v>670</v>
      </c>
      <c r="B869" s="63" t="s">
        <v>19</v>
      </c>
      <c r="C869" s="64">
        <v>250</v>
      </c>
      <c r="D869" s="65" t="s">
        <v>34</v>
      </c>
      <c r="E869" s="66">
        <f>5+2</f>
        <v>7</v>
      </c>
      <c r="F869" s="67">
        <v>1</v>
      </c>
      <c r="G869" s="68" t="s">
        <v>21</v>
      </c>
      <c r="H869" s="67">
        <v>50</v>
      </c>
      <c r="I869" s="68" t="s">
        <v>34</v>
      </c>
      <c r="J869" s="69">
        <v>28300</v>
      </c>
      <c r="K869" s="65" t="s">
        <v>34</v>
      </c>
      <c r="L869" s="70">
        <v>0.125</v>
      </c>
      <c r="M869" s="70">
        <v>0.05</v>
      </c>
      <c r="N869" s="67">
        <f>100+50+150+50+50+100+50+50</f>
        <v>600</v>
      </c>
      <c r="O869" s="68" t="s">
        <v>34</v>
      </c>
      <c r="P869" s="64">
        <f t="shared" si="205"/>
        <v>0</v>
      </c>
      <c r="Q869" s="68" t="s">
        <v>34</v>
      </c>
      <c r="R869" s="69">
        <f t="shared" si="206"/>
        <v>0</v>
      </c>
      <c r="S869" s="69">
        <f t="shared" si="201"/>
        <v>0</v>
      </c>
    </row>
    <row r="870" spans="1:19" s="17" customFormat="1">
      <c r="A870" s="93" t="s">
        <v>671</v>
      </c>
      <c r="B870" s="17" t="s">
        <v>19</v>
      </c>
      <c r="C870" s="18"/>
      <c r="D870" s="19" t="s">
        <v>34</v>
      </c>
      <c r="E870" s="20"/>
      <c r="F870" s="21">
        <v>1</v>
      </c>
      <c r="G870" s="22" t="s">
        <v>21</v>
      </c>
      <c r="H870" s="21">
        <v>50</v>
      </c>
      <c r="I870" s="22" t="s">
        <v>34</v>
      </c>
      <c r="J870" s="23">
        <v>26500</v>
      </c>
      <c r="K870" s="19" t="s">
        <v>34</v>
      </c>
      <c r="L870" s="24">
        <v>0.125</v>
      </c>
      <c r="M870" s="24">
        <v>0.05</v>
      </c>
      <c r="N870" s="21"/>
      <c r="O870" s="22" t="s">
        <v>34</v>
      </c>
      <c r="P870" s="18">
        <f t="shared" si="205"/>
        <v>0</v>
      </c>
      <c r="Q870" s="22" t="s">
        <v>34</v>
      </c>
      <c r="R870" s="23">
        <f t="shared" si="206"/>
        <v>0</v>
      </c>
      <c r="S870" s="23">
        <f t="shared" si="201"/>
        <v>0</v>
      </c>
    </row>
    <row r="871" spans="1:19" s="17" customFormat="1">
      <c r="A871" s="93"/>
      <c r="C871" s="18"/>
      <c r="D871" s="19"/>
      <c r="E871" s="20"/>
      <c r="F871" s="21"/>
      <c r="G871" s="22"/>
      <c r="H871" s="21"/>
      <c r="I871" s="22"/>
      <c r="J871" s="23"/>
      <c r="K871" s="19"/>
      <c r="L871" s="24"/>
      <c r="M871" s="24"/>
      <c r="N871" s="21"/>
      <c r="O871" s="22"/>
      <c r="P871" s="18"/>
      <c r="Q871" s="22"/>
      <c r="R871" s="23"/>
      <c r="S871" s="23"/>
    </row>
    <row r="872" spans="1:19" s="45" customFormat="1">
      <c r="A872" s="107" t="s">
        <v>672</v>
      </c>
      <c r="B872" s="45" t="s">
        <v>26</v>
      </c>
      <c r="C872" s="46">
        <v>103</v>
      </c>
      <c r="D872" s="47" t="s">
        <v>34</v>
      </c>
      <c r="E872" s="48"/>
      <c r="F872" s="49">
        <v>1</v>
      </c>
      <c r="G872" s="50" t="s">
        <v>21</v>
      </c>
      <c r="H872" s="49">
        <v>50</v>
      </c>
      <c r="I872" s="50" t="s">
        <v>34</v>
      </c>
      <c r="J872" s="51">
        <f>1500000/50</f>
        <v>30000</v>
      </c>
      <c r="K872" s="47" t="s">
        <v>34</v>
      </c>
      <c r="L872" s="52"/>
      <c r="M872" s="52">
        <v>0.17</v>
      </c>
      <c r="N872" s="49">
        <v>2</v>
      </c>
      <c r="O872" s="50" t="s">
        <v>34</v>
      </c>
      <c r="P872" s="46">
        <f t="shared" si="205"/>
        <v>101</v>
      </c>
      <c r="Q872" s="50" t="s">
        <v>34</v>
      </c>
      <c r="R872" s="51">
        <f t="shared" si="206"/>
        <v>2514900</v>
      </c>
      <c r="S872" s="51">
        <f t="shared" si="201"/>
        <v>2265675.6756756753</v>
      </c>
    </row>
    <row r="873" spans="1:19" s="45" customFormat="1">
      <c r="A873" s="107" t="s">
        <v>673</v>
      </c>
      <c r="B873" s="45" t="s">
        <v>26</v>
      </c>
      <c r="C873" s="46">
        <v>83</v>
      </c>
      <c r="D873" s="47" t="s">
        <v>34</v>
      </c>
      <c r="E873" s="48"/>
      <c r="F873" s="49">
        <v>1</v>
      </c>
      <c r="G873" s="50" t="s">
        <v>21</v>
      </c>
      <c r="H873" s="49">
        <v>50</v>
      </c>
      <c r="I873" s="50" t="s">
        <v>34</v>
      </c>
      <c r="J873" s="51">
        <f>1500000/50</f>
        <v>30000</v>
      </c>
      <c r="K873" s="47" t="s">
        <v>34</v>
      </c>
      <c r="L873" s="52"/>
      <c r="M873" s="52">
        <v>0.17</v>
      </c>
      <c r="N873" s="49">
        <f>10+5+6</f>
        <v>21</v>
      </c>
      <c r="O873" s="50" t="s">
        <v>34</v>
      </c>
      <c r="P873" s="46">
        <f t="shared" si="205"/>
        <v>62</v>
      </c>
      <c r="Q873" s="50" t="s">
        <v>34</v>
      </c>
      <c r="R873" s="51">
        <f t="shared" si="206"/>
        <v>1543800</v>
      </c>
      <c r="S873" s="51">
        <f t="shared" si="201"/>
        <v>1390810.8108108107</v>
      </c>
    </row>
    <row r="874" spans="1:19" s="17" customFormat="1">
      <c r="A874" s="93" t="s">
        <v>833</v>
      </c>
      <c r="B874" s="17" t="s">
        <v>26</v>
      </c>
      <c r="C874" s="18">
        <v>7</v>
      </c>
      <c r="D874" s="19" t="s">
        <v>34</v>
      </c>
      <c r="E874" s="20"/>
      <c r="F874" s="21">
        <v>1</v>
      </c>
      <c r="G874" s="22" t="s">
        <v>21</v>
      </c>
      <c r="H874" s="21">
        <v>50</v>
      </c>
      <c r="I874" s="22" t="s">
        <v>34</v>
      </c>
      <c r="J874" s="23">
        <v>32400</v>
      </c>
      <c r="K874" s="19" t="s">
        <v>34</v>
      </c>
      <c r="L874" s="24"/>
      <c r="M874" s="24">
        <v>0.17</v>
      </c>
      <c r="N874" s="21">
        <f>2+5</f>
        <v>7</v>
      </c>
      <c r="O874" s="22" t="s">
        <v>34</v>
      </c>
      <c r="P874" s="18">
        <f t="shared" si="205"/>
        <v>0</v>
      </c>
      <c r="Q874" s="22" t="s">
        <v>34</v>
      </c>
      <c r="R874" s="23">
        <f t="shared" si="206"/>
        <v>0</v>
      </c>
      <c r="S874" s="23">
        <f t="shared" si="201"/>
        <v>0</v>
      </c>
    </row>
    <row r="875" spans="1:19" s="17" customFormat="1">
      <c r="A875" s="93" t="s">
        <v>675</v>
      </c>
      <c r="B875" s="17" t="s">
        <v>26</v>
      </c>
      <c r="C875" s="18"/>
      <c r="D875" s="19" t="s">
        <v>34</v>
      </c>
      <c r="E875" s="20"/>
      <c r="F875" s="21">
        <v>1</v>
      </c>
      <c r="G875" s="22" t="s">
        <v>21</v>
      </c>
      <c r="H875" s="21">
        <v>50</v>
      </c>
      <c r="I875" s="22" t="s">
        <v>34</v>
      </c>
      <c r="J875" s="23">
        <v>28500</v>
      </c>
      <c r="K875" s="19" t="s">
        <v>34</v>
      </c>
      <c r="L875" s="24"/>
      <c r="M875" s="24">
        <v>0.17</v>
      </c>
      <c r="N875" s="21"/>
      <c r="O875" s="22" t="s">
        <v>34</v>
      </c>
      <c r="P875" s="18">
        <f t="shared" si="205"/>
        <v>0</v>
      </c>
      <c r="Q875" s="22" t="s">
        <v>34</v>
      </c>
      <c r="R875" s="23">
        <f t="shared" si="206"/>
        <v>0</v>
      </c>
      <c r="S875" s="23">
        <f t="shared" si="201"/>
        <v>0</v>
      </c>
    </row>
    <row r="876" spans="1:19" s="45" customFormat="1">
      <c r="A876" s="107" t="s">
        <v>676</v>
      </c>
      <c r="B876" s="45" t="s">
        <v>26</v>
      </c>
      <c r="C876" s="46">
        <v>205</v>
      </c>
      <c r="D876" s="47" t="s">
        <v>34</v>
      </c>
      <c r="E876" s="48"/>
      <c r="F876" s="49">
        <v>1</v>
      </c>
      <c r="G876" s="50" t="s">
        <v>21</v>
      </c>
      <c r="H876" s="49">
        <v>50</v>
      </c>
      <c r="I876" s="50" t="s">
        <v>34</v>
      </c>
      <c r="J876" s="51">
        <f>1375000/50</f>
        <v>27500</v>
      </c>
      <c r="K876" s="47" t="s">
        <v>34</v>
      </c>
      <c r="L876" s="52"/>
      <c r="M876" s="52">
        <v>0.17</v>
      </c>
      <c r="N876" s="49"/>
      <c r="O876" s="50" t="s">
        <v>34</v>
      </c>
      <c r="P876" s="46">
        <f t="shared" si="205"/>
        <v>205</v>
      </c>
      <c r="Q876" s="50" t="s">
        <v>34</v>
      </c>
      <c r="R876" s="51">
        <f t="shared" si="206"/>
        <v>4679125</v>
      </c>
      <c r="S876" s="51">
        <f t="shared" si="201"/>
        <v>4215427.9279279271</v>
      </c>
    </row>
    <row r="877" spans="1:19" s="45" customFormat="1">
      <c r="A877" s="107" t="s">
        <v>677</v>
      </c>
      <c r="B877" s="45" t="s">
        <v>26</v>
      </c>
      <c r="C877" s="46">
        <v>20</v>
      </c>
      <c r="D877" s="47" t="s">
        <v>34</v>
      </c>
      <c r="E877" s="48"/>
      <c r="F877" s="49">
        <v>1</v>
      </c>
      <c r="G877" s="50" t="s">
        <v>21</v>
      </c>
      <c r="H877" s="49">
        <v>50</v>
      </c>
      <c r="I877" s="50" t="s">
        <v>34</v>
      </c>
      <c r="J877" s="51">
        <f>1375000/50</f>
        <v>27500</v>
      </c>
      <c r="K877" s="47" t="s">
        <v>34</v>
      </c>
      <c r="L877" s="52"/>
      <c r="M877" s="52">
        <v>0.17</v>
      </c>
      <c r="N877" s="49"/>
      <c r="O877" s="50" t="s">
        <v>34</v>
      </c>
      <c r="P877" s="46">
        <f t="shared" si="205"/>
        <v>20</v>
      </c>
      <c r="Q877" s="50" t="s">
        <v>34</v>
      </c>
      <c r="R877" s="51">
        <f t="shared" si="206"/>
        <v>456500</v>
      </c>
      <c r="S877" s="51">
        <f t="shared" si="201"/>
        <v>411261.26126126124</v>
      </c>
    </row>
    <row r="878" spans="1:19">
      <c r="S878" s="23"/>
    </row>
    <row r="879" spans="1:19" ht="15.75">
      <c r="A879" s="14" t="s">
        <v>678</v>
      </c>
      <c r="S879" s="23"/>
    </row>
    <row r="880" spans="1:19">
      <c r="A880" s="15" t="s">
        <v>679</v>
      </c>
      <c r="S880" s="23"/>
    </row>
    <row r="881" spans="1:19" s="63" customFormat="1">
      <c r="A881" s="111" t="s">
        <v>680</v>
      </c>
      <c r="B881" s="63" t="s">
        <v>192</v>
      </c>
      <c r="C881" s="64">
        <v>48</v>
      </c>
      <c r="D881" s="65" t="s">
        <v>292</v>
      </c>
      <c r="E881" s="66"/>
      <c r="F881" s="67">
        <v>1</v>
      </c>
      <c r="G881" s="68" t="s">
        <v>21</v>
      </c>
      <c r="H881" s="67">
        <v>720</v>
      </c>
      <c r="I881" s="68" t="s">
        <v>292</v>
      </c>
      <c r="J881" s="69">
        <v>3100</v>
      </c>
      <c r="K881" s="65" t="s">
        <v>292</v>
      </c>
      <c r="L881" s="70"/>
      <c r="M881" s="70">
        <v>0.15</v>
      </c>
      <c r="N881" s="67">
        <f>24+24</f>
        <v>48</v>
      </c>
      <c r="O881" s="68" t="s">
        <v>292</v>
      </c>
      <c r="P881" s="64">
        <f t="shared" ref="P881:P891" si="207">(C881+(E881*F881*H881))-N881</f>
        <v>0</v>
      </c>
      <c r="Q881" s="68" t="s">
        <v>292</v>
      </c>
      <c r="R881" s="69">
        <f t="shared" ref="R881:R891" si="208">P881*(J881-(J881*L881)-((J881-(J881*L881))*M881))</f>
        <v>0</v>
      </c>
      <c r="S881" s="23">
        <f t="shared" si="201"/>
        <v>0</v>
      </c>
    </row>
    <row r="882" spans="1:19" s="63" customFormat="1">
      <c r="A882" s="111" t="s">
        <v>681</v>
      </c>
      <c r="B882" s="63" t="s">
        <v>192</v>
      </c>
      <c r="C882" s="64">
        <v>48</v>
      </c>
      <c r="D882" s="65" t="s">
        <v>292</v>
      </c>
      <c r="E882" s="66"/>
      <c r="F882" s="67">
        <v>1</v>
      </c>
      <c r="G882" s="68" t="s">
        <v>21</v>
      </c>
      <c r="H882" s="67">
        <v>480</v>
      </c>
      <c r="I882" s="68" t="s">
        <v>292</v>
      </c>
      <c r="J882" s="69">
        <v>4750</v>
      </c>
      <c r="K882" s="65" t="s">
        <v>292</v>
      </c>
      <c r="L882" s="70"/>
      <c r="M882" s="70">
        <v>0.15</v>
      </c>
      <c r="N882" s="67">
        <f t="shared" ref="N882:N883" si="209">24+24</f>
        <v>48</v>
      </c>
      <c r="O882" s="68" t="s">
        <v>292</v>
      </c>
      <c r="P882" s="64">
        <f t="shared" si="207"/>
        <v>0</v>
      </c>
      <c r="Q882" s="68" t="s">
        <v>292</v>
      </c>
      <c r="R882" s="69">
        <f t="shared" si="208"/>
        <v>0</v>
      </c>
      <c r="S882" s="23">
        <f t="shared" si="201"/>
        <v>0</v>
      </c>
    </row>
    <row r="883" spans="1:19" s="17" customFormat="1">
      <c r="A883" s="111" t="s">
        <v>682</v>
      </c>
      <c r="B883" s="63" t="s">
        <v>192</v>
      </c>
      <c r="C883" s="18">
        <v>48</v>
      </c>
      <c r="D883" s="19" t="s">
        <v>292</v>
      </c>
      <c r="E883" s="20"/>
      <c r="F883" s="21">
        <v>1</v>
      </c>
      <c r="G883" s="22" t="s">
        <v>21</v>
      </c>
      <c r="H883" s="21">
        <v>360</v>
      </c>
      <c r="I883" s="22" t="s">
        <v>292</v>
      </c>
      <c r="J883" s="23">
        <v>6000</v>
      </c>
      <c r="K883" s="19" t="s">
        <v>292</v>
      </c>
      <c r="L883" s="24"/>
      <c r="M883" s="24">
        <v>0.15</v>
      </c>
      <c r="N883" s="67">
        <f t="shared" si="209"/>
        <v>48</v>
      </c>
      <c r="O883" s="22" t="s">
        <v>292</v>
      </c>
      <c r="P883" s="18">
        <f t="shared" si="207"/>
        <v>0</v>
      </c>
      <c r="Q883" s="22" t="s">
        <v>292</v>
      </c>
      <c r="R883" s="23">
        <f t="shared" si="208"/>
        <v>0</v>
      </c>
      <c r="S883" s="23">
        <f t="shared" si="201"/>
        <v>0</v>
      </c>
    </row>
    <row r="884" spans="1:19" s="17" customFormat="1">
      <c r="A884" s="93"/>
      <c r="B884" s="63"/>
      <c r="C884" s="18"/>
      <c r="D884" s="19"/>
      <c r="E884" s="20"/>
      <c r="F884" s="21"/>
      <c r="G884" s="22"/>
      <c r="H884" s="21"/>
      <c r="I884" s="22"/>
      <c r="J884" s="23"/>
      <c r="K884" s="19"/>
      <c r="L884" s="24"/>
      <c r="M884" s="24"/>
      <c r="N884" s="67"/>
      <c r="O884" s="22"/>
      <c r="P884" s="18"/>
      <c r="Q884" s="22"/>
      <c r="R884" s="23"/>
      <c r="S884" s="23"/>
    </row>
    <row r="885" spans="1:19" s="17" customFormat="1">
      <c r="A885" s="93" t="s">
        <v>683</v>
      </c>
      <c r="B885" s="17" t="s">
        <v>19</v>
      </c>
      <c r="C885" s="18"/>
      <c r="D885" s="19" t="s">
        <v>292</v>
      </c>
      <c r="E885" s="20"/>
      <c r="F885" s="21">
        <v>10</v>
      </c>
      <c r="G885" s="22" t="s">
        <v>104</v>
      </c>
      <c r="H885" s="21">
        <v>24</v>
      </c>
      <c r="I885" s="22" t="s">
        <v>292</v>
      </c>
      <c r="J885" s="23">
        <v>2300</v>
      </c>
      <c r="K885" s="19" t="s">
        <v>292</v>
      </c>
      <c r="L885" s="24">
        <v>0.125</v>
      </c>
      <c r="M885" s="24">
        <v>0.05</v>
      </c>
      <c r="N885" s="21"/>
      <c r="O885" s="22" t="s">
        <v>292</v>
      </c>
      <c r="P885" s="18">
        <f t="shared" si="207"/>
        <v>0</v>
      </c>
      <c r="Q885" s="22" t="s">
        <v>292</v>
      </c>
      <c r="R885" s="23">
        <f t="shared" si="208"/>
        <v>0</v>
      </c>
      <c r="S885" s="23">
        <f t="shared" si="201"/>
        <v>0</v>
      </c>
    </row>
    <row r="886" spans="1:19" s="17" customFormat="1">
      <c r="A886" s="93" t="s">
        <v>684</v>
      </c>
      <c r="B886" s="17" t="s">
        <v>19</v>
      </c>
      <c r="C886" s="18"/>
      <c r="D886" s="19" t="s">
        <v>292</v>
      </c>
      <c r="E886" s="20"/>
      <c r="F886" s="21">
        <v>10</v>
      </c>
      <c r="G886" s="22" t="s">
        <v>104</v>
      </c>
      <c r="H886" s="21">
        <v>12</v>
      </c>
      <c r="I886" s="22" t="s">
        <v>292</v>
      </c>
      <c r="J886" s="23">
        <v>4600</v>
      </c>
      <c r="K886" s="19" t="s">
        <v>292</v>
      </c>
      <c r="L886" s="24">
        <v>0.125</v>
      </c>
      <c r="M886" s="24">
        <v>0.05</v>
      </c>
      <c r="N886" s="21"/>
      <c r="O886" s="22" t="s">
        <v>292</v>
      </c>
      <c r="P886" s="18">
        <f t="shared" si="207"/>
        <v>0</v>
      </c>
      <c r="Q886" s="22" t="s">
        <v>292</v>
      </c>
      <c r="R886" s="23">
        <f t="shared" si="208"/>
        <v>0</v>
      </c>
      <c r="S886" s="23">
        <f t="shared" si="201"/>
        <v>0</v>
      </c>
    </row>
    <row r="887" spans="1:19" s="17" customFormat="1">
      <c r="A887" s="93"/>
      <c r="C887" s="18"/>
      <c r="D887" s="19"/>
      <c r="E887" s="20"/>
      <c r="F887" s="21"/>
      <c r="G887" s="22"/>
      <c r="H887" s="21"/>
      <c r="I887" s="22"/>
      <c r="J887" s="23"/>
      <c r="K887" s="19"/>
      <c r="L887" s="24"/>
      <c r="M887" s="24"/>
      <c r="N887" s="21"/>
      <c r="O887" s="22"/>
      <c r="P887" s="18"/>
      <c r="Q887" s="22"/>
      <c r="R887" s="23"/>
      <c r="S887" s="23"/>
    </row>
    <row r="888" spans="1:19" s="17" customFormat="1">
      <c r="A888" s="109" t="s">
        <v>685</v>
      </c>
      <c r="B888" s="17" t="s">
        <v>26</v>
      </c>
      <c r="C888" s="18"/>
      <c r="D888" s="19" t="s">
        <v>292</v>
      </c>
      <c r="E888" s="20">
        <f>2+2</f>
        <v>4</v>
      </c>
      <c r="F888" s="21">
        <v>1</v>
      </c>
      <c r="G888" s="22" t="s">
        <v>21</v>
      </c>
      <c r="H888" s="21">
        <v>480</v>
      </c>
      <c r="I888" s="22" t="s">
        <v>292</v>
      </c>
      <c r="J888" s="23">
        <f>588000/480</f>
        <v>1225</v>
      </c>
      <c r="K888" s="19" t="s">
        <v>292</v>
      </c>
      <c r="L888" s="24"/>
      <c r="M888" s="24">
        <v>0.17</v>
      </c>
      <c r="N888" s="21">
        <f>960+960</f>
        <v>1920</v>
      </c>
      <c r="O888" s="22" t="s">
        <v>292</v>
      </c>
      <c r="P888" s="18">
        <f t="shared" si="207"/>
        <v>0</v>
      </c>
      <c r="Q888" s="22" t="s">
        <v>292</v>
      </c>
      <c r="R888" s="23">
        <f t="shared" si="208"/>
        <v>0</v>
      </c>
      <c r="S888" s="23">
        <f t="shared" si="201"/>
        <v>0</v>
      </c>
    </row>
    <row r="889" spans="1:19" s="17" customFormat="1">
      <c r="A889" s="109" t="s">
        <v>686</v>
      </c>
      <c r="B889" s="17" t="s">
        <v>26</v>
      </c>
      <c r="C889" s="18"/>
      <c r="D889" s="19" t="s">
        <v>292</v>
      </c>
      <c r="E889" s="20">
        <v>2</v>
      </c>
      <c r="F889" s="21">
        <v>1</v>
      </c>
      <c r="G889" s="22" t="s">
        <v>21</v>
      </c>
      <c r="H889" s="21">
        <v>240</v>
      </c>
      <c r="I889" s="22" t="s">
        <v>292</v>
      </c>
      <c r="J889" s="23">
        <f>588000/240</f>
        <v>2450</v>
      </c>
      <c r="K889" s="19" t="s">
        <v>292</v>
      </c>
      <c r="L889" s="24"/>
      <c r="M889" s="24">
        <v>0.17</v>
      </c>
      <c r="N889" s="21">
        <v>480</v>
      </c>
      <c r="O889" s="22" t="s">
        <v>292</v>
      </c>
      <c r="P889" s="18">
        <f t="shared" si="207"/>
        <v>0</v>
      </c>
      <c r="Q889" s="22" t="s">
        <v>292</v>
      </c>
      <c r="R889" s="23">
        <f t="shared" si="208"/>
        <v>0</v>
      </c>
      <c r="S889" s="23">
        <f t="shared" si="201"/>
        <v>0</v>
      </c>
    </row>
    <row r="890" spans="1:19" s="17" customFormat="1">
      <c r="A890" s="109" t="s">
        <v>687</v>
      </c>
      <c r="B890" s="17" t="s">
        <v>26</v>
      </c>
      <c r="C890" s="18"/>
      <c r="D890" s="19" t="s">
        <v>292</v>
      </c>
      <c r="E890" s="20"/>
      <c r="F890" s="21">
        <v>1</v>
      </c>
      <c r="G890" s="22" t="s">
        <v>21</v>
      </c>
      <c r="H890" s="21">
        <v>120</v>
      </c>
      <c r="I890" s="22" t="s">
        <v>292</v>
      </c>
      <c r="J890" s="23">
        <v>4800</v>
      </c>
      <c r="K890" s="19" t="s">
        <v>292</v>
      </c>
      <c r="L890" s="24"/>
      <c r="M890" s="24">
        <v>0.17</v>
      </c>
      <c r="N890" s="21"/>
      <c r="O890" s="22" t="s">
        <v>292</v>
      </c>
      <c r="P890" s="18">
        <f t="shared" si="207"/>
        <v>0</v>
      </c>
      <c r="Q890" s="22" t="s">
        <v>292</v>
      </c>
      <c r="R890" s="23">
        <f t="shared" si="208"/>
        <v>0</v>
      </c>
      <c r="S890" s="23">
        <f t="shared" si="201"/>
        <v>0</v>
      </c>
    </row>
    <row r="891" spans="1:19" s="17" customFormat="1">
      <c r="A891" s="109" t="s">
        <v>688</v>
      </c>
      <c r="B891" s="17" t="s">
        <v>26</v>
      </c>
      <c r="C891" s="18">
        <v>120</v>
      </c>
      <c r="D891" s="19" t="s">
        <v>292</v>
      </c>
      <c r="E891" s="20"/>
      <c r="F891" s="21">
        <v>1</v>
      </c>
      <c r="G891" s="22" t="s">
        <v>21</v>
      </c>
      <c r="H891" s="21">
        <v>120</v>
      </c>
      <c r="I891" s="22" t="s">
        <v>292</v>
      </c>
      <c r="J891" s="23">
        <v>9500</v>
      </c>
      <c r="K891" s="19" t="s">
        <v>292</v>
      </c>
      <c r="L891" s="24"/>
      <c r="M891" s="24">
        <v>0.17</v>
      </c>
      <c r="N891" s="21">
        <v>120</v>
      </c>
      <c r="O891" s="22" t="s">
        <v>292</v>
      </c>
      <c r="P891" s="18">
        <f t="shared" si="207"/>
        <v>0</v>
      </c>
      <c r="Q891" s="22" t="s">
        <v>292</v>
      </c>
      <c r="R891" s="23">
        <f t="shared" si="208"/>
        <v>0</v>
      </c>
      <c r="S891" s="23">
        <f t="shared" si="201"/>
        <v>0</v>
      </c>
    </row>
    <row r="892" spans="1:19" s="17" customFormat="1">
      <c r="A892" s="71"/>
      <c r="C892" s="18"/>
      <c r="D892" s="19"/>
      <c r="E892" s="20"/>
      <c r="F892" s="21"/>
      <c r="G892" s="22"/>
      <c r="H892" s="21"/>
      <c r="I892" s="22"/>
      <c r="J892" s="23"/>
      <c r="K892" s="19"/>
      <c r="L892" s="24"/>
      <c r="M892" s="24"/>
      <c r="N892" s="21"/>
      <c r="O892" s="22"/>
      <c r="P892" s="18"/>
      <c r="Q892" s="22"/>
      <c r="R892" s="23"/>
      <c r="S892" s="23"/>
    </row>
    <row r="893" spans="1:19">
      <c r="A893" s="15" t="s">
        <v>689</v>
      </c>
      <c r="S893" s="23"/>
    </row>
    <row r="894" spans="1:19" s="85" customFormat="1">
      <c r="A894" s="84" t="s">
        <v>690</v>
      </c>
      <c r="B894" s="85" t="s">
        <v>26</v>
      </c>
      <c r="C894" s="86">
        <v>144</v>
      </c>
      <c r="D894" s="87" t="s">
        <v>292</v>
      </c>
      <c r="E894" s="92"/>
      <c r="F894" s="88">
        <v>1</v>
      </c>
      <c r="G894" s="89" t="s">
        <v>21</v>
      </c>
      <c r="H894" s="88">
        <v>72</v>
      </c>
      <c r="I894" s="89" t="s">
        <v>292</v>
      </c>
      <c r="J894" s="90">
        <f>900000/72</f>
        <v>12500</v>
      </c>
      <c r="K894" s="87" t="s">
        <v>292</v>
      </c>
      <c r="L894" s="91"/>
      <c r="M894" s="91">
        <v>0.17</v>
      </c>
      <c r="N894" s="88"/>
      <c r="O894" s="89" t="s">
        <v>292</v>
      </c>
      <c r="P894" s="86">
        <f>(C894+(E894*F894*H894))-N894</f>
        <v>144</v>
      </c>
      <c r="Q894" s="89" t="s">
        <v>292</v>
      </c>
      <c r="R894" s="90">
        <f>P894*(J894-(J894*L894)-((J894-(J894*L894))*M894))</f>
        <v>1494000</v>
      </c>
      <c r="S894" s="51">
        <f t="shared" si="201"/>
        <v>1345945.9459459458</v>
      </c>
    </row>
    <row r="895" spans="1:19" s="17" customFormat="1">
      <c r="A895" s="16" t="s">
        <v>691</v>
      </c>
      <c r="B895" s="17" t="s">
        <v>26</v>
      </c>
      <c r="C895" s="18"/>
      <c r="D895" s="19" t="s">
        <v>292</v>
      </c>
      <c r="E895" s="20"/>
      <c r="F895" s="21">
        <v>1</v>
      </c>
      <c r="G895" s="22" t="s">
        <v>21</v>
      </c>
      <c r="H895" s="21">
        <v>72</v>
      </c>
      <c r="I895" s="22" t="s">
        <v>292</v>
      </c>
      <c r="J895" s="23">
        <f>900000/72</f>
        <v>12500</v>
      </c>
      <c r="K895" s="19" t="s">
        <v>292</v>
      </c>
      <c r="L895" s="24">
        <v>0.05</v>
      </c>
      <c r="M895" s="24">
        <v>0.17</v>
      </c>
      <c r="N895" s="21"/>
      <c r="O895" s="22" t="s">
        <v>292</v>
      </c>
      <c r="P895" s="18">
        <f>(C895+(E895*F895*H895))-N895</f>
        <v>0</v>
      </c>
      <c r="Q895" s="22" t="s">
        <v>292</v>
      </c>
      <c r="R895" s="23">
        <f>P895*(J895-(J895*L895)-((J895-(J895*L895))*M895))</f>
        <v>0</v>
      </c>
      <c r="S895" s="23">
        <f t="shared" si="201"/>
        <v>0</v>
      </c>
    </row>
    <row r="896" spans="1:19" s="26" customFormat="1">
      <c r="A896" s="25" t="s">
        <v>692</v>
      </c>
      <c r="B896" s="26" t="s">
        <v>26</v>
      </c>
      <c r="C896" s="27">
        <v>210</v>
      </c>
      <c r="D896" s="28" t="s">
        <v>292</v>
      </c>
      <c r="E896" s="29"/>
      <c r="F896" s="30">
        <v>1</v>
      </c>
      <c r="G896" s="31" t="s">
        <v>21</v>
      </c>
      <c r="H896" s="30">
        <v>72</v>
      </c>
      <c r="I896" s="31" t="s">
        <v>292</v>
      </c>
      <c r="J896" s="32">
        <f>705600/72</f>
        <v>9800</v>
      </c>
      <c r="K896" s="28" t="s">
        <v>292</v>
      </c>
      <c r="L896" s="33"/>
      <c r="M896" s="33">
        <v>0.17</v>
      </c>
      <c r="N896" s="30"/>
      <c r="O896" s="31" t="s">
        <v>292</v>
      </c>
      <c r="P896" s="27">
        <f>(C896+(E896*F896*H896))-N896</f>
        <v>210</v>
      </c>
      <c r="Q896" s="31" t="s">
        <v>292</v>
      </c>
      <c r="R896" s="32">
        <f>P896*(J896-(J896*L896)-((J896-(J896*L896))*M896))</f>
        <v>1708140</v>
      </c>
      <c r="S896" s="32">
        <f t="shared" si="201"/>
        <v>1538864.8648648646</v>
      </c>
    </row>
    <row r="897" spans="1:19" s="26" customFormat="1">
      <c r="A897" s="25" t="s">
        <v>693</v>
      </c>
      <c r="B897" s="26" t="s">
        <v>26</v>
      </c>
      <c r="C897" s="27">
        <v>36</v>
      </c>
      <c r="D897" s="28" t="s">
        <v>292</v>
      </c>
      <c r="E897" s="29"/>
      <c r="F897" s="30">
        <v>1</v>
      </c>
      <c r="G897" s="31" t="s">
        <v>21</v>
      </c>
      <c r="H897" s="30">
        <v>72</v>
      </c>
      <c r="I897" s="31" t="s">
        <v>292</v>
      </c>
      <c r="J897" s="32">
        <f>705600/72</f>
        <v>9800</v>
      </c>
      <c r="K897" s="28" t="s">
        <v>292</v>
      </c>
      <c r="L897" s="33"/>
      <c r="M897" s="33">
        <v>0.17</v>
      </c>
      <c r="N897" s="30"/>
      <c r="O897" s="31" t="s">
        <v>292</v>
      </c>
      <c r="P897" s="27">
        <f>(C897+(E897*F897*H897))-N897</f>
        <v>36</v>
      </c>
      <c r="Q897" s="31" t="s">
        <v>292</v>
      </c>
      <c r="R897" s="32">
        <f>P897*(J897-(J897*L897)-((J897-(J897*L897))*M897))</f>
        <v>292824</v>
      </c>
      <c r="S897" s="32">
        <f t="shared" si="201"/>
        <v>263805.40540540538</v>
      </c>
    </row>
    <row r="898" spans="1:19" s="26" customFormat="1">
      <c r="A898" s="25"/>
      <c r="C898" s="27"/>
      <c r="D898" s="28"/>
      <c r="E898" s="29"/>
      <c r="F898" s="30"/>
      <c r="G898" s="31"/>
      <c r="H898" s="30"/>
      <c r="I898" s="31"/>
      <c r="J898" s="32"/>
      <c r="K898" s="28"/>
      <c r="L898" s="33"/>
      <c r="M898" s="33"/>
      <c r="N898" s="30"/>
      <c r="O898" s="31"/>
      <c r="P898" s="27"/>
      <c r="Q898" s="31"/>
      <c r="R898" s="32"/>
      <c r="S898" s="32"/>
    </row>
    <row r="899" spans="1:19">
      <c r="A899" s="15" t="s">
        <v>694</v>
      </c>
      <c r="S899" s="23">
        <f t="shared" si="201"/>
        <v>0</v>
      </c>
    </row>
    <row r="900" spans="1:19">
      <c r="A900" s="34" t="s">
        <v>695</v>
      </c>
      <c r="B900" s="2" t="s">
        <v>26</v>
      </c>
      <c r="C900" s="3">
        <v>108</v>
      </c>
      <c r="D900" s="4" t="s">
        <v>292</v>
      </c>
      <c r="F900" s="6">
        <v>1</v>
      </c>
      <c r="G900" s="7" t="s">
        <v>21</v>
      </c>
      <c r="H900" s="6">
        <v>120</v>
      </c>
      <c r="I900" s="7" t="s">
        <v>292</v>
      </c>
      <c r="J900" s="8">
        <f>762000/120</f>
        <v>6350</v>
      </c>
      <c r="K900" s="4" t="s">
        <v>292</v>
      </c>
      <c r="M900" s="9">
        <v>0.17</v>
      </c>
      <c r="O900" s="7" t="s">
        <v>292</v>
      </c>
      <c r="P900" s="3">
        <f>(C900+(E900*F900*H900))-N900</f>
        <v>108</v>
      </c>
      <c r="Q900" s="7" t="s">
        <v>292</v>
      </c>
      <c r="R900" s="8">
        <f>P900*(J900-(J900*L900)-((J900-(J900*L900))*M900))</f>
        <v>569214</v>
      </c>
      <c r="S900" s="32">
        <f t="shared" si="201"/>
        <v>512805.40540540538</v>
      </c>
    </row>
    <row r="901" spans="1:19" s="26" customFormat="1">
      <c r="A901" s="25" t="s">
        <v>790</v>
      </c>
      <c r="B901" s="26" t="s">
        <v>26</v>
      </c>
      <c r="C901" s="27">
        <v>160</v>
      </c>
      <c r="D901" s="28" t="s">
        <v>292</v>
      </c>
      <c r="E901" s="29"/>
      <c r="F901" s="30">
        <v>1</v>
      </c>
      <c r="G901" s="31" t="s">
        <v>21</v>
      </c>
      <c r="H901" s="30">
        <v>80</v>
      </c>
      <c r="I901" s="31" t="s">
        <v>292</v>
      </c>
      <c r="J901" s="32">
        <f>732000/80</f>
        <v>9150</v>
      </c>
      <c r="K901" s="28" t="s">
        <v>292</v>
      </c>
      <c r="L901" s="33"/>
      <c r="M901" s="33">
        <v>0.17</v>
      </c>
      <c r="N901" s="30"/>
      <c r="O901" s="31" t="s">
        <v>292</v>
      </c>
      <c r="P901" s="27">
        <f>(C901+(E901*F901*H901))-N901</f>
        <v>160</v>
      </c>
      <c r="Q901" s="31" t="s">
        <v>292</v>
      </c>
      <c r="R901" s="32">
        <f>P901*(J901-(J901*L901)-((J901-(J901*L901))*M901))</f>
        <v>1215120</v>
      </c>
      <c r="S901" s="32">
        <f t="shared" si="201"/>
        <v>1094702.7027027027</v>
      </c>
    </row>
    <row r="902" spans="1:19" s="26" customFormat="1">
      <c r="A902" s="25" t="s">
        <v>697</v>
      </c>
      <c r="B902" s="26" t="s">
        <v>26</v>
      </c>
      <c r="C902" s="27">
        <v>234</v>
      </c>
      <c r="D902" s="28" t="s">
        <v>292</v>
      </c>
      <c r="E902" s="29">
        <v>2</v>
      </c>
      <c r="F902" s="30">
        <v>1</v>
      </c>
      <c r="G902" s="31" t="s">
        <v>21</v>
      </c>
      <c r="H902" s="30">
        <v>60</v>
      </c>
      <c r="I902" s="31" t="s">
        <v>292</v>
      </c>
      <c r="J902" s="32">
        <f>732000/60</f>
        <v>12200</v>
      </c>
      <c r="K902" s="28" t="s">
        <v>292</v>
      </c>
      <c r="L902" s="33"/>
      <c r="M902" s="33">
        <v>0.17</v>
      </c>
      <c r="N902" s="30">
        <v>120</v>
      </c>
      <c r="O902" s="31" t="s">
        <v>292</v>
      </c>
      <c r="P902" s="27">
        <f>(C902+(E902*F902*H902))-N902</f>
        <v>234</v>
      </c>
      <c r="Q902" s="31" t="s">
        <v>292</v>
      </c>
      <c r="R902" s="32">
        <f>P902*(J902-(J902*L902)-((J902-(J902*L902))*M902))</f>
        <v>2369484</v>
      </c>
      <c r="S902" s="32">
        <f t="shared" si="201"/>
        <v>2134670.2702702703</v>
      </c>
    </row>
    <row r="903" spans="1:19" s="17" customFormat="1">
      <c r="A903" s="16" t="s">
        <v>725</v>
      </c>
      <c r="B903" s="17" t="s">
        <v>26</v>
      </c>
      <c r="C903" s="18"/>
      <c r="D903" s="19" t="s">
        <v>292</v>
      </c>
      <c r="E903" s="20"/>
      <c r="F903" s="21">
        <v>1</v>
      </c>
      <c r="G903" s="22" t="s">
        <v>21</v>
      </c>
      <c r="H903" s="21">
        <v>80</v>
      </c>
      <c r="I903" s="22" t="s">
        <v>292</v>
      </c>
      <c r="J903" s="23">
        <f>848000/80</f>
        <v>10600</v>
      </c>
      <c r="K903" s="19" t="s">
        <v>292</v>
      </c>
      <c r="L903" s="24"/>
      <c r="M903" s="24">
        <v>0.17</v>
      </c>
      <c r="N903" s="21"/>
      <c r="O903" s="22" t="s">
        <v>292</v>
      </c>
      <c r="P903" s="18">
        <f>(C903+(E903*F903*H903))-N903</f>
        <v>0</v>
      </c>
      <c r="Q903" s="22" t="s">
        <v>292</v>
      </c>
      <c r="R903" s="23">
        <f>P903*(J903-(J903*L903)-((J903-(J903*L903))*M903))</f>
        <v>0</v>
      </c>
      <c r="S903" s="23">
        <f t="shared" si="201"/>
        <v>0</v>
      </c>
    </row>
    <row r="904" spans="1:19" s="17" customFormat="1">
      <c r="A904" s="16" t="s">
        <v>698</v>
      </c>
      <c r="B904" s="17" t="s">
        <v>26</v>
      </c>
      <c r="C904" s="18"/>
      <c r="D904" s="19" t="s">
        <v>292</v>
      </c>
      <c r="E904" s="20"/>
      <c r="F904" s="21">
        <v>1</v>
      </c>
      <c r="G904" s="22" t="s">
        <v>21</v>
      </c>
      <c r="H904" s="21">
        <v>60</v>
      </c>
      <c r="I904" s="22" t="s">
        <v>292</v>
      </c>
      <c r="J904" s="23">
        <f>852000/60</f>
        <v>14200</v>
      </c>
      <c r="K904" s="19" t="s">
        <v>292</v>
      </c>
      <c r="L904" s="24"/>
      <c r="M904" s="24">
        <v>0.17</v>
      </c>
      <c r="N904" s="21"/>
      <c r="O904" s="22" t="s">
        <v>292</v>
      </c>
      <c r="P904" s="18">
        <f>(C904+(E904*F904*H904))-N904</f>
        <v>0</v>
      </c>
      <c r="Q904" s="22" t="s">
        <v>292</v>
      </c>
      <c r="R904" s="23">
        <f>P904*(J904-(J904*L904)-((J904-(J904*L904))*M904))</f>
        <v>0</v>
      </c>
      <c r="S904" s="23">
        <f t="shared" si="201"/>
        <v>0</v>
      </c>
    </row>
    <row r="905" spans="1:19">
      <c r="S905" s="23"/>
    </row>
    <row r="906" spans="1:19" ht="15.75">
      <c r="A906" s="14" t="s">
        <v>699</v>
      </c>
      <c r="S906" s="23"/>
    </row>
    <row r="907" spans="1:19" s="17" customFormat="1">
      <c r="A907" s="16" t="s">
        <v>701</v>
      </c>
      <c r="B907" s="17" t="s">
        <v>19</v>
      </c>
      <c r="C907" s="18"/>
      <c r="D907" s="19" t="s">
        <v>20</v>
      </c>
      <c r="E907" s="20"/>
      <c r="F907" s="21">
        <v>1</v>
      </c>
      <c r="G907" s="22" t="s">
        <v>21</v>
      </c>
      <c r="H907" s="21">
        <v>24</v>
      </c>
      <c r="I907" s="22" t="s">
        <v>20</v>
      </c>
      <c r="J907" s="23">
        <v>21500</v>
      </c>
      <c r="K907" s="19" t="s">
        <v>20</v>
      </c>
      <c r="L907" s="24">
        <v>0.125</v>
      </c>
      <c r="M907" s="24">
        <v>0.05</v>
      </c>
      <c r="N907" s="21"/>
      <c r="O907" s="22" t="s">
        <v>20</v>
      </c>
      <c r="P907" s="18">
        <f t="shared" ref="P907:P929" si="210">(C907+(E907*F907*H907))-N907</f>
        <v>0</v>
      </c>
      <c r="Q907" s="22" t="s">
        <v>20</v>
      </c>
      <c r="R907" s="23">
        <f t="shared" ref="R907:R933" si="211">P907*(J907-(J907*L907)-((J907-(J907*L907))*M907))</f>
        <v>0</v>
      </c>
      <c r="S907" s="23">
        <f t="shared" si="201"/>
        <v>0</v>
      </c>
    </row>
    <row r="908" spans="1:19" s="17" customFormat="1">
      <c r="A908" s="16" t="s">
        <v>702</v>
      </c>
      <c r="B908" s="17" t="s">
        <v>19</v>
      </c>
      <c r="C908" s="18"/>
      <c r="D908" s="19" t="s">
        <v>20</v>
      </c>
      <c r="E908" s="20"/>
      <c r="F908" s="21">
        <v>1</v>
      </c>
      <c r="G908" s="22" t="s">
        <v>21</v>
      </c>
      <c r="H908" s="21">
        <v>24</v>
      </c>
      <c r="I908" s="22" t="s">
        <v>20</v>
      </c>
      <c r="J908" s="23">
        <v>23100</v>
      </c>
      <c r="K908" s="19" t="s">
        <v>20</v>
      </c>
      <c r="L908" s="24">
        <v>0.125</v>
      </c>
      <c r="M908" s="24">
        <v>0.05</v>
      </c>
      <c r="N908" s="21"/>
      <c r="O908" s="22" t="s">
        <v>20</v>
      </c>
      <c r="P908" s="18">
        <f t="shared" si="210"/>
        <v>0</v>
      </c>
      <c r="Q908" s="22" t="s">
        <v>20</v>
      </c>
      <c r="R908" s="23">
        <f t="shared" si="211"/>
        <v>0</v>
      </c>
      <c r="S908" s="23">
        <f t="shared" si="201"/>
        <v>0</v>
      </c>
    </row>
    <row r="909" spans="1:19" s="63" customFormat="1">
      <c r="A909" s="72" t="s">
        <v>703</v>
      </c>
      <c r="B909" s="63" t="s">
        <v>19</v>
      </c>
      <c r="C909" s="64"/>
      <c r="D909" s="65" t="s">
        <v>20</v>
      </c>
      <c r="E909" s="66">
        <f>1+2</f>
        <v>3</v>
      </c>
      <c r="F909" s="67">
        <v>1</v>
      </c>
      <c r="G909" s="68" t="s">
        <v>21</v>
      </c>
      <c r="H909" s="67">
        <v>24</v>
      </c>
      <c r="I909" s="68" t="s">
        <v>20</v>
      </c>
      <c r="J909" s="69">
        <v>10600</v>
      </c>
      <c r="K909" s="65" t="s">
        <v>20</v>
      </c>
      <c r="L909" s="70">
        <v>0.125</v>
      </c>
      <c r="M909" s="70">
        <v>0.05</v>
      </c>
      <c r="N909" s="67">
        <f>24+48</f>
        <v>72</v>
      </c>
      <c r="O909" s="68" t="s">
        <v>20</v>
      </c>
      <c r="P909" s="64">
        <f t="shared" si="210"/>
        <v>0</v>
      </c>
      <c r="Q909" s="68" t="s">
        <v>20</v>
      </c>
      <c r="R909" s="69">
        <f t="shared" si="211"/>
        <v>0</v>
      </c>
      <c r="S909" s="69">
        <f t="shared" si="201"/>
        <v>0</v>
      </c>
    </row>
    <row r="910" spans="1:19" s="45" customFormat="1">
      <c r="A910" s="44" t="s">
        <v>704</v>
      </c>
      <c r="B910" s="45" t="s">
        <v>19</v>
      </c>
      <c r="C910" s="46"/>
      <c r="D910" s="47" t="s">
        <v>20</v>
      </c>
      <c r="E910" s="48">
        <f>3+10+4+10+10+10+30</f>
        <v>77</v>
      </c>
      <c r="F910" s="49">
        <v>1</v>
      </c>
      <c r="G910" s="50" t="s">
        <v>21</v>
      </c>
      <c r="H910" s="49">
        <v>24</v>
      </c>
      <c r="I910" s="50" t="s">
        <v>20</v>
      </c>
      <c r="J910" s="51">
        <v>18800</v>
      </c>
      <c r="K910" s="47" t="s">
        <v>20</v>
      </c>
      <c r="L910" s="52">
        <v>0.125</v>
      </c>
      <c r="M910" s="52">
        <v>0.05</v>
      </c>
      <c r="N910" s="49">
        <f>240+48+24+96+24+24+48+48+72+168+48+96+34+24+24</f>
        <v>1018</v>
      </c>
      <c r="O910" s="50" t="s">
        <v>20</v>
      </c>
      <c r="P910" s="46">
        <f t="shared" si="210"/>
        <v>830</v>
      </c>
      <c r="Q910" s="50" t="s">
        <v>20</v>
      </c>
      <c r="R910" s="51">
        <f t="shared" si="211"/>
        <v>12970825</v>
      </c>
      <c r="S910" s="51">
        <f t="shared" si="201"/>
        <v>11685427.927927926</v>
      </c>
    </row>
    <row r="911" spans="1:19" s="63" customFormat="1">
      <c r="A911" s="72" t="s">
        <v>835</v>
      </c>
      <c r="B911" s="63" t="s">
        <v>19</v>
      </c>
      <c r="C911" s="64"/>
      <c r="D911" s="65" t="s">
        <v>20</v>
      </c>
      <c r="E911" s="66">
        <v>1</v>
      </c>
      <c r="F911" s="67">
        <v>1</v>
      </c>
      <c r="G911" s="68" t="s">
        <v>21</v>
      </c>
      <c r="H911" s="67">
        <v>12</v>
      </c>
      <c r="I911" s="68" t="s">
        <v>20</v>
      </c>
      <c r="J911" s="69">
        <v>31000</v>
      </c>
      <c r="K911" s="65" t="s">
        <v>20</v>
      </c>
      <c r="L911" s="70">
        <v>0.125</v>
      </c>
      <c r="M911" s="70">
        <v>0.05</v>
      </c>
      <c r="N911" s="67">
        <v>12</v>
      </c>
      <c r="O911" s="68" t="s">
        <v>20</v>
      </c>
      <c r="P911" s="64">
        <f t="shared" ref="P911:P912" si="212">(C911+(E911*F911*H911))-N911</f>
        <v>0</v>
      </c>
      <c r="Q911" s="68" t="s">
        <v>20</v>
      </c>
      <c r="R911" s="69">
        <f t="shared" ref="R911:R912" si="213">P911*(J911-(J911*L911)-((J911-(J911*L911))*M911))</f>
        <v>0</v>
      </c>
      <c r="S911" s="69">
        <f t="shared" ref="S911:S912" si="214">R911/1.11</f>
        <v>0</v>
      </c>
    </row>
    <row r="912" spans="1:19" s="63" customFormat="1">
      <c r="A912" s="72" t="s">
        <v>834</v>
      </c>
      <c r="B912" s="63" t="s">
        <v>19</v>
      </c>
      <c r="C912" s="64"/>
      <c r="D912" s="65" t="s">
        <v>20</v>
      </c>
      <c r="E912" s="66">
        <v>1</v>
      </c>
      <c r="F912" s="67">
        <v>1</v>
      </c>
      <c r="G912" s="68" t="s">
        <v>21</v>
      </c>
      <c r="H912" s="67">
        <v>24</v>
      </c>
      <c r="I912" s="68" t="s">
        <v>20</v>
      </c>
      <c r="J912" s="69">
        <v>12300</v>
      </c>
      <c r="K912" s="65" t="s">
        <v>20</v>
      </c>
      <c r="L912" s="70">
        <v>0.125</v>
      </c>
      <c r="M912" s="70">
        <v>0.05</v>
      </c>
      <c r="N912" s="67">
        <v>24</v>
      </c>
      <c r="O912" s="68" t="s">
        <v>20</v>
      </c>
      <c r="P912" s="64">
        <f t="shared" si="212"/>
        <v>0</v>
      </c>
      <c r="Q912" s="68" t="s">
        <v>20</v>
      </c>
      <c r="R912" s="69">
        <f t="shared" si="213"/>
        <v>0</v>
      </c>
      <c r="S912" s="23">
        <f t="shared" si="214"/>
        <v>0</v>
      </c>
    </row>
    <row r="913" spans="1:19" s="63" customFormat="1">
      <c r="A913" s="72" t="s">
        <v>705</v>
      </c>
      <c r="B913" s="63" t="s">
        <v>19</v>
      </c>
      <c r="C913" s="64"/>
      <c r="D913" s="65" t="s">
        <v>20</v>
      </c>
      <c r="E913" s="66"/>
      <c r="F913" s="67">
        <v>1</v>
      </c>
      <c r="G913" s="68" t="s">
        <v>21</v>
      </c>
      <c r="H913" s="67">
        <v>24</v>
      </c>
      <c r="I913" s="68" t="s">
        <v>20</v>
      </c>
      <c r="J913" s="69">
        <v>15000</v>
      </c>
      <c r="K913" s="65" t="s">
        <v>20</v>
      </c>
      <c r="L913" s="70">
        <v>0.125</v>
      </c>
      <c r="M913" s="70">
        <v>0.05</v>
      </c>
      <c r="N913" s="67"/>
      <c r="O913" s="68" t="s">
        <v>20</v>
      </c>
      <c r="P913" s="64">
        <f t="shared" si="210"/>
        <v>0</v>
      </c>
      <c r="Q913" s="68" t="s">
        <v>20</v>
      </c>
      <c r="R913" s="69">
        <f t="shared" si="211"/>
        <v>0</v>
      </c>
      <c r="S913" s="23">
        <f t="shared" si="201"/>
        <v>0</v>
      </c>
    </row>
    <row r="914" spans="1:19" s="17" customFormat="1">
      <c r="A914" s="16" t="s">
        <v>700</v>
      </c>
      <c r="B914" s="17" t="s">
        <v>19</v>
      </c>
      <c r="C914" s="18"/>
      <c r="D914" s="19" t="s">
        <v>20</v>
      </c>
      <c r="E914" s="20"/>
      <c r="F914" s="21">
        <v>1</v>
      </c>
      <c r="G914" s="22" t="s">
        <v>21</v>
      </c>
      <c r="H914" s="21">
        <v>24</v>
      </c>
      <c r="I914" s="22" t="s">
        <v>20</v>
      </c>
      <c r="J914" s="23">
        <v>17200</v>
      </c>
      <c r="K914" s="19" t="s">
        <v>20</v>
      </c>
      <c r="L914" s="24">
        <v>0.125</v>
      </c>
      <c r="M914" s="24">
        <v>0.05</v>
      </c>
      <c r="N914" s="21"/>
      <c r="O914" s="22" t="s">
        <v>20</v>
      </c>
      <c r="P914" s="18">
        <f>(C914+(E914*F914*H914))-N914</f>
        <v>0</v>
      </c>
      <c r="Q914" s="22" t="s">
        <v>20</v>
      </c>
      <c r="R914" s="23">
        <f>P914*(J914-(J914*L914)-((J914-(J914*L914))*M914))</f>
        <v>0</v>
      </c>
      <c r="S914" s="23">
        <f>R914/1.11</f>
        <v>0</v>
      </c>
    </row>
    <row r="915" spans="1:19" s="63" customFormat="1">
      <c r="A915" s="72" t="s">
        <v>719</v>
      </c>
      <c r="B915" s="63" t="s">
        <v>19</v>
      </c>
      <c r="C915" s="64"/>
      <c r="D915" s="65" t="s">
        <v>20</v>
      </c>
      <c r="E915" s="66"/>
      <c r="F915" s="67">
        <v>12</v>
      </c>
      <c r="G915" s="68" t="s">
        <v>34</v>
      </c>
      <c r="H915" s="67">
        <v>20</v>
      </c>
      <c r="I915" s="68" t="s">
        <v>20</v>
      </c>
      <c r="J915" s="69">
        <v>5050</v>
      </c>
      <c r="K915" s="65" t="s">
        <v>20</v>
      </c>
      <c r="L915" s="70">
        <v>0.125</v>
      </c>
      <c r="M915" s="70">
        <v>0.05</v>
      </c>
      <c r="N915" s="67"/>
      <c r="O915" s="68" t="s">
        <v>20</v>
      </c>
      <c r="P915" s="64">
        <f>(C915+(E915*F915*H915))-N915</f>
        <v>0</v>
      </c>
      <c r="Q915" s="68" t="s">
        <v>20</v>
      </c>
      <c r="R915" s="69">
        <f>P915*(J915-(J915*L915)-((J915-(J915*L915))*M915))</f>
        <v>0</v>
      </c>
      <c r="S915" s="69">
        <f t="shared" ref="S915" si="215">R915/1.11</f>
        <v>0</v>
      </c>
    </row>
    <row r="916" spans="1:19" s="45" customFormat="1">
      <c r="A916" s="35" t="s">
        <v>706</v>
      </c>
      <c r="B916" s="36" t="s">
        <v>19</v>
      </c>
      <c r="C916" s="37">
        <v>73</v>
      </c>
      <c r="D916" s="38" t="s">
        <v>20</v>
      </c>
      <c r="E916" s="39"/>
      <c r="F916" s="40">
        <v>1</v>
      </c>
      <c r="G916" s="41" t="s">
        <v>21</v>
      </c>
      <c r="H916" s="40">
        <v>96</v>
      </c>
      <c r="I916" s="41" t="s">
        <v>20</v>
      </c>
      <c r="J916" s="42">
        <v>14000</v>
      </c>
      <c r="K916" s="38" t="s">
        <v>20</v>
      </c>
      <c r="L916" s="43">
        <v>0.125</v>
      </c>
      <c r="M916" s="43">
        <v>0.05</v>
      </c>
      <c r="N916" s="40"/>
      <c r="O916" s="41" t="s">
        <v>20</v>
      </c>
      <c r="P916" s="37">
        <f t="shared" si="210"/>
        <v>73</v>
      </c>
      <c r="Q916" s="41" t="s">
        <v>20</v>
      </c>
      <c r="R916" s="42">
        <f t="shared" si="211"/>
        <v>849537.5</v>
      </c>
      <c r="S916" s="42">
        <f t="shared" si="201"/>
        <v>765349.09909909905</v>
      </c>
    </row>
    <row r="917" spans="1:19" s="45" customFormat="1">
      <c r="A917" s="35" t="s">
        <v>706</v>
      </c>
      <c r="B917" s="36" t="s">
        <v>19</v>
      </c>
      <c r="C917" s="37"/>
      <c r="D917" s="38" t="s">
        <v>20</v>
      </c>
      <c r="E917" s="39">
        <v>2</v>
      </c>
      <c r="F917" s="40">
        <v>1</v>
      </c>
      <c r="G917" s="41" t="s">
        <v>21</v>
      </c>
      <c r="H917" s="40">
        <v>96</v>
      </c>
      <c r="I917" s="41" t="s">
        <v>20</v>
      </c>
      <c r="J917" s="42">
        <v>14200</v>
      </c>
      <c r="K917" s="38" t="s">
        <v>20</v>
      </c>
      <c r="L917" s="43">
        <v>0.125</v>
      </c>
      <c r="M917" s="43">
        <v>0.05</v>
      </c>
      <c r="N917" s="40"/>
      <c r="O917" s="41" t="s">
        <v>20</v>
      </c>
      <c r="P917" s="37">
        <f t="shared" ref="P917" si="216">(C917+(E917*F917*H917))-N917</f>
        <v>192</v>
      </c>
      <c r="Q917" s="41" t="s">
        <v>20</v>
      </c>
      <c r="R917" s="42">
        <f t="shared" ref="R917" si="217">P917*(J917-(J917*L917)-((J917-(J917*L917))*M917))</f>
        <v>2266320</v>
      </c>
      <c r="S917" s="42">
        <f t="shared" ref="S917" si="218">R917/1.11</f>
        <v>2041729.7297297295</v>
      </c>
    </row>
    <row r="918" spans="1:19" s="17" customFormat="1">
      <c r="A918" s="16" t="s">
        <v>707</v>
      </c>
      <c r="B918" s="17" t="s">
        <v>19</v>
      </c>
      <c r="C918" s="18"/>
      <c r="D918" s="19" t="s">
        <v>20</v>
      </c>
      <c r="E918" s="20"/>
      <c r="F918" s="21">
        <v>1</v>
      </c>
      <c r="G918" s="22" t="s">
        <v>21</v>
      </c>
      <c r="H918" s="21">
        <v>24</v>
      </c>
      <c r="I918" s="22" t="s">
        <v>20</v>
      </c>
      <c r="J918" s="23">
        <v>41000</v>
      </c>
      <c r="K918" s="19" t="s">
        <v>20</v>
      </c>
      <c r="L918" s="24">
        <v>0.125</v>
      </c>
      <c r="M918" s="24">
        <v>0.05</v>
      </c>
      <c r="N918" s="21"/>
      <c r="O918" s="22" t="s">
        <v>20</v>
      </c>
      <c r="P918" s="18">
        <f t="shared" si="210"/>
        <v>0</v>
      </c>
      <c r="Q918" s="22" t="s">
        <v>20</v>
      </c>
      <c r="R918" s="23">
        <f t="shared" si="211"/>
        <v>0</v>
      </c>
      <c r="S918" s="23">
        <f t="shared" si="201"/>
        <v>0</v>
      </c>
    </row>
    <row r="919" spans="1:19" s="26" customFormat="1">
      <c r="A919" s="25" t="s">
        <v>708</v>
      </c>
      <c r="B919" s="26" t="s">
        <v>19</v>
      </c>
      <c r="C919" s="27">
        <v>346</v>
      </c>
      <c r="D919" s="28" t="s">
        <v>20</v>
      </c>
      <c r="E919" s="29"/>
      <c r="F919" s="30">
        <v>1</v>
      </c>
      <c r="G919" s="31" t="s">
        <v>21</v>
      </c>
      <c r="H919" s="30">
        <v>100</v>
      </c>
      <c r="I919" s="31" t="s">
        <v>20</v>
      </c>
      <c r="J919" s="32">
        <v>15500</v>
      </c>
      <c r="K919" s="28" t="s">
        <v>20</v>
      </c>
      <c r="L919" s="33">
        <v>0.125</v>
      </c>
      <c r="M919" s="33">
        <v>0.05</v>
      </c>
      <c r="N919" s="30">
        <v>100</v>
      </c>
      <c r="O919" s="31" t="s">
        <v>20</v>
      </c>
      <c r="P919" s="27">
        <f t="shared" si="210"/>
        <v>246</v>
      </c>
      <c r="Q919" s="31" t="s">
        <v>20</v>
      </c>
      <c r="R919" s="32">
        <f t="shared" si="211"/>
        <v>3169556.25</v>
      </c>
      <c r="S919" s="32">
        <f t="shared" si="201"/>
        <v>2855456.0810810807</v>
      </c>
    </row>
    <row r="920" spans="1:19" s="26" customFormat="1">
      <c r="A920" s="25"/>
      <c r="C920" s="27"/>
      <c r="D920" s="28"/>
      <c r="E920" s="29"/>
      <c r="F920" s="30"/>
      <c r="G920" s="31"/>
      <c r="H920" s="30"/>
      <c r="I920" s="31"/>
      <c r="J920" s="32"/>
      <c r="K920" s="28"/>
      <c r="L920" s="33"/>
      <c r="M920" s="33"/>
      <c r="N920" s="30"/>
      <c r="O920" s="31"/>
      <c r="P920" s="27"/>
      <c r="Q920" s="31"/>
      <c r="R920" s="32"/>
      <c r="S920" s="32"/>
    </row>
    <row r="921" spans="1:19" s="63" customFormat="1">
      <c r="A921" s="111" t="s">
        <v>753</v>
      </c>
      <c r="B921" s="63" t="s">
        <v>26</v>
      </c>
      <c r="C921" s="64"/>
      <c r="D921" s="65" t="s">
        <v>20</v>
      </c>
      <c r="E921" s="66"/>
      <c r="F921" s="67">
        <v>1</v>
      </c>
      <c r="G921" s="68" t="s">
        <v>21</v>
      </c>
      <c r="H921" s="67">
        <v>24</v>
      </c>
      <c r="I921" s="68" t="s">
        <v>20</v>
      </c>
      <c r="J921" s="69">
        <f>372000/24</f>
        <v>15500</v>
      </c>
      <c r="K921" s="65" t="s">
        <v>20</v>
      </c>
      <c r="L921" s="70"/>
      <c r="M921" s="70">
        <v>0.17</v>
      </c>
      <c r="N921" s="67"/>
      <c r="O921" s="68" t="s">
        <v>20</v>
      </c>
      <c r="P921" s="64">
        <f t="shared" si="210"/>
        <v>0</v>
      </c>
      <c r="Q921" s="68" t="s">
        <v>20</v>
      </c>
      <c r="R921" s="69">
        <f t="shared" si="211"/>
        <v>0</v>
      </c>
      <c r="S921" s="69">
        <f t="shared" si="201"/>
        <v>0</v>
      </c>
    </row>
    <row r="922" spans="1:19" s="17" customFormat="1">
      <c r="A922" s="111" t="s">
        <v>710</v>
      </c>
      <c r="B922" s="17" t="s">
        <v>26</v>
      </c>
      <c r="C922" s="18"/>
      <c r="D922" s="19" t="s">
        <v>20</v>
      </c>
      <c r="E922" s="20">
        <v>2</v>
      </c>
      <c r="F922" s="21">
        <v>1</v>
      </c>
      <c r="G922" s="22" t="s">
        <v>21</v>
      </c>
      <c r="H922" s="21">
        <v>24</v>
      </c>
      <c r="I922" s="22" t="s">
        <v>20</v>
      </c>
      <c r="J922" s="23">
        <f>444000/24</f>
        <v>18500</v>
      </c>
      <c r="K922" s="19" t="s">
        <v>20</v>
      </c>
      <c r="L922" s="24"/>
      <c r="M922" s="24">
        <v>0.17</v>
      </c>
      <c r="N922" s="21">
        <f>24+24</f>
        <v>48</v>
      </c>
      <c r="O922" s="22" t="s">
        <v>20</v>
      </c>
      <c r="P922" s="18">
        <f t="shared" si="210"/>
        <v>0</v>
      </c>
      <c r="Q922" s="22" t="s">
        <v>20</v>
      </c>
      <c r="R922" s="23">
        <f t="shared" si="211"/>
        <v>0</v>
      </c>
      <c r="S922" s="23">
        <f t="shared" si="201"/>
        <v>0</v>
      </c>
    </row>
    <row r="923" spans="1:19" s="63" customFormat="1">
      <c r="A923" s="111" t="s">
        <v>711</v>
      </c>
      <c r="B923" s="63" t="s">
        <v>26</v>
      </c>
      <c r="C923" s="64">
        <v>24</v>
      </c>
      <c r="D923" s="65" t="s">
        <v>20</v>
      </c>
      <c r="E923" s="66"/>
      <c r="F923" s="67">
        <v>1</v>
      </c>
      <c r="G923" s="68" t="s">
        <v>21</v>
      </c>
      <c r="H923" s="67">
        <v>24</v>
      </c>
      <c r="I923" s="68" t="s">
        <v>20</v>
      </c>
      <c r="J923" s="69">
        <f>462000/24</f>
        <v>19250</v>
      </c>
      <c r="K923" s="65" t="s">
        <v>20</v>
      </c>
      <c r="L923" s="70"/>
      <c r="M923" s="70">
        <v>0.17</v>
      </c>
      <c r="N923" s="67">
        <f>240-216</f>
        <v>24</v>
      </c>
      <c r="O923" s="68" t="s">
        <v>20</v>
      </c>
      <c r="P923" s="64">
        <f t="shared" si="210"/>
        <v>0</v>
      </c>
      <c r="Q923" s="68" t="s">
        <v>20</v>
      </c>
      <c r="R923" s="69">
        <f t="shared" si="211"/>
        <v>0</v>
      </c>
      <c r="S923" s="23">
        <f t="shared" si="201"/>
        <v>0</v>
      </c>
    </row>
    <row r="924" spans="1:19" s="45" customFormat="1">
      <c r="A924" s="107" t="s">
        <v>788</v>
      </c>
      <c r="B924" s="45" t="s">
        <v>26</v>
      </c>
      <c r="C924" s="46"/>
      <c r="D924" s="47" t="s">
        <v>20</v>
      </c>
      <c r="E924" s="48">
        <v>25</v>
      </c>
      <c r="F924" s="49">
        <v>1</v>
      </c>
      <c r="G924" s="50" t="s">
        <v>21</v>
      </c>
      <c r="H924" s="49">
        <v>24</v>
      </c>
      <c r="I924" s="50" t="s">
        <v>20</v>
      </c>
      <c r="J924" s="51">
        <f>462000/24</f>
        <v>19250</v>
      </c>
      <c r="K924" s="47" t="s">
        <v>20</v>
      </c>
      <c r="L924" s="52"/>
      <c r="M924" s="52">
        <v>0.17</v>
      </c>
      <c r="N924" s="49">
        <f>(240-24)+24+24+240+24+48</f>
        <v>576</v>
      </c>
      <c r="O924" s="50" t="s">
        <v>20</v>
      </c>
      <c r="P924" s="46">
        <f t="shared" si="210"/>
        <v>24</v>
      </c>
      <c r="Q924" s="50" t="s">
        <v>20</v>
      </c>
      <c r="R924" s="51">
        <f t="shared" si="211"/>
        <v>383460</v>
      </c>
      <c r="S924" s="32">
        <f t="shared" si="201"/>
        <v>345459.45945945941</v>
      </c>
    </row>
    <row r="925" spans="1:19" s="17" customFormat="1">
      <c r="A925" s="111" t="s">
        <v>712</v>
      </c>
      <c r="B925" s="17" t="s">
        <v>26</v>
      </c>
      <c r="C925" s="18"/>
      <c r="D925" s="19" t="s">
        <v>20</v>
      </c>
      <c r="E925" s="20"/>
      <c r="F925" s="21">
        <v>1</v>
      </c>
      <c r="G925" s="22" t="s">
        <v>21</v>
      </c>
      <c r="H925" s="21">
        <v>24</v>
      </c>
      <c r="I925" s="22" t="s">
        <v>20</v>
      </c>
      <c r="J925" s="23">
        <v>17250</v>
      </c>
      <c r="K925" s="19" t="s">
        <v>20</v>
      </c>
      <c r="L925" s="24"/>
      <c r="M925" s="24">
        <v>0.17</v>
      </c>
      <c r="N925" s="21"/>
      <c r="O925" s="22" t="s">
        <v>20</v>
      </c>
      <c r="P925" s="18">
        <f t="shared" si="210"/>
        <v>0</v>
      </c>
      <c r="Q925" s="22" t="s">
        <v>20</v>
      </c>
      <c r="R925" s="23">
        <f t="shared" si="211"/>
        <v>0</v>
      </c>
      <c r="S925" s="23">
        <f t="shared" si="201"/>
        <v>0</v>
      </c>
    </row>
    <row r="926" spans="1:19" s="17" customFormat="1">
      <c r="A926" s="111" t="s">
        <v>794</v>
      </c>
      <c r="B926" s="17" t="s">
        <v>26</v>
      </c>
      <c r="C926" s="18"/>
      <c r="D926" s="19" t="s">
        <v>20</v>
      </c>
      <c r="E926" s="20"/>
      <c r="F926" s="21">
        <v>1</v>
      </c>
      <c r="G926" s="22" t="s">
        <v>21</v>
      </c>
      <c r="H926" s="21">
        <v>24</v>
      </c>
      <c r="I926" s="22" t="s">
        <v>20</v>
      </c>
      <c r="J926" s="23">
        <f>420000/24</f>
        <v>17500</v>
      </c>
      <c r="K926" s="19" t="s">
        <v>20</v>
      </c>
      <c r="L926" s="24"/>
      <c r="M926" s="24">
        <v>0.17</v>
      </c>
      <c r="N926" s="21"/>
      <c r="O926" s="22" t="s">
        <v>20</v>
      </c>
      <c r="P926" s="18">
        <f t="shared" si="210"/>
        <v>0</v>
      </c>
      <c r="Q926" s="22" t="s">
        <v>20</v>
      </c>
      <c r="R926" s="23">
        <f t="shared" si="211"/>
        <v>0</v>
      </c>
      <c r="S926" s="23">
        <f t="shared" si="201"/>
        <v>0</v>
      </c>
    </row>
    <row r="927" spans="1:19" s="17" customFormat="1">
      <c r="A927" s="111" t="s">
        <v>713</v>
      </c>
      <c r="B927" s="17" t="s">
        <v>26</v>
      </c>
      <c r="C927" s="18"/>
      <c r="D927" s="19" t="s">
        <v>20</v>
      </c>
      <c r="E927" s="20"/>
      <c r="F927" s="21">
        <v>1</v>
      </c>
      <c r="G927" s="22" t="s">
        <v>21</v>
      </c>
      <c r="H927" s="21">
        <v>12</v>
      </c>
      <c r="I927" s="22" t="s">
        <v>20</v>
      </c>
      <c r="J927" s="23">
        <f>342000/12</f>
        <v>28500</v>
      </c>
      <c r="K927" s="19" t="s">
        <v>20</v>
      </c>
      <c r="L927" s="24"/>
      <c r="M927" s="24">
        <v>0.17</v>
      </c>
      <c r="N927" s="21"/>
      <c r="O927" s="22" t="s">
        <v>20</v>
      </c>
      <c r="P927" s="18">
        <f t="shared" si="210"/>
        <v>0</v>
      </c>
      <c r="Q927" s="22" t="s">
        <v>20</v>
      </c>
      <c r="R927" s="23">
        <f t="shared" si="211"/>
        <v>0</v>
      </c>
      <c r="S927" s="23">
        <f t="shared" si="201"/>
        <v>0</v>
      </c>
    </row>
    <row r="928" spans="1:19" s="17" customFormat="1">
      <c r="A928" s="111" t="s">
        <v>714</v>
      </c>
      <c r="B928" s="17" t="s">
        <v>26</v>
      </c>
      <c r="C928" s="18"/>
      <c r="D928" s="19" t="s">
        <v>20</v>
      </c>
      <c r="E928" s="20">
        <v>2</v>
      </c>
      <c r="F928" s="21">
        <v>1</v>
      </c>
      <c r="G928" s="22" t="s">
        <v>21</v>
      </c>
      <c r="H928" s="21">
        <v>12</v>
      </c>
      <c r="I928" s="22" t="s">
        <v>20</v>
      </c>
      <c r="J928" s="23">
        <f>348000/12</f>
        <v>29000</v>
      </c>
      <c r="K928" s="19" t="s">
        <v>20</v>
      </c>
      <c r="L928" s="24"/>
      <c r="M928" s="24">
        <v>0.17</v>
      </c>
      <c r="N928" s="21">
        <f>12+12</f>
        <v>24</v>
      </c>
      <c r="O928" s="22" t="s">
        <v>20</v>
      </c>
      <c r="P928" s="18">
        <f t="shared" si="210"/>
        <v>0</v>
      </c>
      <c r="Q928" s="22" t="s">
        <v>20</v>
      </c>
      <c r="R928" s="23">
        <f t="shared" si="211"/>
        <v>0</v>
      </c>
      <c r="S928" s="23">
        <f t="shared" si="201"/>
        <v>0</v>
      </c>
    </row>
    <row r="929" spans="1:21" s="17" customFormat="1">
      <c r="A929" s="111" t="s">
        <v>730</v>
      </c>
      <c r="B929" s="17" t="s">
        <v>26</v>
      </c>
      <c r="C929" s="18">
        <v>24</v>
      </c>
      <c r="D929" s="19" t="s">
        <v>20</v>
      </c>
      <c r="E929" s="20"/>
      <c r="F929" s="21">
        <v>8</v>
      </c>
      <c r="G929" s="22" t="s">
        <v>43</v>
      </c>
      <c r="H929" s="21">
        <v>12</v>
      </c>
      <c r="I929" s="22" t="s">
        <v>20</v>
      </c>
      <c r="J929" s="23">
        <f>2112000/8/12</f>
        <v>22000</v>
      </c>
      <c r="K929" s="19" t="s">
        <v>20</v>
      </c>
      <c r="L929" s="24"/>
      <c r="M929" s="24">
        <v>0.17</v>
      </c>
      <c r="N929" s="21">
        <v>24</v>
      </c>
      <c r="O929" s="22" t="s">
        <v>20</v>
      </c>
      <c r="P929" s="18">
        <f t="shared" si="210"/>
        <v>0</v>
      </c>
      <c r="Q929" s="22" t="s">
        <v>20</v>
      </c>
      <c r="R929" s="23">
        <f t="shared" si="211"/>
        <v>0</v>
      </c>
      <c r="S929" s="23">
        <f t="shared" si="201"/>
        <v>0</v>
      </c>
    </row>
    <row r="930" spans="1:21" s="17" customFormat="1">
      <c r="A930" s="111"/>
      <c r="C930" s="18"/>
      <c r="D930" s="19"/>
      <c r="E930" s="20"/>
      <c r="F930" s="21"/>
      <c r="G930" s="22"/>
      <c r="H930" s="21"/>
      <c r="I930" s="22"/>
      <c r="J930" s="23"/>
      <c r="K930" s="19"/>
      <c r="L930" s="24"/>
      <c r="M930" s="24"/>
      <c r="N930" s="21"/>
      <c r="O930" s="22"/>
      <c r="P930" s="18"/>
      <c r="Q930" s="22"/>
      <c r="R930" s="23"/>
      <c r="S930" s="23"/>
    </row>
    <row r="931" spans="1:21" s="63" customFormat="1">
      <c r="A931" s="111" t="s">
        <v>715</v>
      </c>
      <c r="B931" s="63" t="s">
        <v>192</v>
      </c>
      <c r="C931" s="64">
        <v>8</v>
      </c>
      <c r="D931" s="65" t="s">
        <v>43</v>
      </c>
      <c r="E931" s="66"/>
      <c r="F931" s="67">
        <v>48</v>
      </c>
      <c r="G931" s="68" t="s">
        <v>34</v>
      </c>
      <c r="H931" s="67">
        <v>1</v>
      </c>
      <c r="I931" s="68" t="s">
        <v>43</v>
      </c>
      <c r="J931" s="69">
        <v>91000</v>
      </c>
      <c r="K931" s="65" t="s">
        <v>43</v>
      </c>
      <c r="L931" s="70"/>
      <c r="M931" s="70"/>
      <c r="N931" s="67">
        <f>5+1+1+1</f>
        <v>8</v>
      </c>
      <c r="O931" s="68" t="s">
        <v>43</v>
      </c>
      <c r="P931" s="64">
        <f>(C931+(E931*F931*H931))-N931</f>
        <v>0</v>
      </c>
      <c r="Q931" s="68" t="s">
        <v>43</v>
      </c>
      <c r="R931" s="69">
        <f t="shared" si="211"/>
        <v>0</v>
      </c>
      <c r="S931" s="23">
        <f t="shared" ref="S931:S933" si="219">R931/1.11</f>
        <v>0</v>
      </c>
    </row>
    <row r="932" spans="1:21" s="63" customFormat="1">
      <c r="A932" s="111"/>
      <c r="C932" s="64"/>
      <c r="D932" s="65"/>
      <c r="E932" s="66"/>
      <c r="F932" s="67"/>
      <c r="G932" s="68"/>
      <c r="H932" s="67"/>
      <c r="I932" s="68"/>
      <c r="J932" s="69"/>
      <c r="K932" s="65"/>
      <c r="L932" s="70"/>
      <c r="M932" s="70"/>
      <c r="N932" s="67"/>
      <c r="O932" s="68"/>
      <c r="P932" s="64"/>
      <c r="Q932" s="68"/>
      <c r="R932" s="69"/>
      <c r="S932" s="23"/>
    </row>
    <row r="933" spans="1:21" s="17" customFormat="1">
      <c r="A933" s="111" t="s">
        <v>716</v>
      </c>
      <c r="B933" s="17" t="s">
        <v>659</v>
      </c>
      <c r="C933" s="18">
        <v>24</v>
      </c>
      <c r="D933" s="19" t="s">
        <v>20</v>
      </c>
      <c r="E933" s="20"/>
      <c r="F933" s="21">
        <v>1</v>
      </c>
      <c r="G933" s="22" t="s">
        <v>21</v>
      </c>
      <c r="H933" s="21">
        <v>24</v>
      </c>
      <c r="I933" s="22" t="s">
        <v>20</v>
      </c>
      <c r="J933" s="23">
        <v>18200</v>
      </c>
      <c r="K933" s="19" t="s">
        <v>20</v>
      </c>
      <c r="L933" s="24">
        <v>0.15</v>
      </c>
      <c r="M933" s="24">
        <v>0.03</v>
      </c>
      <c r="N933" s="21">
        <v>24</v>
      </c>
      <c r="O933" s="22" t="s">
        <v>20</v>
      </c>
      <c r="P933" s="18">
        <f>(C933+(E933*F933*H933))-N933</f>
        <v>0</v>
      </c>
      <c r="Q933" s="22" t="s">
        <v>20</v>
      </c>
      <c r="R933" s="23">
        <f t="shared" si="211"/>
        <v>0</v>
      </c>
      <c r="S933" s="23">
        <f t="shared" si="219"/>
        <v>0</v>
      </c>
    </row>
    <row r="934" spans="1:21">
      <c r="S934" s="23"/>
    </row>
    <row r="935" spans="1:21" ht="15.75">
      <c r="A935" s="14" t="s">
        <v>722</v>
      </c>
      <c r="S935" s="23"/>
    </row>
    <row r="936" spans="1:21" s="63" customFormat="1">
      <c r="A936" s="72" t="s">
        <v>723</v>
      </c>
      <c r="B936" s="63" t="s">
        <v>19</v>
      </c>
      <c r="C936" s="64"/>
      <c r="D936" s="65" t="s">
        <v>20</v>
      </c>
      <c r="E936" s="66"/>
      <c r="F936" s="67">
        <v>1</v>
      </c>
      <c r="G936" s="68" t="s">
        <v>21</v>
      </c>
      <c r="H936" s="67">
        <v>100</v>
      </c>
      <c r="I936" s="68" t="s">
        <v>20</v>
      </c>
      <c r="J936" s="69">
        <v>8400</v>
      </c>
      <c r="K936" s="65" t="s">
        <v>20</v>
      </c>
      <c r="L936" s="70">
        <v>0.125</v>
      </c>
      <c r="M936" s="70">
        <v>0.05</v>
      </c>
      <c r="N936" s="67"/>
      <c r="O936" s="68" t="s">
        <v>20</v>
      </c>
      <c r="P936" s="64">
        <f t="shared" ref="P936" si="220">(C936+(E936*F936*H936))-N936</f>
        <v>0</v>
      </c>
      <c r="Q936" s="68" t="s">
        <v>20</v>
      </c>
      <c r="R936" s="69">
        <f t="shared" ref="R936" si="221">P936*(J936-(J936*L936)-((J936-(J936*L936))*M936))</f>
        <v>0</v>
      </c>
      <c r="S936" s="69">
        <f t="shared" ref="S936" si="222">R936/1.11</f>
        <v>0</v>
      </c>
    </row>
    <row r="937" spans="1:21">
      <c r="A937" s="2"/>
      <c r="R937" s="23"/>
      <c r="S937" s="23"/>
    </row>
    <row r="939" spans="1:21" ht="16.5">
      <c r="R939" s="146">
        <f>SUM(R6:R937)</f>
        <v>1506888479.55</v>
      </c>
      <c r="S939" s="146">
        <f>SUM(S6:S937)</f>
        <v>1357557188.7837837</v>
      </c>
    </row>
    <row r="940" spans="1:21">
      <c r="R940" s="156"/>
      <c r="S940" s="147"/>
      <c r="U940" s="8"/>
    </row>
    <row r="941" spans="1:21">
      <c r="R941" s="155">
        <f>S941+(S941*11%)</f>
        <v>4109123994.223896</v>
      </c>
      <c r="S941" s="247">
        <v>3701913508.3098164</v>
      </c>
      <c r="U941" s="246"/>
    </row>
    <row r="942" spans="1:21" ht="15.75">
      <c r="R942" s="208">
        <f>SUM(R939:R941)</f>
        <v>5616012473.7738962</v>
      </c>
      <c r="S942" s="208">
        <f>S939+S940+S941</f>
        <v>5059470697.0936003</v>
      </c>
      <c r="U942" s="246"/>
    </row>
    <row r="943" spans="1:21">
      <c r="R943" s="150"/>
      <c r="S943" s="150"/>
    </row>
    <row r="944" spans="1:21">
      <c r="S944" s="316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0"/>
  <sheetViews>
    <sheetView zoomScaleNormal="100" workbookViewId="0">
      <pane xSplit="1" ySplit="3" topLeftCell="B270" activePane="bottomRight" state="frozen"/>
      <selection pane="topRight" activeCell="B1" sqref="B1"/>
      <selection pane="bottomLeft" activeCell="A4" sqref="A4"/>
      <selection pane="bottomRight" activeCell="C302" sqref="C302"/>
    </sheetView>
  </sheetViews>
  <sheetFormatPr defaultRowHeight="12.75"/>
  <cols>
    <col min="1" max="1" width="53.42578125" style="34" bestFit="1" customWidth="1"/>
    <col min="2" max="2" width="31.7109375" style="2" customWidth="1"/>
    <col min="3" max="3" width="4.85546875" style="3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852</v>
      </c>
    </row>
    <row r="2" spans="1:19" s="10" customFormat="1">
      <c r="A2" s="328" t="s">
        <v>0</v>
      </c>
      <c r="B2" s="327" t="s">
        <v>1</v>
      </c>
      <c r="C2" s="322" t="s">
        <v>2</v>
      </c>
      <c r="D2" s="322"/>
      <c r="E2" s="329" t="s">
        <v>720</v>
      </c>
      <c r="F2" s="324" t="s">
        <v>4</v>
      </c>
      <c r="G2" s="324"/>
      <c r="H2" s="324"/>
      <c r="I2" s="324"/>
      <c r="J2" s="325" t="s">
        <v>5</v>
      </c>
      <c r="K2" s="326"/>
      <c r="L2" s="326"/>
      <c r="M2" s="327"/>
      <c r="N2" s="318" t="s">
        <v>6</v>
      </c>
      <c r="O2" s="319"/>
      <c r="P2" s="322" t="s">
        <v>7</v>
      </c>
      <c r="Q2" s="322"/>
      <c r="R2" s="323" t="s">
        <v>8</v>
      </c>
      <c r="S2" s="323" t="s">
        <v>9</v>
      </c>
    </row>
    <row r="3" spans="1:19" s="10" customFormat="1">
      <c r="A3" s="328"/>
      <c r="B3" s="327"/>
      <c r="C3" s="322"/>
      <c r="D3" s="322"/>
      <c r="E3" s="329"/>
      <c r="F3" s="324" t="s">
        <v>10</v>
      </c>
      <c r="G3" s="324"/>
      <c r="H3" s="324" t="s">
        <v>11</v>
      </c>
      <c r="I3" s="324"/>
      <c r="J3" s="11" t="s">
        <v>12</v>
      </c>
      <c r="K3" s="12" t="s">
        <v>13</v>
      </c>
      <c r="L3" s="13" t="s">
        <v>14</v>
      </c>
      <c r="M3" s="13" t="s">
        <v>15</v>
      </c>
      <c r="N3" s="320"/>
      <c r="O3" s="321"/>
      <c r="P3" s="322"/>
      <c r="Q3" s="322"/>
      <c r="R3" s="323"/>
      <c r="S3" s="323"/>
    </row>
    <row r="4" spans="1:19" ht="15.75">
      <c r="A4" s="14" t="s">
        <v>16</v>
      </c>
    </row>
    <row r="5" spans="1:19">
      <c r="A5" s="15" t="s">
        <v>17</v>
      </c>
    </row>
    <row r="6" spans="1:19" s="17" customFormat="1">
      <c r="A6" s="16" t="s">
        <v>18</v>
      </c>
      <c r="B6" s="17" t="s">
        <v>19</v>
      </c>
      <c r="C6" s="18"/>
      <c r="D6" s="19" t="s">
        <v>20</v>
      </c>
      <c r="E6" s="20"/>
      <c r="F6" s="21">
        <v>1</v>
      </c>
      <c r="G6" s="22" t="s">
        <v>21</v>
      </c>
      <c r="H6" s="21">
        <v>60</v>
      </c>
      <c r="I6" s="22" t="s">
        <v>20</v>
      </c>
      <c r="J6" s="23">
        <v>45500</v>
      </c>
      <c r="K6" s="19" t="s">
        <v>20</v>
      </c>
      <c r="L6" s="24">
        <v>0.125</v>
      </c>
      <c r="M6" s="24">
        <v>0.05</v>
      </c>
      <c r="N6" s="21"/>
      <c r="O6" s="22" t="s">
        <v>20</v>
      </c>
      <c r="P6" s="18">
        <f t="shared" ref="P6:P18" si="0">(C6+(E6*F6*H6))-N6</f>
        <v>0</v>
      </c>
      <c r="Q6" s="22" t="s">
        <v>20</v>
      </c>
      <c r="R6" s="23">
        <f t="shared" ref="R6:R18" si="1">P6*(J6-(J6*L6)-((J6-(J6*L6))*M6))</f>
        <v>0</v>
      </c>
      <c r="S6" s="23">
        <f>R6/1.11</f>
        <v>0</v>
      </c>
    </row>
    <row r="7" spans="1:19" s="17" customFormat="1">
      <c r="A7" s="16" t="s">
        <v>839</v>
      </c>
      <c r="B7" s="17" t="s">
        <v>19</v>
      </c>
      <c r="C7" s="18"/>
      <c r="D7" s="19" t="s">
        <v>20</v>
      </c>
      <c r="E7" s="20"/>
      <c r="F7" s="21">
        <v>1</v>
      </c>
      <c r="G7" s="22" t="s">
        <v>21</v>
      </c>
      <c r="H7" s="21">
        <v>48</v>
      </c>
      <c r="I7" s="22" t="s">
        <v>20</v>
      </c>
      <c r="J7" s="23">
        <v>26000</v>
      </c>
      <c r="K7" s="19" t="s">
        <v>20</v>
      </c>
      <c r="L7" s="24">
        <v>0.125</v>
      </c>
      <c r="M7" s="24">
        <v>0.05</v>
      </c>
      <c r="N7" s="21"/>
      <c r="O7" s="22" t="s">
        <v>20</v>
      </c>
      <c r="P7" s="18">
        <f t="shared" si="0"/>
        <v>0</v>
      </c>
      <c r="Q7" s="22" t="s">
        <v>20</v>
      </c>
      <c r="R7" s="23">
        <f t="shared" si="1"/>
        <v>0</v>
      </c>
      <c r="S7" s="23">
        <f t="shared" ref="S7:S87" si="2">R7/1.11</f>
        <v>0</v>
      </c>
    </row>
    <row r="8" spans="1:19" s="17" customFormat="1">
      <c r="A8" s="16" t="s">
        <v>22</v>
      </c>
      <c r="B8" s="17" t="s">
        <v>19</v>
      </c>
      <c r="C8" s="18"/>
      <c r="D8" s="19" t="s">
        <v>20</v>
      </c>
      <c r="E8" s="20"/>
      <c r="F8" s="21">
        <v>1</v>
      </c>
      <c r="G8" s="22" t="s">
        <v>21</v>
      </c>
      <c r="H8" s="21">
        <v>48</v>
      </c>
      <c r="I8" s="22" t="s">
        <v>20</v>
      </c>
      <c r="J8" s="23">
        <v>28000</v>
      </c>
      <c r="K8" s="19" t="s">
        <v>20</v>
      </c>
      <c r="L8" s="24">
        <v>0.125</v>
      </c>
      <c r="M8" s="24">
        <v>0.05</v>
      </c>
      <c r="N8" s="21"/>
      <c r="O8" s="22" t="s">
        <v>20</v>
      </c>
      <c r="P8" s="18">
        <f t="shared" si="0"/>
        <v>0</v>
      </c>
      <c r="Q8" s="22" t="s">
        <v>20</v>
      </c>
      <c r="R8" s="23">
        <f t="shared" si="1"/>
        <v>0</v>
      </c>
      <c r="S8" s="23">
        <f t="shared" si="2"/>
        <v>0</v>
      </c>
    </row>
    <row r="9" spans="1:19" s="17" customFormat="1">
      <c r="A9" s="16" t="s">
        <v>23</v>
      </c>
      <c r="B9" s="17" t="s">
        <v>19</v>
      </c>
      <c r="C9" s="18"/>
      <c r="D9" s="19" t="s">
        <v>20</v>
      </c>
      <c r="E9" s="20"/>
      <c r="F9" s="21">
        <v>1</v>
      </c>
      <c r="G9" s="22" t="s">
        <v>21</v>
      </c>
      <c r="H9" s="21">
        <v>48</v>
      </c>
      <c r="I9" s="22" t="s">
        <v>20</v>
      </c>
      <c r="J9" s="23">
        <v>31700</v>
      </c>
      <c r="K9" s="19" t="s">
        <v>20</v>
      </c>
      <c r="L9" s="24">
        <v>0.125</v>
      </c>
      <c r="M9" s="24">
        <v>0.05</v>
      </c>
      <c r="N9" s="21"/>
      <c r="O9" s="22" t="s">
        <v>20</v>
      </c>
      <c r="P9" s="18">
        <f t="shared" si="0"/>
        <v>0</v>
      </c>
      <c r="Q9" s="22" t="s">
        <v>20</v>
      </c>
      <c r="R9" s="23">
        <f t="shared" si="1"/>
        <v>0</v>
      </c>
      <c r="S9" s="23">
        <f t="shared" si="2"/>
        <v>0</v>
      </c>
    </row>
    <row r="10" spans="1:19" s="17" customFormat="1">
      <c r="A10" s="16" t="s">
        <v>24</v>
      </c>
      <c r="B10" s="17" t="s">
        <v>19</v>
      </c>
      <c r="C10" s="18"/>
      <c r="D10" s="19" t="s">
        <v>20</v>
      </c>
      <c r="E10" s="20"/>
      <c r="F10" s="21">
        <v>1</v>
      </c>
      <c r="G10" s="22" t="s">
        <v>21</v>
      </c>
      <c r="H10" s="21">
        <v>48</v>
      </c>
      <c r="I10" s="22" t="s">
        <v>20</v>
      </c>
      <c r="J10" s="23">
        <v>25000</v>
      </c>
      <c r="K10" s="19" t="s">
        <v>20</v>
      </c>
      <c r="L10" s="24">
        <v>0.125</v>
      </c>
      <c r="M10" s="24">
        <v>0.05</v>
      </c>
      <c r="N10" s="21"/>
      <c r="O10" s="22" t="s">
        <v>20</v>
      </c>
      <c r="P10" s="18">
        <f t="shared" si="0"/>
        <v>0</v>
      </c>
      <c r="Q10" s="22" t="s">
        <v>20</v>
      </c>
      <c r="R10" s="23">
        <f t="shared" si="1"/>
        <v>0</v>
      </c>
      <c r="S10" s="23">
        <f t="shared" si="2"/>
        <v>0</v>
      </c>
    </row>
    <row r="11" spans="1:19" s="17" customFormat="1">
      <c r="A11" s="16"/>
      <c r="C11" s="18"/>
      <c r="D11" s="19"/>
      <c r="E11" s="20"/>
      <c r="F11" s="21"/>
      <c r="G11" s="22"/>
      <c r="H11" s="21"/>
      <c r="I11" s="22"/>
      <c r="J11" s="23"/>
      <c r="K11" s="19"/>
      <c r="L11" s="24"/>
      <c r="M11" s="24"/>
      <c r="N11" s="21"/>
      <c r="O11" s="22"/>
      <c r="P11" s="18"/>
      <c r="Q11" s="22"/>
      <c r="R11" s="23"/>
      <c r="S11" s="23"/>
    </row>
    <row r="12" spans="1:19" s="17" customFormat="1">
      <c r="A12" s="16" t="s">
        <v>25</v>
      </c>
      <c r="B12" s="17" t="s">
        <v>26</v>
      </c>
      <c r="C12" s="18"/>
      <c r="D12" s="19" t="s">
        <v>20</v>
      </c>
      <c r="E12" s="20"/>
      <c r="F12" s="21">
        <v>1</v>
      </c>
      <c r="G12" s="22" t="s">
        <v>21</v>
      </c>
      <c r="H12" s="21">
        <v>60</v>
      </c>
      <c r="I12" s="22" t="s">
        <v>20</v>
      </c>
      <c r="J12" s="23">
        <v>23800</v>
      </c>
      <c r="K12" s="19" t="s">
        <v>20</v>
      </c>
      <c r="L12" s="24"/>
      <c r="M12" s="24">
        <v>0.17</v>
      </c>
      <c r="N12" s="21"/>
      <c r="O12" s="22" t="s">
        <v>20</v>
      </c>
      <c r="P12" s="18">
        <f t="shared" si="0"/>
        <v>0</v>
      </c>
      <c r="Q12" s="22" t="s">
        <v>20</v>
      </c>
      <c r="R12" s="23">
        <f t="shared" si="1"/>
        <v>0</v>
      </c>
      <c r="S12" s="23">
        <f t="shared" si="2"/>
        <v>0</v>
      </c>
    </row>
    <row r="13" spans="1:19" s="26" customFormat="1">
      <c r="A13" s="25" t="s">
        <v>27</v>
      </c>
      <c r="B13" s="26" t="s">
        <v>26</v>
      </c>
      <c r="C13" s="27">
        <v>60</v>
      </c>
      <c r="D13" s="28" t="s">
        <v>20</v>
      </c>
      <c r="E13" s="29"/>
      <c r="F13" s="30">
        <v>1</v>
      </c>
      <c r="G13" s="31" t="s">
        <v>21</v>
      </c>
      <c r="H13" s="30">
        <v>60</v>
      </c>
      <c r="I13" s="31" t="s">
        <v>20</v>
      </c>
      <c r="J13" s="32">
        <f>1500000/60</f>
        <v>25000</v>
      </c>
      <c r="K13" s="28" t="s">
        <v>20</v>
      </c>
      <c r="L13" s="33"/>
      <c r="M13" s="33">
        <v>0.17</v>
      </c>
      <c r="N13" s="30"/>
      <c r="O13" s="31" t="s">
        <v>20</v>
      </c>
      <c r="P13" s="27">
        <f t="shared" si="0"/>
        <v>60</v>
      </c>
      <c r="Q13" s="31" t="s">
        <v>20</v>
      </c>
      <c r="R13" s="32">
        <f t="shared" si="1"/>
        <v>1245000</v>
      </c>
      <c r="S13" s="32">
        <f t="shared" si="2"/>
        <v>1121621.6216216215</v>
      </c>
    </row>
    <row r="14" spans="1:19" s="17" customFormat="1">
      <c r="A14" s="16" t="s">
        <v>28</v>
      </c>
      <c r="B14" s="17" t="s">
        <v>26</v>
      </c>
      <c r="C14" s="18"/>
      <c r="D14" s="19" t="s">
        <v>20</v>
      </c>
      <c r="E14" s="20"/>
      <c r="F14" s="21">
        <v>1</v>
      </c>
      <c r="G14" s="22" t="s">
        <v>21</v>
      </c>
      <c r="H14" s="21">
        <v>60</v>
      </c>
      <c r="I14" s="22" t="s">
        <v>20</v>
      </c>
      <c r="J14" s="23">
        <v>27500</v>
      </c>
      <c r="K14" s="19" t="s">
        <v>20</v>
      </c>
      <c r="L14" s="24"/>
      <c r="M14" s="24">
        <v>0.17</v>
      </c>
      <c r="N14" s="21"/>
      <c r="O14" s="22" t="s">
        <v>20</v>
      </c>
      <c r="P14" s="18">
        <f t="shared" si="0"/>
        <v>0</v>
      </c>
      <c r="Q14" s="22" t="s">
        <v>20</v>
      </c>
      <c r="R14" s="23">
        <f t="shared" si="1"/>
        <v>0</v>
      </c>
      <c r="S14" s="23">
        <f t="shared" si="2"/>
        <v>0</v>
      </c>
    </row>
    <row r="15" spans="1:19" s="17" customFormat="1">
      <c r="A15" s="16" t="s">
        <v>786</v>
      </c>
      <c r="B15" s="17" t="s">
        <v>26</v>
      </c>
      <c r="C15" s="18"/>
      <c r="D15" s="19" t="s">
        <v>20</v>
      </c>
      <c r="E15" s="20"/>
      <c r="F15" s="21">
        <v>1</v>
      </c>
      <c r="G15" s="22" t="s">
        <v>21</v>
      </c>
      <c r="H15" s="21">
        <v>36</v>
      </c>
      <c r="I15" s="22" t="s">
        <v>20</v>
      </c>
      <c r="J15" s="23">
        <f>2520000/36</f>
        <v>70000</v>
      </c>
      <c r="K15" s="19" t="s">
        <v>20</v>
      </c>
      <c r="L15" s="24"/>
      <c r="M15" s="24">
        <v>0.17</v>
      </c>
      <c r="N15" s="21"/>
      <c r="O15" s="22" t="s">
        <v>20</v>
      </c>
      <c r="P15" s="18">
        <f t="shared" si="0"/>
        <v>0</v>
      </c>
      <c r="Q15" s="22" t="s">
        <v>20</v>
      </c>
      <c r="R15" s="23">
        <f t="shared" si="1"/>
        <v>0</v>
      </c>
      <c r="S15" s="23">
        <f t="shared" si="2"/>
        <v>0</v>
      </c>
    </row>
    <row r="16" spans="1:19" s="17" customFormat="1">
      <c r="A16" s="16" t="s">
        <v>29</v>
      </c>
      <c r="B16" s="17" t="s">
        <v>26</v>
      </c>
      <c r="C16" s="18"/>
      <c r="D16" s="19" t="s">
        <v>20</v>
      </c>
      <c r="E16" s="20"/>
      <c r="F16" s="21">
        <v>1</v>
      </c>
      <c r="G16" s="22" t="s">
        <v>21</v>
      </c>
      <c r="H16" s="21">
        <v>36</v>
      </c>
      <c r="I16" s="22" t="s">
        <v>20</v>
      </c>
      <c r="J16" s="23">
        <v>50500</v>
      </c>
      <c r="K16" s="19" t="s">
        <v>20</v>
      </c>
      <c r="L16" s="24"/>
      <c r="M16" s="24">
        <v>0.17</v>
      </c>
      <c r="N16" s="21"/>
      <c r="O16" s="22" t="s">
        <v>20</v>
      </c>
      <c r="P16" s="18">
        <f t="shared" si="0"/>
        <v>0</v>
      </c>
      <c r="Q16" s="22" t="s">
        <v>20</v>
      </c>
      <c r="R16" s="23">
        <f t="shared" si="1"/>
        <v>0</v>
      </c>
      <c r="S16" s="23">
        <f t="shared" si="2"/>
        <v>0</v>
      </c>
    </row>
    <row r="17" spans="1:19" s="63" customFormat="1">
      <c r="A17" s="72" t="s">
        <v>30</v>
      </c>
      <c r="B17" s="63" t="s">
        <v>26</v>
      </c>
      <c r="C17" s="64"/>
      <c r="D17" s="65" t="s">
        <v>20</v>
      </c>
      <c r="E17" s="66"/>
      <c r="F17" s="67">
        <v>1</v>
      </c>
      <c r="G17" s="68" t="s">
        <v>21</v>
      </c>
      <c r="H17" s="67">
        <v>72</v>
      </c>
      <c r="I17" s="68" t="s">
        <v>20</v>
      </c>
      <c r="J17" s="69">
        <v>37000</v>
      </c>
      <c r="K17" s="65" t="s">
        <v>20</v>
      </c>
      <c r="L17" s="70"/>
      <c r="M17" s="70">
        <v>0.17</v>
      </c>
      <c r="N17" s="67"/>
      <c r="O17" s="68" t="s">
        <v>20</v>
      </c>
      <c r="P17" s="64">
        <f t="shared" si="0"/>
        <v>0</v>
      </c>
      <c r="Q17" s="68" t="s">
        <v>20</v>
      </c>
      <c r="R17" s="69">
        <f t="shared" si="1"/>
        <v>0</v>
      </c>
      <c r="S17" s="69">
        <f t="shared" si="2"/>
        <v>0</v>
      </c>
    </row>
    <row r="18" spans="1:19" s="17" customFormat="1">
      <c r="A18" s="16" t="s">
        <v>31</v>
      </c>
      <c r="B18" s="17" t="s">
        <v>26</v>
      </c>
      <c r="C18" s="18"/>
      <c r="D18" s="19" t="s">
        <v>20</v>
      </c>
      <c r="E18" s="20"/>
      <c r="F18" s="21">
        <v>1</v>
      </c>
      <c r="G18" s="22" t="s">
        <v>21</v>
      </c>
      <c r="H18" s="21">
        <v>72</v>
      </c>
      <c r="I18" s="22" t="s">
        <v>20</v>
      </c>
      <c r="J18" s="23">
        <v>30000</v>
      </c>
      <c r="K18" s="19" t="s">
        <v>20</v>
      </c>
      <c r="L18" s="24"/>
      <c r="M18" s="24">
        <v>0.17</v>
      </c>
      <c r="N18" s="21"/>
      <c r="O18" s="22" t="s">
        <v>20</v>
      </c>
      <c r="P18" s="18">
        <f t="shared" si="0"/>
        <v>0</v>
      </c>
      <c r="Q18" s="22" t="s">
        <v>20</v>
      </c>
      <c r="R18" s="23">
        <f t="shared" si="1"/>
        <v>0</v>
      </c>
      <c r="S18" s="23">
        <f t="shared" si="2"/>
        <v>0</v>
      </c>
    </row>
    <row r="19" spans="1:19" s="17" customFormat="1">
      <c r="A19" s="16"/>
      <c r="C19" s="18"/>
      <c r="D19" s="19"/>
      <c r="E19" s="20"/>
      <c r="F19" s="21"/>
      <c r="G19" s="22"/>
      <c r="H19" s="21"/>
      <c r="I19" s="22"/>
      <c r="J19" s="23"/>
      <c r="K19" s="19"/>
      <c r="L19" s="24"/>
      <c r="M19" s="24"/>
      <c r="N19" s="21"/>
      <c r="O19" s="22"/>
      <c r="P19" s="18"/>
      <c r="Q19" s="22"/>
      <c r="R19" s="23"/>
      <c r="S19" s="23"/>
    </row>
    <row r="20" spans="1:19">
      <c r="A20" s="15" t="s">
        <v>32</v>
      </c>
      <c r="S20" s="23"/>
    </row>
    <row r="21" spans="1:19" s="26" customFormat="1">
      <c r="A21" s="25" t="s">
        <v>33</v>
      </c>
      <c r="B21" s="26" t="s">
        <v>19</v>
      </c>
      <c r="C21" s="27">
        <v>60</v>
      </c>
      <c r="D21" s="28" t="s">
        <v>34</v>
      </c>
      <c r="E21" s="29"/>
      <c r="F21" s="30">
        <v>1</v>
      </c>
      <c r="G21" s="31" t="s">
        <v>21</v>
      </c>
      <c r="H21" s="30">
        <v>60</v>
      </c>
      <c r="I21" s="31" t="s">
        <v>34</v>
      </c>
      <c r="J21" s="32">
        <v>22200</v>
      </c>
      <c r="K21" s="28" t="s">
        <v>34</v>
      </c>
      <c r="L21" s="33">
        <v>0.125</v>
      </c>
      <c r="M21" s="33">
        <v>0.05</v>
      </c>
      <c r="N21" s="30"/>
      <c r="O21" s="31" t="s">
        <v>34</v>
      </c>
      <c r="P21" s="27">
        <f t="shared" ref="P21:P29" si="3">(C21+(E21*F21*H21))-N21</f>
        <v>60</v>
      </c>
      <c r="Q21" s="31" t="s">
        <v>34</v>
      </c>
      <c r="R21" s="32">
        <f t="shared" ref="R21:R29" si="4">P21*(J21-(J21*L21)-((J21-(J21*L21))*M21))</f>
        <v>1107225</v>
      </c>
      <c r="S21" s="32">
        <f t="shared" si="2"/>
        <v>997499.99999999988</v>
      </c>
    </row>
    <row r="22" spans="1:19" s="26" customFormat="1">
      <c r="A22" s="25" t="s">
        <v>35</v>
      </c>
      <c r="B22" s="26" t="s">
        <v>19</v>
      </c>
      <c r="C22" s="27">
        <v>60</v>
      </c>
      <c r="D22" s="28" t="s">
        <v>34</v>
      </c>
      <c r="E22" s="29"/>
      <c r="F22" s="30">
        <v>1</v>
      </c>
      <c r="G22" s="31" t="s">
        <v>21</v>
      </c>
      <c r="H22" s="30">
        <v>60</v>
      </c>
      <c r="I22" s="31" t="s">
        <v>34</v>
      </c>
      <c r="J22" s="32">
        <v>31500</v>
      </c>
      <c r="K22" s="28" t="s">
        <v>34</v>
      </c>
      <c r="L22" s="33">
        <v>0.125</v>
      </c>
      <c r="M22" s="33">
        <v>0.05</v>
      </c>
      <c r="N22" s="30"/>
      <c r="O22" s="31" t="s">
        <v>34</v>
      </c>
      <c r="P22" s="27">
        <f t="shared" si="3"/>
        <v>60</v>
      </c>
      <c r="Q22" s="31" t="s">
        <v>34</v>
      </c>
      <c r="R22" s="32">
        <f t="shared" si="4"/>
        <v>1571062.5</v>
      </c>
      <c r="S22" s="32">
        <f t="shared" si="2"/>
        <v>1415371.6216216215</v>
      </c>
    </row>
    <row r="23" spans="1:19" s="17" customFormat="1">
      <c r="A23" s="16" t="s">
        <v>36</v>
      </c>
      <c r="B23" s="17" t="s">
        <v>19</v>
      </c>
      <c r="C23" s="18"/>
      <c r="D23" s="19" t="s">
        <v>34</v>
      </c>
      <c r="E23" s="20"/>
      <c r="F23" s="21">
        <v>1</v>
      </c>
      <c r="G23" s="22" t="s">
        <v>21</v>
      </c>
      <c r="H23" s="21">
        <v>60</v>
      </c>
      <c r="I23" s="22" t="s">
        <v>34</v>
      </c>
      <c r="J23" s="23">
        <v>31200</v>
      </c>
      <c r="K23" s="19" t="s">
        <v>34</v>
      </c>
      <c r="L23" s="24">
        <v>0.125</v>
      </c>
      <c r="M23" s="24">
        <v>0.05</v>
      </c>
      <c r="N23" s="21"/>
      <c r="O23" s="22" t="s">
        <v>34</v>
      </c>
      <c r="P23" s="18">
        <f t="shared" si="3"/>
        <v>0</v>
      </c>
      <c r="Q23" s="22" t="s">
        <v>34</v>
      </c>
      <c r="R23" s="23">
        <f t="shared" si="4"/>
        <v>0</v>
      </c>
      <c r="S23" s="23">
        <f t="shared" si="2"/>
        <v>0</v>
      </c>
    </row>
    <row r="24" spans="1:19" s="17" customFormat="1">
      <c r="A24" s="16" t="s">
        <v>772</v>
      </c>
      <c r="B24" s="17" t="s">
        <v>19</v>
      </c>
      <c r="C24" s="18"/>
      <c r="D24" s="19" t="s">
        <v>34</v>
      </c>
      <c r="E24" s="20"/>
      <c r="F24" s="21">
        <v>1</v>
      </c>
      <c r="G24" s="22" t="s">
        <v>21</v>
      </c>
      <c r="H24" s="21">
        <v>50</v>
      </c>
      <c r="I24" s="22" t="s">
        <v>34</v>
      </c>
      <c r="J24" s="23">
        <v>66000</v>
      </c>
      <c r="K24" s="19" t="s">
        <v>34</v>
      </c>
      <c r="L24" s="24">
        <v>0.125</v>
      </c>
      <c r="M24" s="24">
        <v>0.05</v>
      </c>
      <c r="N24" s="21"/>
      <c r="O24" s="22" t="s">
        <v>34</v>
      </c>
      <c r="P24" s="18">
        <f t="shared" si="3"/>
        <v>0</v>
      </c>
      <c r="Q24" s="22" t="s">
        <v>34</v>
      </c>
      <c r="R24" s="23">
        <f t="shared" si="4"/>
        <v>0</v>
      </c>
      <c r="S24" s="23">
        <f t="shared" si="2"/>
        <v>0</v>
      </c>
    </row>
    <row r="25" spans="1:19" s="17" customFormat="1">
      <c r="A25" s="16" t="s">
        <v>37</v>
      </c>
      <c r="B25" s="17" t="s">
        <v>19</v>
      </c>
      <c r="C25" s="18"/>
      <c r="D25" s="19" t="s">
        <v>34</v>
      </c>
      <c r="E25" s="20"/>
      <c r="F25" s="21">
        <v>1</v>
      </c>
      <c r="G25" s="22" t="s">
        <v>21</v>
      </c>
      <c r="H25" s="21">
        <v>180</v>
      </c>
      <c r="I25" s="22" t="s">
        <v>34</v>
      </c>
      <c r="J25" s="23">
        <v>9120</v>
      </c>
      <c r="K25" s="19" t="s">
        <v>34</v>
      </c>
      <c r="L25" s="24">
        <v>0.125</v>
      </c>
      <c r="M25" s="24">
        <v>0.05</v>
      </c>
      <c r="N25" s="21"/>
      <c r="O25" s="22" t="s">
        <v>34</v>
      </c>
      <c r="P25" s="18">
        <f t="shared" si="3"/>
        <v>0</v>
      </c>
      <c r="Q25" s="22" t="s">
        <v>34</v>
      </c>
      <c r="R25" s="23">
        <f t="shared" si="4"/>
        <v>0</v>
      </c>
      <c r="S25" s="23">
        <f t="shared" si="2"/>
        <v>0</v>
      </c>
    </row>
    <row r="26" spans="1:19" s="17" customFormat="1">
      <c r="A26" s="16" t="s">
        <v>38</v>
      </c>
      <c r="B26" s="17" t="s">
        <v>19</v>
      </c>
      <c r="C26" s="18"/>
      <c r="D26" s="19" t="s">
        <v>34</v>
      </c>
      <c r="E26" s="20"/>
      <c r="F26" s="21">
        <v>1</v>
      </c>
      <c r="G26" s="22" t="s">
        <v>21</v>
      </c>
      <c r="H26" s="21">
        <v>32</v>
      </c>
      <c r="I26" s="22" t="s">
        <v>34</v>
      </c>
      <c r="J26" s="23">
        <v>64800</v>
      </c>
      <c r="K26" s="19" t="s">
        <v>34</v>
      </c>
      <c r="L26" s="24">
        <v>0.125</v>
      </c>
      <c r="M26" s="24">
        <v>0.05</v>
      </c>
      <c r="N26" s="21"/>
      <c r="O26" s="22" t="s">
        <v>34</v>
      </c>
      <c r="P26" s="18">
        <f t="shared" si="3"/>
        <v>0</v>
      </c>
      <c r="Q26" s="22" t="s">
        <v>34</v>
      </c>
      <c r="R26" s="23">
        <f t="shared" si="4"/>
        <v>0</v>
      </c>
      <c r="S26" s="23">
        <f t="shared" si="2"/>
        <v>0</v>
      </c>
    </row>
    <row r="27" spans="1:19" s="17" customFormat="1">
      <c r="A27" s="16"/>
      <c r="C27" s="18"/>
      <c r="D27" s="19"/>
      <c r="E27" s="20"/>
      <c r="F27" s="21"/>
      <c r="G27" s="22"/>
      <c r="H27" s="21"/>
      <c r="I27" s="22"/>
      <c r="J27" s="23"/>
      <c r="K27" s="19"/>
      <c r="L27" s="24"/>
      <c r="M27" s="24"/>
      <c r="N27" s="21"/>
      <c r="O27" s="22"/>
      <c r="P27" s="18"/>
      <c r="Q27" s="22"/>
      <c r="R27" s="23"/>
      <c r="S27" s="23"/>
    </row>
    <row r="28" spans="1:19" s="26" customFormat="1">
      <c r="A28" s="25" t="s">
        <v>861</v>
      </c>
      <c r="B28" s="26" t="s">
        <v>26</v>
      </c>
      <c r="C28" s="27"/>
      <c r="D28" s="28" t="s">
        <v>43</v>
      </c>
      <c r="E28" s="29">
        <v>1</v>
      </c>
      <c r="F28" s="30">
        <v>1</v>
      </c>
      <c r="G28" s="31" t="s">
        <v>21</v>
      </c>
      <c r="H28" s="30">
        <v>60</v>
      </c>
      <c r="I28" s="31" t="s">
        <v>43</v>
      </c>
      <c r="J28" s="32">
        <f>1080000/60</f>
        <v>18000</v>
      </c>
      <c r="K28" s="28" t="s">
        <v>43</v>
      </c>
      <c r="L28" s="33"/>
      <c r="M28" s="33">
        <v>0.17</v>
      </c>
      <c r="N28" s="30"/>
      <c r="O28" s="31" t="s">
        <v>34</v>
      </c>
      <c r="P28" s="27">
        <f t="shared" ref="P28" si="5">(C28+(E28*F28*H28))-N28</f>
        <v>60</v>
      </c>
      <c r="Q28" s="31" t="s">
        <v>43</v>
      </c>
      <c r="R28" s="32">
        <f t="shared" ref="R28" si="6">P28*(J28-(J28*L28)-((J28-(J28*L28))*M28))</f>
        <v>896400</v>
      </c>
      <c r="S28" s="32">
        <f t="shared" ref="S28" si="7">R28/1.11</f>
        <v>807567.56756756746</v>
      </c>
    </row>
    <row r="29" spans="1:19" s="17" customFormat="1">
      <c r="A29" s="16" t="s">
        <v>757</v>
      </c>
      <c r="B29" s="17" t="s">
        <v>26</v>
      </c>
      <c r="C29" s="18"/>
      <c r="D29" s="19" t="s">
        <v>34</v>
      </c>
      <c r="E29" s="20"/>
      <c r="F29" s="21">
        <v>1</v>
      </c>
      <c r="G29" s="22" t="s">
        <v>21</v>
      </c>
      <c r="H29" s="21">
        <v>32</v>
      </c>
      <c r="I29" s="22" t="s">
        <v>34</v>
      </c>
      <c r="J29" s="23">
        <f>1113600/32</f>
        <v>34800</v>
      </c>
      <c r="K29" s="19" t="s">
        <v>34</v>
      </c>
      <c r="L29" s="24"/>
      <c r="M29" s="24">
        <v>0.17</v>
      </c>
      <c r="N29" s="21"/>
      <c r="O29" s="22" t="s">
        <v>34</v>
      </c>
      <c r="P29" s="18">
        <f t="shared" si="3"/>
        <v>0</v>
      </c>
      <c r="Q29" s="22" t="s">
        <v>34</v>
      </c>
      <c r="R29" s="23">
        <f t="shared" si="4"/>
        <v>0</v>
      </c>
      <c r="S29" s="23">
        <f t="shared" si="2"/>
        <v>0</v>
      </c>
    </row>
    <row r="30" spans="1:19">
      <c r="S30" s="23"/>
    </row>
    <row r="31" spans="1:19" ht="15.75">
      <c r="A31" s="14" t="s">
        <v>39</v>
      </c>
      <c r="S31" s="23"/>
    </row>
    <row r="32" spans="1:19">
      <c r="A32" s="15" t="s">
        <v>40</v>
      </c>
      <c r="S32" s="23"/>
    </row>
    <row r="33" spans="1:19" s="17" customFormat="1">
      <c r="A33" s="16" t="s">
        <v>41</v>
      </c>
      <c r="B33" s="17" t="s">
        <v>19</v>
      </c>
      <c r="C33" s="18"/>
      <c r="D33" s="19" t="s">
        <v>20</v>
      </c>
      <c r="E33" s="20"/>
      <c r="F33" s="21">
        <v>1</v>
      </c>
      <c r="G33" s="22" t="s">
        <v>21</v>
      </c>
      <c r="H33" s="21">
        <v>60</v>
      </c>
      <c r="I33" s="22" t="s">
        <v>20</v>
      </c>
      <c r="J33" s="23">
        <v>18500</v>
      </c>
      <c r="K33" s="19" t="s">
        <v>20</v>
      </c>
      <c r="L33" s="24">
        <v>0.125</v>
      </c>
      <c r="M33" s="24">
        <v>0.05</v>
      </c>
      <c r="N33" s="21"/>
      <c r="O33" s="22" t="s">
        <v>20</v>
      </c>
      <c r="P33" s="18">
        <f t="shared" ref="P33:P41" si="8">(C33+(E33*F33*H33))-N33</f>
        <v>0</v>
      </c>
      <c r="Q33" s="22" t="s">
        <v>20</v>
      </c>
      <c r="R33" s="23">
        <f t="shared" ref="R33:R41" si="9">P33*(J33-(J33*L33)-((J33-(J33*L33))*M33))</f>
        <v>0</v>
      </c>
      <c r="S33" s="23">
        <f t="shared" si="2"/>
        <v>0</v>
      </c>
    </row>
    <row r="34" spans="1:19" s="17" customFormat="1">
      <c r="A34" s="16"/>
      <c r="C34" s="18"/>
      <c r="D34" s="19"/>
      <c r="E34" s="20"/>
      <c r="F34" s="21"/>
      <c r="G34" s="22"/>
      <c r="H34" s="21"/>
      <c r="I34" s="22"/>
      <c r="J34" s="23"/>
      <c r="K34" s="19"/>
      <c r="L34" s="24"/>
      <c r="M34" s="24"/>
      <c r="N34" s="21"/>
      <c r="O34" s="22"/>
      <c r="P34" s="18"/>
      <c r="Q34" s="22"/>
      <c r="R34" s="23"/>
      <c r="S34" s="23"/>
    </row>
    <row r="35" spans="1:19" s="63" customFormat="1">
      <c r="A35" s="95" t="s">
        <v>42</v>
      </c>
      <c r="B35" s="96" t="s">
        <v>26</v>
      </c>
      <c r="C35" s="97">
        <v>4</v>
      </c>
      <c r="D35" s="98" t="s">
        <v>43</v>
      </c>
      <c r="E35" s="105"/>
      <c r="F35" s="100">
        <v>1</v>
      </c>
      <c r="G35" s="101" t="s">
        <v>21</v>
      </c>
      <c r="H35" s="100">
        <v>5</v>
      </c>
      <c r="I35" s="101" t="s">
        <v>43</v>
      </c>
      <c r="J35" s="102">
        <f>720000/5</f>
        <v>144000</v>
      </c>
      <c r="K35" s="98" t="s">
        <v>43</v>
      </c>
      <c r="L35" s="103"/>
      <c r="M35" s="103">
        <v>0.17</v>
      </c>
      <c r="N35" s="100">
        <f>5-1</f>
        <v>4</v>
      </c>
      <c r="O35" s="243" t="s">
        <v>43</v>
      </c>
      <c r="P35" s="97">
        <f t="shared" si="8"/>
        <v>0</v>
      </c>
      <c r="Q35" s="101" t="s">
        <v>43</v>
      </c>
      <c r="R35" s="102">
        <f t="shared" si="9"/>
        <v>0</v>
      </c>
      <c r="S35" s="102">
        <f t="shared" si="2"/>
        <v>0</v>
      </c>
    </row>
    <row r="36" spans="1:19" s="45" customFormat="1">
      <c r="A36" s="35" t="s">
        <v>42</v>
      </c>
      <c r="B36" s="36" t="s">
        <v>26</v>
      </c>
      <c r="C36" s="37"/>
      <c r="D36" s="38" t="s">
        <v>43</v>
      </c>
      <c r="E36" s="39">
        <f>1+1</f>
        <v>2</v>
      </c>
      <c r="F36" s="40">
        <v>1</v>
      </c>
      <c r="G36" s="41" t="s">
        <v>21</v>
      </c>
      <c r="H36" s="40">
        <v>5</v>
      </c>
      <c r="I36" s="41" t="s">
        <v>43</v>
      </c>
      <c r="J36" s="42">
        <f>780000/5</f>
        <v>156000</v>
      </c>
      <c r="K36" s="38" t="s">
        <v>43</v>
      </c>
      <c r="L36" s="43"/>
      <c r="M36" s="43">
        <v>0.17</v>
      </c>
      <c r="N36" s="40">
        <f>(5-4)</f>
        <v>1</v>
      </c>
      <c r="O36" s="202" t="s">
        <v>43</v>
      </c>
      <c r="P36" s="37">
        <f t="shared" ref="P36" si="10">(C36+(E36*F36*H36))-N36</f>
        <v>9</v>
      </c>
      <c r="Q36" s="41" t="s">
        <v>43</v>
      </c>
      <c r="R36" s="42">
        <f t="shared" ref="R36" si="11">P36*(J36-(J36*L36)-((J36-(J36*L36))*M36))</f>
        <v>1165320</v>
      </c>
      <c r="S36" s="42">
        <f t="shared" ref="S36" si="12">R36/1.11</f>
        <v>1049837.8378378376</v>
      </c>
    </row>
    <row r="37" spans="1:19" s="45" customFormat="1">
      <c r="A37" s="44" t="s">
        <v>44</v>
      </c>
      <c r="B37" s="45" t="s">
        <v>26</v>
      </c>
      <c r="C37" s="46">
        <v>35</v>
      </c>
      <c r="D37" s="47" t="s">
        <v>43</v>
      </c>
      <c r="E37" s="48"/>
      <c r="F37" s="49">
        <v>1</v>
      </c>
      <c r="G37" s="50" t="s">
        <v>21</v>
      </c>
      <c r="H37" s="49">
        <v>5</v>
      </c>
      <c r="I37" s="50" t="s">
        <v>43</v>
      </c>
      <c r="J37" s="51">
        <f>708000/5</f>
        <v>141600</v>
      </c>
      <c r="K37" s="47" t="s">
        <v>43</v>
      </c>
      <c r="L37" s="52"/>
      <c r="M37" s="52">
        <v>0.17</v>
      </c>
      <c r="N37" s="49">
        <f>(60/12)</f>
        <v>5</v>
      </c>
      <c r="O37" s="169" t="s">
        <v>43</v>
      </c>
      <c r="P37" s="46">
        <f t="shared" si="8"/>
        <v>30</v>
      </c>
      <c r="Q37" s="50" t="s">
        <v>43</v>
      </c>
      <c r="R37" s="51">
        <f t="shared" si="9"/>
        <v>3525840</v>
      </c>
      <c r="S37" s="51">
        <f t="shared" si="2"/>
        <v>3176432.4324324322</v>
      </c>
    </row>
    <row r="38" spans="1:19" s="45" customFormat="1">
      <c r="A38" s="35" t="s">
        <v>45</v>
      </c>
      <c r="B38" s="36" t="s">
        <v>26</v>
      </c>
      <c r="C38" s="37">
        <v>18</v>
      </c>
      <c r="D38" s="38" t="s">
        <v>43</v>
      </c>
      <c r="E38" s="39"/>
      <c r="F38" s="40">
        <v>1</v>
      </c>
      <c r="G38" s="41" t="s">
        <v>21</v>
      </c>
      <c r="H38" s="40">
        <v>5</v>
      </c>
      <c r="I38" s="41" t="s">
        <v>43</v>
      </c>
      <c r="J38" s="42">
        <f>915000/5</f>
        <v>183000</v>
      </c>
      <c r="K38" s="38" t="s">
        <v>43</v>
      </c>
      <c r="L38" s="43"/>
      <c r="M38" s="43">
        <v>0.17</v>
      </c>
      <c r="N38" s="40"/>
      <c r="O38" s="202" t="s">
        <v>43</v>
      </c>
      <c r="P38" s="37">
        <f t="shared" si="8"/>
        <v>18</v>
      </c>
      <c r="Q38" s="41" t="s">
        <v>43</v>
      </c>
      <c r="R38" s="42">
        <f t="shared" si="9"/>
        <v>2734020</v>
      </c>
      <c r="S38" s="42">
        <f t="shared" si="2"/>
        <v>2463081.0810810807</v>
      </c>
    </row>
    <row r="39" spans="1:19" s="45" customFormat="1">
      <c r="A39" s="35" t="s">
        <v>45</v>
      </c>
      <c r="B39" s="36" t="s">
        <v>26</v>
      </c>
      <c r="C39" s="37">
        <v>5</v>
      </c>
      <c r="D39" s="38" t="s">
        <v>43</v>
      </c>
      <c r="E39" s="39"/>
      <c r="F39" s="40">
        <v>1</v>
      </c>
      <c r="G39" s="41" t="s">
        <v>21</v>
      </c>
      <c r="H39" s="40">
        <v>5</v>
      </c>
      <c r="I39" s="41" t="s">
        <v>43</v>
      </c>
      <c r="J39" s="42">
        <f>990000/5</f>
        <v>198000</v>
      </c>
      <c r="K39" s="38" t="s">
        <v>43</v>
      </c>
      <c r="L39" s="43"/>
      <c r="M39" s="43">
        <v>0.17</v>
      </c>
      <c r="N39" s="40"/>
      <c r="O39" s="202" t="s">
        <v>43</v>
      </c>
      <c r="P39" s="37">
        <f t="shared" si="8"/>
        <v>5</v>
      </c>
      <c r="Q39" s="41" t="s">
        <v>43</v>
      </c>
      <c r="R39" s="42">
        <f t="shared" si="9"/>
        <v>821700</v>
      </c>
      <c r="S39" s="42">
        <f t="shared" si="2"/>
        <v>740270.27027027018</v>
      </c>
    </row>
    <row r="40" spans="1:19" s="45" customFormat="1">
      <c r="A40" s="249" t="s">
        <v>46</v>
      </c>
      <c r="B40" s="250" t="s">
        <v>26</v>
      </c>
      <c r="C40" s="251">
        <v>10</v>
      </c>
      <c r="D40" s="252" t="s">
        <v>43</v>
      </c>
      <c r="E40" s="262"/>
      <c r="F40" s="263">
        <v>1</v>
      </c>
      <c r="G40" s="264" t="s">
        <v>21</v>
      </c>
      <c r="H40" s="263">
        <v>5</v>
      </c>
      <c r="I40" s="264" t="s">
        <v>43</v>
      </c>
      <c r="J40" s="265">
        <f>900000/5</f>
        <v>180000</v>
      </c>
      <c r="K40" s="252" t="s">
        <v>43</v>
      </c>
      <c r="L40" s="266"/>
      <c r="M40" s="266">
        <v>0.17</v>
      </c>
      <c r="N40" s="263"/>
      <c r="O40" s="267" t="s">
        <v>43</v>
      </c>
      <c r="P40" s="251">
        <f t="shared" si="8"/>
        <v>10</v>
      </c>
      <c r="Q40" s="264" t="s">
        <v>43</v>
      </c>
      <c r="R40" s="265">
        <f t="shared" si="9"/>
        <v>1494000</v>
      </c>
      <c r="S40" s="265">
        <f t="shared" si="2"/>
        <v>1345945.9459459458</v>
      </c>
    </row>
    <row r="41" spans="1:19" s="45" customFormat="1">
      <c r="A41" s="249" t="s">
        <v>46</v>
      </c>
      <c r="B41" s="250" t="s">
        <v>26</v>
      </c>
      <c r="C41" s="251">
        <v>5</v>
      </c>
      <c r="D41" s="252" t="s">
        <v>43</v>
      </c>
      <c r="E41" s="262"/>
      <c r="F41" s="263">
        <v>1</v>
      </c>
      <c r="G41" s="264" t="s">
        <v>21</v>
      </c>
      <c r="H41" s="263">
        <v>5</v>
      </c>
      <c r="I41" s="264" t="s">
        <v>43</v>
      </c>
      <c r="J41" s="265">
        <f>975000/5</f>
        <v>195000</v>
      </c>
      <c r="K41" s="252" t="s">
        <v>43</v>
      </c>
      <c r="L41" s="266"/>
      <c r="M41" s="266">
        <v>0.17</v>
      </c>
      <c r="N41" s="263"/>
      <c r="O41" s="267" t="s">
        <v>43</v>
      </c>
      <c r="P41" s="251">
        <f t="shared" si="8"/>
        <v>5</v>
      </c>
      <c r="Q41" s="264" t="s">
        <v>43</v>
      </c>
      <c r="R41" s="265">
        <f t="shared" si="9"/>
        <v>809250</v>
      </c>
      <c r="S41" s="265">
        <f t="shared" si="2"/>
        <v>729054.05405405397</v>
      </c>
    </row>
    <row r="42" spans="1:19" s="45" customFormat="1">
      <c r="A42" s="44"/>
      <c r="C42" s="46"/>
      <c r="D42" s="47"/>
      <c r="E42" s="48"/>
      <c r="F42" s="49"/>
      <c r="G42" s="50"/>
      <c r="H42" s="49"/>
      <c r="I42" s="50"/>
      <c r="J42" s="51"/>
      <c r="K42" s="47"/>
      <c r="L42" s="52"/>
      <c r="M42" s="52"/>
      <c r="N42" s="49"/>
      <c r="O42" s="169"/>
      <c r="P42" s="46"/>
      <c r="Q42" s="50"/>
      <c r="R42" s="51"/>
      <c r="S42" s="51"/>
    </row>
    <row r="43" spans="1:19">
      <c r="A43" s="15" t="s">
        <v>776</v>
      </c>
      <c r="S43" s="23"/>
    </row>
    <row r="44" spans="1:19" s="26" customFormat="1">
      <c r="A44" s="44" t="s">
        <v>868</v>
      </c>
      <c r="B44" s="26" t="s">
        <v>779</v>
      </c>
      <c r="C44" s="27"/>
      <c r="D44" s="28" t="s">
        <v>20</v>
      </c>
      <c r="E44" s="29">
        <v>6</v>
      </c>
      <c r="F44" s="30">
        <v>1</v>
      </c>
      <c r="G44" s="31" t="s">
        <v>21</v>
      </c>
      <c r="H44" s="30">
        <v>50</v>
      </c>
      <c r="I44" s="31" t="s">
        <v>20</v>
      </c>
      <c r="J44" s="32">
        <v>12870</v>
      </c>
      <c r="K44" s="28" t="s">
        <v>20</v>
      </c>
      <c r="L44" s="33"/>
      <c r="M44" s="33"/>
      <c r="N44" s="30">
        <f>10+50</f>
        <v>60</v>
      </c>
      <c r="O44" s="31" t="s">
        <v>20</v>
      </c>
      <c r="P44" s="27">
        <f t="shared" ref="P44" si="13">(C44+(E44*F44*H44))-N44</f>
        <v>240</v>
      </c>
      <c r="Q44" s="31" t="s">
        <v>20</v>
      </c>
      <c r="R44" s="32">
        <f t="shared" ref="R44" si="14">P44*(J44-(J44*L44)-((J44-(J44*L44))*M44))</f>
        <v>3088800</v>
      </c>
      <c r="S44" s="32">
        <f t="shared" ref="S44" si="15">R44/1.11</f>
        <v>2782702.7027027025</v>
      </c>
    </row>
    <row r="45" spans="1:19" s="17" customFormat="1">
      <c r="A45" s="72" t="s">
        <v>777</v>
      </c>
      <c r="B45" s="17" t="s">
        <v>779</v>
      </c>
      <c r="C45" s="18"/>
      <c r="D45" s="19" t="s">
        <v>20</v>
      </c>
      <c r="E45" s="20"/>
      <c r="F45" s="21">
        <v>1</v>
      </c>
      <c r="G45" s="22" t="s">
        <v>21</v>
      </c>
      <c r="H45" s="21">
        <v>50</v>
      </c>
      <c r="I45" s="22" t="s">
        <v>20</v>
      </c>
      <c r="J45" s="23">
        <v>12870</v>
      </c>
      <c r="K45" s="19" t="s">
        <v>20</v>
      </c>
      <c r="L45" s="24"/>
      <c r="M45" s="24"/>
      <c r="N45" s="21"/>
      <c r="O45" s="22" t="s">
        <v>20</v>
      </c>
      <c r="P45" s="18">
        <f t="shared" ref="P45:P46" si="16">(C45+(E45*F45*H45))-N45</f>
        <v>0</v>
      </c>
      <c r="Q45" s="22" t="s">
        <v>20</v>
      </c>
      <c r="R45" s="23">
        <f t="shared" ref="R45:R46" si="17">P45*(J45-(J45*L45)-((J45-(J45*L45))*M45))</f>
        <v>0</v>
      </c>
      <c r="S45" s="23">
        <f t="shared" ref="S45:S46" si="18">R45/1.11</f>
        <v>0</v>
      </c>
    </row>
    <row r="46" spans="1:19" s="26" customFormat="1">
      <c r="A46" s="44" t="s">
        <v>778</v>
      </c>
      <c r="B46" s="26" t="s">
        <v>779</v>
      </c>
      <c r="C46" s="27">
        <v>20</v>
      </c>
      <c r="D46" s="28" t="s">
        <v>20</v>
      </c>
      <c r="E46" s="29"/>
      <c r="F46" s="30">
        <v>1</v>
      </c>
      <c r="G46" s="31" t="s">
        <v>21</v>
      </c>
      <c r="H46" s="30">
        <v>50</v>
      </c>
      <c r="I46" s="31" t="s">
        <v>20</v>
      </c>
      <c r="J46" s="32">
        <v>12870</v>
      </c>
      <c r="K46" s="28" t="s">
        <v>20</v>
      </c>
      <c r="L46" s="33"/>
      <c r="M46" s="33"/>
      <c r="N46" s="30"/>
      <c r="O46" s="31" t="s">
        <v>20</v>
      </c>
      <c r="P46" s="27">
        <f t="shared" si="16"/>
        <v>20</v>
      </c>
      <c r="Q46" s="31" t="s">
        <v>20</v>
      </c>
      <c r="R46" s="32">
        <f t="shared" si="17"/>
        <v>257400</v>
      </c>
      <c r="S46" s="32">
        <f t="shared" si="18"/>
        <v>231891.89189189186</v>
      </c>
    </row>
    <row r="47" spans="1:19">
      <c r="S47" s="23"/>
    </row>
    <row r="48" spans="1:19" ht="15.75">
      <c r="A48" s="14" t="s">
        <v>47</v>
      </c>
      <c r="S48" s="23"/>
    </row>
    <row r="49" spans="1:19" s="17" customFormat="1">
      <c r="A49" s="16" t="s">
        <v>48</v>
      </c>
      <c r="B49" s="17" t="s">
        <v>49</v>
      </c>
      <c r="C49" s="18"/>
      <c r="D49" s="19" t="s">
        <v>20</v>
      </c>
      <c r="E49" s="20"/>
      <c r="F49" s="21">
        <v>2</v>
      </c>
      <c r="G49" s="22" t="s">
        <v>34</v>
      </c>
      <c r="H49" s="21">
        <v>20</v>
      </c>
      <c r="I49" s="22" t="s">
        <v>20</v>
      </c>
      <c r="J49" s="23">
        <v>64000</v>
      </c>
      <c r="K49" s="19" t="s">
        <v>20</v>
      </c>
      <c r="L49" s="24">
        <v>0.125</v>
      </c>
      <c r="M49" s="24">
        <v>0.05</v>
      </c>
      <c r="N49" s="21"/>
      <c r="O49" s="22" t="s">
        <v>20</v>
      </c>
      <c r="P49" s="18">
        <f t="shared" ref="P49:P74" si="19">(C49+(E49*F49*H49))-N49</f>
        <v>0</v>
      </c>
      <c r="Q49" s="22" t="s">
        <v>20</v>
      </c>
      <c r="R49" s="23">
        <f t="shared" ref="R49:R74" si="20">P49*(J49-(J49*L49)-((J49-(J49*L49))*M49))</f>
        <v>0</v>
      </c>
      <c r="S49" s="23">
        <f t="shared" si="2"/>
        <v>0</v>
      </c>
    </row>
    <row r="50" spans="1:19" s="45" customFormat="1">
      <c r="A50" s="44" t="s">
        <v>50</v>
      </c>
      <c r="B50" s="45" t="s">
        <v>49</v>
      </c>
      <c r="C50" s="46">
        <v>9</v>
      </c>
      <c r="D50" s="47" t="s">
        <v>20</v>
      </c>
      <c r="E50" s="48"/>
      <c r="F50" s="49">
        <v>6</v>
      </c>
      <c r="G50" s="50" t="s">
        <v>34</v>
      </c>
      <c r="H50" s="49">
        <v>20</v>
      </c>
      <c r="I50" s="50" t="s">
        <v>20</v>
      </c>
      <c r="J50" s="51">
        <v>47000</v>
      </c>
      <c r="K50" s="47" t="s">
        <v>20</v>
      </c>
      <c r="L50" s="52">
        <v>0.125</v>
      </c>
      <c r="M50" s="52">
        <v>0.05</v>
      </c>
      <c r="N50" s="49"/>
      <c r="O50" s="50" t="s">
        <v>20</v>
      </c>
      <c r="P50" s="46">
        <f t="shared" si="19"/>
        <v>9</v>
      </c>
      <c r="Q50" s="50" t="s">
        <v>20</v>
      </c>
      <c r="R50" s="51">
        <f t="shared" si="20"/>
        <v>351618.75</v>
      </c>
      <c r="S50" s="51">
        <f t="shared" si="2"/>
        <v>316773.64864864864</v>
      </c>
    </row>
    <row r="51" spans="1:19" s="26" customFormat="1">
      <c r="A51" s="25" t="s">
        <v>51</v>
      </c>
      <c r="B51" s="26" t="s">
        <v>49</v>
      </c>
      <c r="C51" s="27"/>
      <c r="D51" s="28" t="s">
        <v>20</v>
      </c>
      <c r="E51" s="29">
        <v>1</v>
      </c>
      <c r="F51" s="30">
        <v>6</v>
      </c>
      <c r="G51" s="31" t="s">
        <v>34</v>
      </c>
      <c r="H51" s="30">
        <v>20</v>
      </c>
      <c r="I51" s="31" t="s">
        <v>20</v>
      </c>
      <c r="J51" s="32">
        <v>47000</v>
      </c>
      <c r="K51" s="28" t="s">
        <v>20</v>
      </c>
      <c r="L51" s="33">
        <v>0.125</v>
      </c>
      <c r="M51" s="33">
        <v>0.05</v>
      </c>
      <c r="N51" s="30"/>
      <c r="O51" s="31" t="s">
        <v>20</v>
      </c>
      <c r="P51" s="27">
        <f t="shared" si="19"/>
        <v>120</v>
      </c>
      <c r="Q51" s="31" t="s">
        <v>20</v>
      </c>
      <c r="R51" s="32">
        <f t="shared" si="20"/>
        <v>4688250</v>
      </c>
      <c r="S51" s="32">
        <f t="shared" si="2"/>
        <v>4223648.6486486485</v>
      </c>
    </row>
    <row r="52" spans="1:19" s="17" customFormat="1">
      <c r="A52" s="16" t="s">
        <v>52</v>
      </c>
      <c r="B52" s="17" t="s">
        <v>49</v>
      </c>
      <c r="C52" s="18"/>
      <c r="D52" s="19" t="s">
        <v>20</v>
      </c>
      <c r="E52" s="20"/>
      <c r="F52" s="21">
        <v>6</v>
      </c>
      <c r="G52" s="22" t="s">
        <v>34</v>
      </c>
      <c r="H52" s="21">
        <v>20</v>
      </c>
      <c r="I52" s="22" t="s">
        <v>20</v>
      </c>
      <c r="J52" s="23">
        <v>48000</v>
      </c>
      <c r="K52" s="19" t="s">
        <v>20</v>
      </c>
      <c r="L52" s="24">
        <v>0.125</v>
      </c>
      <c r="M52" s="24">
        <v>0.05</v>
      </c>
      <c r="N52" s="21"/>
      <c r="O52" s="22" t="s">
        <v>20</v>
      </c>
      <c r="P52" s="18">
        <f t="shared" si="19"/>
        <v>0</v>
      </c>
      <c r="Q52" s="22" t="s">
        <v>20</v>
      </c>
      <c r="R52" s="23">
        <f t="shared" si="20"/>
        <v>0</v>
      </c>
      <c r="S52" s="23">
        <f t="shared" si="2"/>
        <v>0</v>
      </c>
    </row>
    <row r="53" spans="1:19" s="17" customFormat="1">
      <c r="A53" s="16" t="s">
        <v>53</v>
      </c>
      <c r="B53" s="17" t="s">
        <v>49</v>
      </c>
      <c r="C53" s="18"/>
      <c r="D53" s="19" t="s">
        <v>20</v>
      </c>
      <c r="E53" s="20"/>
      <c r="F53" s="21">
        <v>4</v>
      </c>
      <c r="G53" s="22" t="s">
        <v>34</v>
      </c>
      <c r="H53" s="21">
        <v>20</v>
      </c>
      <c r="I53" s="22" t="s">
        <v>20</v>
      </c>
      <c r="J53" s="23">
        <v>49000</v>
      </c>
      <c r="K53" s="19" t="s">
        <v>20</v>
      </c>
      <c r="L53" s="24">
        <v>0.125</v>
      </c>
      <c r="M53" s="24">
        <v>0.05</v>
      </c>
      <c r="N53" s="21"/>
      <c r="O53" s="22" t="s">
        <v>20</v>
      </c>
      <c r="P53" s="18">
        <f t="shared" si="19"/>
        <v>0</v>
      </c>
      <c r="Q53" s="22" t="s">
        <v>20</v>
      </c>
      <c r="R53" s="23">
        <f t="shared" si="20"/>
        <v>0</v>
      </c>
      <c r="S53" s="23">
        <f t="shared" si="2"/>
        <v>0</v>
      </c>
    </row>
    <row r="54" spans="1:19" s="45" customFormat="1">
      <c r="A54" s="44" t="s">
        <v>54</v>
      </c>
      <c r="B54" s="45" t="s">
        <v>49</v>
      </c>
      <c r="C54" s="46">
        <v>74</v>
      </c>
      <c r="D54" s="47" t="s">
        <v>20</v>
      </c>
      <c r="E54" s="48">
        <v>1</v>
      </c>
      <c r="F54" s="49">
        <v>6</v>
      </c>
      <c r="G54" s="50" t="s">
        <v>34</v>
      </c>
      <c r="H54" s="49">
        <v>20</v>
      </c>
      <c r="I54" s="50" t="s">
        <v>20</v>
      </c>
      <c r="J54" s="51">
        <v>47000</v>
      </c>
      <c r="K54" s="47" t="s">
        <v>20</v>
      </c>
      <c r="L54" s="52">
        <v>0.125</v>
      </c>
      <c r="M54" s="52">
        <v>0.05</v>
      </c>
      <c r="N54" s="49">
        <v>120</v>
      </c>
      <c r="O54" s="50" t="s">
        <v>20</v>
      </c>
      <c r="P54" s="46">
        <f t="shared" si="19"/>
        <v>74</v>
      </c>
      <c r="Q54" s="50" t="s">
        <v>20</v>
      </c>
      <c r="R54" s="51">
        <f t="shared" si="20"/>
        <v>2891087.5</v>
      </c>
      <c r="S54" s="51">
        <f t="shared" si="2"/>
        <v>2604583.333333333</v>
      </c>
    </row>
    <row r="55" spans="1:19" s="17" customFormat="1">
      <c r="A55" s="16" t="s">
        <v>55</v>
      </c>
      <c r="B55" s="17" t="s">
        <v>49</v>
      </c>
      <c r="C55" s="18"/>
      <c r="D55" s="19" t="s">
        <v>20</v>
      </c>
      <c r="E55" s="20"/>
      <c r="F55" s="21">
        <v>4</v>
      </c>
      <c r="G55" s="22" t="s">
        <v>34</v>
      </c>
      <c r="H55" s="21">
        <v>40</v>
      </c>
      <c r="I55" s="22" t="s">
        <v>20</v>
      </c>
      <c r="J55" s="23">
        <v>37000</v>
      </c>
      <c r="K55" s="19" t="s">
        <v>20</v>
      </c>
      <c r="L55" s="24">
        <v>0.125</v>
      </c>
      <c r="M55" s="24">
        <v>0.05</v>
      </c>
      <c r="N55" s="21"/>
      <c r="O55" s="22" t="s">
        <v>20</v>
      </c>
      <c r="P55" s="18">
        <f t="shared" si="19"/>
        <v>0</v>
      </c>
      <c r="Q55" s="22" t="s">
        <v>20</v>
      </c>
      <c r="R55" s="23">
        <f t="shared" si="20"/>
        <v>0</v>
      </c>
      <c r="S55" s="23">
        <f t="shared" si="2"/>
        <v>0</v>
      </c>
    </row>
    <row r="56" spans="1:19" s="26" customFormat="1">
      <c r="A56" s="25" t="s">
        <v>56</v>
      </c>
      <c r="B56" s="26" t="s">
        <v>49</v>
      </c>
      <c r="C56" s="27">
        <v>7</v>
      </c>
      <c r="D56" s="28" t="s">
        <v>20</v>
      </c>
      <c r="E56" s="29"/>
      <c r="F56" s="30">
        <v>4</v>
      </c>
      <c r="G56" s="31" t="s">
        <v>34</v>
      </c>
      <c r="H56" s="30">
        <v>20</v>
      </c>
      <c r="I56" s="31" t="s">
        <v>20</v>
      </c>
      <c r="J56" s="32">
        <v>49000</v>
      </c>
      <c r="K56" s="28" t="s">
        <v>20</v>
      </c>
      <c r="L56" s="33">
        <v>0.125</v>
      </c>
      <c r="M56" s="33">
        <v>0.1</v>
      </c>
      <c r="N56" s="30"/>
      <c r="O56" s="31" t="s">
        <v>20</v>
      </c>
      <c r="P56" s="27">
        <f t="shared" si="19"/>
        <v>7</v>
      </c>
      <c r="Q56" s="31" t="s">
        <v>20</v>
      </c>
      <c r="R56" s="32">
        <f t="shared" si="20"/>
        <v>270112.5</v>
      </c>
      <c r="S56" s="32">
        <f t="shared" si="2"/>
        <v>243344.59459459459</v>
      </c>
    </row>
    <row r="57" spans="1:19" s="45" customFormat="1">
      <c r="A57" s="44" t="s">
        <v>57</v>
      </c>
      <c r="B57" s="45" t="s">
        <v>49</v>
      </c>
      <c r="C57" s="46">
        <v>15</v>
      </c>
      <c r="D57" s="47" t="s">
        <v>20</v>
      </c>
      <c r="E57" s="48"/>
      <c r="F57" s="49">
        <v>4</v>
      </c>
      <c r="G57" s="50" t="s">
        <v>34</v>
      </c>
      <c r="H57" s="49">
        <v>20</v>
      </c>
      <c r="I57" s="50" t="s">
        <v>20</v>
      </c>
      <c r="J57" s="51">
        <v>66000</v>
      </c>
      <c r="K57" s="47" t="s">
        <v>20</v>
      </c>
      <c r="L57" s="52">
        <v>0.125</v>
      </c>
      <c r="M57" s="52">
        <v>0.05</v>
      </c>
      <c r="N57" s="49"/>
      <c r="O57" s="50" t="s">
        <v>20</v>
      </c>
      <c r="P57" s="46">
        <f t="shared" si="19"/>
        <v>15</v>
      </c>
      <c r="Q57" s="50" t="s">
        <v>20</v>
      </c>
      <c r="R57" s="51">
        <f t="shared" si="20"/>
        <v>822937.5</v>
      </c>
      <c r="S57" s="51">
        <f t="shared" si="2"/>
        <v>741385.13513513503</v>
      </c>
    </row>
    <row r="58" spans="1:19" s="17" customFormat="1">
      <c r="A58" s="16" t="s">
        <v>58</v>
      </c>
      <c r="B58" s="17" t="s">
        <v>49</v>
      </c>
      <c r="C58" s="18"/>
      <c r="D58" s="19" t="s">
        <v>20</v>
      </c>
      <c r="E58" s="20"/>
      <c r="F58" s="21">
        <v>6</v>
      </c>
      <c r="G58" s="22" t="s">
        <v>34</v>
      </c>
      <c r="H58" s="21">
        <v>10</v>
      </c>
      <c r="I58" s="22" t="s">
        <v>20</v>
      </c>
      <c r="J58" s="23">
        <v>73000</v>
      </c>
      <c r="K58" s="19" t="s">
        <v>20</v>
      </c>
      <c r="L58" s="24">
        <v>0.125</v>
      </c>
      <c r="M58" s="24">
        <v>0.05</v>
      </c>
      <c r="N58" s="21"/>
      <c r="O58" s="22" t="s">
        <v>20</v>
      </c>
      <c r="P58" s="18">
        <f t="shared" si="19"/>
        <v>0</v>
      </c>
      <c r="Q58" s="22" t="s">
        <v>20</v>
      </c>
      <c r="R58" s="23">
        <f t="shared" si="20"/>
        <v>0</v>
      </c>
      <c r="S58" s="23">
        <f t="shared" si="2"/>
        <v>0</v>
      </c>
    </row>
    <row r="59" spans="1:19" s="17" customFormat="1">
      <c r="A59" s="16" t="s">
        <v>59</v>
      </c>
      <c r="B59" s="17" t="s">
        <v>49</v>
      </c>
      <c r="C59" s="18"/>
      <c r="D59" s="19" t="s">
        <v>20</v>
      </c>
      <c r="E59" s="20"/>
      <c r="F59" s="21">
        <v>8</v>
      </c>
      <c r="G59" s="22" t="s">
        <v>34</v>
      </c>
      <c r="H59" s="21">
        <v>10</v>
      </c>
      <c r="I59" s="22" t="s">
        <v>20</v>
      </c>
      <c r="J59" s="23">
        <v>56000</v>
      </c>
      <c r="K59" s="19" t="s">
        <v>20</v>
      </c>
      <c r="L59" s="24">
        <v>0.125</v>
      </c>
      <c r="M59" s="24">
        <v>0.05</v>
      </c>
      <c r="N59" s="21"/>
      <c r="O59" s="22" t="s">
        <v>20</v>
      </c>
      <c r="P59" s="18">
        <f t="shared" si="19"/>
        <v>0</v>
      </c>
      <c r="Q59" s="22" t="s">
        <v>20</v>
      </c>
      <c r="R59" s="23">
        <f t="shared" si="20"/>
        <v>0</v>
      </c>
      <c r="S59" s="23">
        <f t="shared" si="2"/>
        <v>0</v>
      </c>
    </row>
    <row r="60" spans="1:19" s="26" customFormat="1">
      <c r="A60" s="25" t="s">
        <v>60</v>
      </c>
      <c r="B60" s="26" t="s">
        <v>49</v>
      </c>
      <c r="C60" s="27"/>
      <c r="D60" s="28" t="s">
        <v>20</v>
      </c>
      <c r="E60" s="29">
        <v>1</v>
      </c>
      <c r="F60" s="30">
        <v>6</v>
      </c>
      <c r="G60" s="31" t="s">
        <v>34</v>
      </c>
      <c r="H60" s="30">
        <v>20</v>
      </c>
      <c r="I60" s="31" t="s">
        <v>20</v>
      </c>
      <c r="J60" s="32">
        <v>47000</v>
      </c>
      <c r="K60" s="28" t="s">
        <v>20</v>
      </c>
      <c r="L60" s="33">
        <v>0.125</v>
      </c>
      <c r="M60" s="33">
        <v>0.05</v>
      </c>
      <c r="N60" s="30"/>
      <c r="O60" s="31" t="s">
        <v>20</v>
      </c>
      <c r="P60" s="27">
        <f t="shared" si="19"/>
        <v>120</v>
      </c>
      <c r="Q60" s="31" t="s">
        <v>20</v>
      </c>
      <c r="R60" s="32">
        <f t="shared" si="20"/>
        <v>4688250</v>
      </c>
      <c r="S60" s="32">
        <f t="shared" si="2"/>
        <v>4223648.6486486485</v>
      </c>
    </row>
    <row r="61" spans="1:19" s="26" customFormat="1">
      <c r="A61" s="25" t="s">
        <v>61</v>
      </c>
      <c r="B61" s="26" t="s">
        <v>49</v>
      </c>
      <c r="C61" s="27"/>
      <c r="D61" s="28" t="s">
        <v>20</v>
      </c>
      <c r="E61" s="29">
        <v>1</v>
      </c>
      <c r="F61" s="30">
        <v>8</v>
      </c>
      <c r="G61" s="31" t="s">
        <v>34</v>
      </c>
      <c r="H61" s="30">
        <v>20</v>
      </c>
      <c r="I61" s="31" t="s">
        <v>20</v>
      </c>
      <c r="J61" s="32">
        <v>32000</v>
      </c>
      <c r="K61" s="28" t="s">
        <v>20</v>
      </c>
      <c r="L61" s="33">
        <v>0.125</v>
      </c>
      <c r="M61" s="33">
        <v>0.1</v>
      </c>
      <c r="N61" s="30"/>
      <c r="O61" s="31" t="s">
        <v>20</v>
      </c>
      <c r="P61" s="27">
        <f t="shared" si="19"/>
        <v>160</v>
      </c>
      <c r="Q61" s="31" t="s">
        <v>20</v>
      </c>
      <c r="R61" s="32">
        <f t="shared" si="20"/>
        <v>4032000</v>
      </c>
      <c r="S61" s="32">
        <f t="shared" si="2"/>
        <v>3632432.4324324322</v>
      </c>
    </row>
    <row r="62" spans="1:19" s="17" customFormat="1">
      <c r="A62" s="16" t="s">
        <v>62</v>
      </c>
      <c r="B62" s="17" t="s">
        <v>49</v>
      </c>
      <c r="C62" s="18"/>
      <c r="D62" s="19" t="s">
        <v>20</v>
      </c>
      <c r="E62" s="20"/>
      <c r="F62" s="21">
        <v>8</v>
      </c>
      <c r="G62" s="22" t="s">
        <v>34</v>
      </c>
      <c r="H62" s="21">
        <v>20</v>
      </c>
      <c r="I62" s="22" t="s">
        <v>20</v>
      </c>
      <c r="J62" s="23">
        <v>27500</v>
      </c>
      <c r="K62" s="19" t="s">
        <v>20</v>
      </c>
      <c r="L62" s="24">
        <v>0.125</v>
      </c>
      <c r="M62" s="24">
        <v>0.1</v>
      </c>
      <c r="N62" s="21"/>
      <c r="O62" s="22" t="s">
        <v>20</v>
      </c>
      <c r="P62" s="18">
        <f t="shared" si="19"/>
        <v>0</v>
      </c>
      <c r="Q62" s="22" t="s">
        <v>20</v>
      </c>
      <c r="R62" s="23">
        <f t="shared" si="20"/>
        <v>0</v>
      </c>
      <c r="S62" s="23">
        <f t="shared" si="2"/>
        <v>0</v>
      </c>
    </row>
    <row r="63" spans="1:19" s="45" customFormat="1">
      <c r="A63" s="44" t="s">
        <v>63</v>
      </c>
      <c r="B63" s="45" t="s">
        <v>49</v>
      </c>
      <c r="C63" s="46">
        <v>13</v>
      </c>
      <c r="D63" s="47" t="s">
        <v>20</v>
      </c>
      <c r="E63" s="48"/>
      <c r="F63" s="49">
        <v>4</v>
      </c>
      <c r="G63" s="50" t="s">
        <v>34</v>
      </c>
      <c r="H63" s="49">
        <v>20</v>
      </c>
      <c r="I63" s="50" t="s">
        <v>20</v>
      </c>
      <c r="J63" s="51">
        <v>54000</v>
      </c>
      <c r="K63" s="47" t="s">
        <v>20</v>
      </c>
      <c r="L63" s="52">
        <v>0.125</v>
      </c>
      <c r="M63" s="52">
        <v>0.05</v>
      </c>
      <c r="N63" s="49"/>
      <c r="O63" s="50" t="s">
        <v>20</v>
      </c>
      <c r="P63" s="46">
        <f t="shared" si="19"/>
        <v>13</v>
      </c>
      <c r="Q63" s="50" t="s">
        <v>20</v>
      </c>
      <c r="R63" s="51">
        <f t="shared" si="20"/>
        <v>583537.5</v>
      </c>
      <c r="S63" s="51">
        <f t="shared" si="2"/>
        <v>525709.45945945941</v>
      </c>
    </row>
    <row r="64" spans="1:19" s="45" customFormat="1">
      <c r="A64" s="44" t="s">
        <v>64</v>
      </c>
      <c r="B64" s="45" t="s">
        <v>49</v>
      </c>
      <c r="C64" s="46">
        <v>35</v>
      </c>
      <c r="D64" s="47" t="s">
        <v>20</v>
      </c>
      <c r="E64" s="48"/>
      <c r="F64" s="49">
        <v>6</v>
      </c>
      <c r="G64" s="50" t="s">
        <v>34</v>
      </c>
      <c r="H64" s="49">
        <v>10</v>
      </c>
      <c r="I64" s="50" t="s">
        <v>20</v>
      </c>
      <c r="J64" s="51">
        <v>72000</v>
      </c>
      <c r="K64" s="47" t="s">
        <v>20</v>
      </c>
      <c r="L64" s="52">
        <v>0.125</v>
      </c>
      <c r="M64" s="52">
        <v>0.05</v>
      </c>
      <c r="N64" s="49"/>
      <c r="O64" s="50" t="s">
        <v>20</v>
      </c>
      <c r="P64" s="46">
        <f>(C64+(E64*F64*H64))-N64</f>
        <v>35</v>
      </c>
      <c r="Q64" s="50" t="s">
        <v>20</v>
      </c>
      <c r="R64" s="51">
        <f>P64*(J64-(J64*L64)-((J64-(J64*L64))*M64))</f>
        <v>2094750</v>
      </c>
      <c r="S64" s="51">
        <f t="shared" si="2"/>
        <v>1887162.1621621619</v>
      </c>
    </row>
    <row r="65" spans="1:19" s="45" customFormat="1">
      <c r="A65" s="44" t="s">
        <v>65</v>
      </c>
      <c r="B65" s="45" t="s">
        <v>49</v>
      </c>
      <c r="C65" s="46">
        <v>39</v>
      </c>
      <c r="D65" s="47" t="s">
        <v>20</v>
      </c>
      <c r="E65" s="48"/>
      <c r="F65" s="49">
        <v>6</v>
      </c>
      <c r="G65" s="50" t="s">
        <v>34</v>
      </c>
      <c r="H65" s="49">
        <v>20</v>
      </c>
      <c r="I65" s="50" t="s">
        <v>20</v>
      </c>
      <c r="J65" s="51">
        <v>52000</v>
      </c>
      <c r="K65" s="47" t="s">
        <v>20</v>
      </c>
      <c r="L65" s="52">
        <v>0.125</v>
      </c>
      <c r="M65" s="52">
        <v>0.1</v>
      </c>
      <c r="N65" s="49"/>
      <c r="O65" s="50" t="s">
        <v>20</v>
      </c>
      <c r="P65" s="46">
        <f t="shared" si="19"/>
        <v>39</v>
      </c>
      <c r="Q65" s="50" t="s">
        <v>20</v>
      </c>
      <c r="R65" s="51">
        <f t="shared" si="20"/>
        <v>1597050</v>
      </c>
      <c r="S65" s="51">
        <f t="shared" si="2"/>
        <v>1438783.7837837837</v>
      </c>
    </row>
    <row r="66" spans="1:19" s="45" customFormat="1">
      <c r="A66" s="44" t="s">
        <v>66</v>
      </c>
      <c r="B66" s="45" t="s">
        <v>49</v>
      </c>
      <c r="C66" s="46">
        <v>36</v>
      </c>
      <c r="D66" s="47" t="s">
        <v>20</v>
      </c>
      <c r="E66" s="48">
        <v>1</v>
      </c>
      <c r="F66" s="49">
        <v>6</v>
      </c>
      <c r="G66" s="50" t="s">
        <v>34</v>
      </c>
      <c r="H66" s="49">
        <v>20</v>
      </c>
      <c r="I66" s="50" t="s">
        <v>20</v>
      </c>
      <c r="J66" s="51">
        <v>32500</v>
      </c>
      <c r="K66" s="47" t="s">
        <v>20</v>
      </c>
      <c r="L66" s="52">
        <v>0.125</v>
      </c>
      <c r="M66" s="52">
        <v>0.05</v>
      </c>
      <c r="N66" s="49"/>
      <c r="O66" s="50" t="s">
        <v>20</v>
      </c>
      <c r="P66" s="46">
        <f t="shared" si="19"/>
        <v>156</v>
      </c>
      <c r="Q66" s="50" t="s">
        <v>20</v>
      </c>
      <c r="R66" s="51">
        <f t="shared" si="20"/>
        <v>4214437.5</v>
      </c>
      <c r="S66" s="51">
        <f t="shared" si="2"/>
        <v>3796790.5405405401</v>
      </c>
    </row>
    <row r="67" spans="1:19" s="17" customFormat="1">
      <c r="A67" s="16" t="s">
        <v>67</v>
      </c>
      <c r="B67" s="17" t="s">
        <v>49</v>
      </c>
      <c r="C67" s="18"/>
      <c r="D67" s="19" t="s">
        <v>20</v>
      </c>
      <c r="E67" s="20"/>
      <c r="F67" s="21">
        <v>6</v>
      </c>
      <c r="G67" s="22" t="s">
        <v>34</v>
      </c>
      <c r="H67" s="21">
        <v>10</v>
      </c>
      <c r="I67" s="22" t="s">
        <v>20</v>
      </c>
      <c r="J67" s="23">
        <v>65000</v>
      </c>
      <c r="K67" s="19" t="s">
        <v>20</v>
      </c>
      <c r="L67" s="24">
        <v>0.125</v>
      </c>
      <c r="M67" s="24">
        <v>0.05</v>
      </c>
      <c r="N67" s="21"/>
      <c r="O67" s="22" t="s">
        <v>20</v>
      </c>
      <c r="P67" s="18">
        <f t="shared" si="19"/>
        <v>0</v>
      </c>
      <c r="Q67" s="22" t="s">
        <v>20</v>
      </c>
      <c r="R67" s="23">
        <f t="shared" si="20"/>
        <v>0</v>
      </c>
      <c r="S67" s="23">
        <f t="shared" si="2"/>
        <v>0</v>
      </c>
    </row>
    <row r="68" spans="1:19" s="45" customFormat="1">
      <c r="A68" s="44" t="s">
        <v>68</v>
      </c>
      <c r="B68" s="45" t="s">
        <v>49</v>
      </c>
      <c r="C68" s="46">
        <v>3</v>
      </c>
      <c r="D68" s="47" t="s">
        <v>20</v>
      </c>
      <c r="E68" s="48"/>
      <c r="F68" s="49">
        <v>6</v>
      </c>
      <c r="G68" s="50" t="s">
        <v>34</v>
      </c>
      <c r="H68" s="49">
        <v>10</v>
      </c>
      <c r="I68" s="50" t="s">
        <v>20</v>
      </c>
      <c r="J68" s="51">
        <v>71000</v>
      </c>
      <c r="K68" s="47" t="s">
        <v>20</v>
      </c>
      <c r="L68" s="52">
        <v>0.125</v>
      </c>
      <c r="M68" s="52">
        <v>0.05</v>
      </c>
      <c r="N68" s="49"/>
      <c r="O68" s="50" t="s">
        <v>20</v>
      </c>
      <c r="P68" s="46">
        <f t="shared" si="19"/>
        <v>3</v>
      </c>
      <c r="Q68" s="50" t="s">
        <v>20</v>
      </c>
      <c r="R68" s="51">
        <f t="shared" si="20"/>
        <v>177056.25</v>
      </c>
      <c r="S68" s="51">
        <f t="shared" si="2"/>
        <v>159510.13513513512</v>
      </c>
    </row>
    <row r="69" spans="1:19" s="45" customFormat="1">
      <c r="A69" s="44" t="s">
        <v>69</v>
      </c>
      <c r="B69" s="45" t="s">
        <v>49</v>
      </c>
      <c r="C69" s="46">
        <v>41</v>
      </c>
      <c r="D69" s="47" t="s">
        <v>20</v>
      </c>
      <c r="E69" s="48">
        <v>1</v>
      </c>
      <c r="F69" s="49">
        <v>6</v>
      </c>
      <c r="G69" s="50" t="s">
        <v>34</v>
      </c>
      <c r="H69" s="49">
        <v>10</v>
      </c>
      <c r="I69" s="50" t="s">
        <v>20</v>
      </c>
      <c r="J69" s="51">
        <v>75000</v>
      </c>
      <c r="K69" s="47" t="s">
        <v>20</v>
      </c>
      <c r="L69" s="52">
        <v>0.125</v>
      </c>
      <c r="M69" s="52">
        <v>0.05</v>
      </c>
      <c r="N69" s="49"/>
      <c r="O69" s="50" t="s">
        <v>20</v>
      </c>
      <c r="P69" s="46">
        <f>(C69+(E69*F69*H69))-N69</f>
        <v>101</v>
      </c>
      <c r="Q69" s="50" t="s">
        <v>20</v>
      </c>
      <c r="R69" s="51">
        <f>P69*(J69-(J69*L69)-((J69-(J69*L69))*M69))</f>
        <v>6296718.75</v>
      </c>
      <c r="S69" s="32">
        <f t="shared" si="2"/>
        <v>5672719.5945945941</v>
      </c>
    </row>
    <row r="70" spans="1:19" s="26" customFormat="1">
      <c r="A70" s="25" t="s">
        <v>70</v>
      </c>
      <c r="B70" s="26" t="s">
        <v>49</v>
      </c>
      <c r="C70" s="27">
        <v>6</v>
      </c>
      <c r="D70" s="28" t="s">
        <v>20</v>
      </c>
      <c r="E70" s="29"/>
      <c r="F70" s="30">
        <v>6</v>
      </c>
      <c r="G70" s="31" t="s">
        <v>34</v>
      </c>
      <c r="H70" s="30">
        <v>10</v>
      </c>
      <c r="I70" s="31" t="s">
        <v>20</v>
      </c>
      <c r="J70" s="32">
        <v>52000</v>
      </c>
      <c r="K70" s="28" t="s">
        <v>20</v>
      </c>
      <c r="L70" s="33">
        <v>0.125</v>
      </c>
      <c r="M70" s="33">
        <v>0.1</v>
      </c>
      <c r="N70" s="30"/>
      <c r="O70" s="31" t="s">
        <v>20</v>
      </c>
      <c r="P70" s="27">
        <f t="shared" si="19"/>
        <v>6</v>
      </c>
      <c r="Q70" s="31" t="s">
        <v>20</v>
      </c>
      <c r="R70" s="32">
        <f t="shared" si="20"/>
        <v>245700</v>
      </c>
      <c r="S70" s="32">
        <f t="shared" si="2"/>
        <v>221351.35135135133</v>
      </c>
    </row>
    <row r="71" spans="1:19" s="45" customFormat="1">
      <c r="A71" s="35" t="s">
        <v>71</v>
      </c>
      <c r="B71" s="36" t="s">
        <v>49</v>
      </c>
      <c r="C71" s="37">
        <v>42</v>
      </c>
      <c r="D71" s="38" t="s">
        <v>20</v>
      </c>
      <c r="E71" s="39"/>
      <c r="F71" s="40">
        <v>6</v>
      </c>
      <c r="G71" s="41" t="s">
        <v>34</v>
      </c>
      <c r="H71" s="40">
        <v>20</v>
      </c>
      <c r="I71" s="41" t="s">
        <v>20</v>
      </c>
      <c r="J71" s="42">
        <v>39000</v>
      </c>
      <c r="K71" s="38" t="s">
        <v>20</v>
      </c>
      <c r="L71" s="43">
        <v>0.125</v>
      </c>
      <c r="M71" s="43">
        <v>0.05</v>
      </c>
      <c r="N71" s="40"/>
      <c r="O71" s="41" t="s">
        <v>20</v>
      </c>
      <c r="P71" s="37">
        <f>(C71+(E71*F71*H71))-N71</f>
        <v>42</v>
      </c>
      <c r="Q71" s="41" t="s">
        <v>20</v>
      </c>
      <c r="R71" s="42">
        <f>P71*(J71-(J71*L71)-((J71-(J71*L71))*M71))</f>
        <v>1361587.5</v>
      </c>
      <c r="S71" s="42">
        <f t="shared" si="2"/>
        <v>1226655.4054054052</v>
      </c>
    </row>
    <row r="72" spans="1:19" s="45" customFormat="1">
      <c r="A72" s="35" t="s">
        <v>71</v>
      </c>
      <c r="B72" s="36" t="s">
        <v>49</v>
      </c>
      <c r="C72" s="37"/>
      <c r="D72" s="38" t="s">
        <v>20</v>
      </c>
      <c r="E72" s="39">
        <v>2</v>
      </c>
      <c r="F72" s="40">
        <v>6</v>
      </c>
      <c r="G72" s="41" t="s">
        <v>34</v>
      </c>
      <c r="H72" s="40">
        <v>20</v>
      </c>
      <c r="I72" s="41" t="s">
        <v>20</v>
      </c>
      <c r="J72" s="42">
        <v>40000</v>
      </c>
      <c r="K72" s="38" t="s">
        <v>20</v>
      </c>
      <c r="L72" s="43">
        <v>0.125</v>
      </c>
      <c r="M72" s="43">
        <v>0.05</v>
      </c>
      <c r="N72" s="40"/>
      <c r="O72" s="41" t="s">
        <v>20</v>
      </c>
      <c r="P72" s="37">
        <f>(C72+(E72*F72*H72))-N72</f>
        <v>240</v>
      </c>
      <c r="Q72" s="41" t="s">
        <v>20</v>
      </c>
      <c r="R72" s="42">
        <f>P72*(J72-(J72*L72)-((J72-(J72*L72))*M72))</f>
        <v>7980000</v>
      </c>
      <c r="S72" s="42">
        <f t="shared" ref="S72" si="21">R72/1.11</f>
        <v>7189189.1891891882</v>
      </c>
    </row>
    <row r="73" spans="1:19" s="26" customFormat="1">
      <c r="A73" s="25" t="s">
        <v>72</v>
      </c>
      <c r="B73" s="26" t="s">
        <v>49</v>
      </c>
      <c r="C73" s="27">
        <v>114</v>
      </c>
      <c r="D73" s="28" t="s">
        <v>20</v>
      </c>
      <c r="E73" s="29"/>
      <c r="F73" s="30">
        <v>6</v>
      </c>
      <c r="G73" s="31" t="s">
        <v>34</v>
      </c>
      <c r="H73" s="30">
        <v>10</v>
      </c>
      <c r="I73" s="31" t="s">
        <v>20</v>
      </c>
      <c r="J73" s="32">
        <v>66000</v>
      </c>
      <c r="K73" s="28" t="s">
        <v>20</v>
      </c>
      <c r="L73" s="33">
        <v>0.125</v>
      </c>
      <c r="M73" s="33">
        <v>0.1</v>
      </c>
      <c r="N73" s="30"/>
      <c r="O73" s="31" t="s">
        <v>20</v>
      </c>
      <c r="P73" s="27">
        <f t="shared" si="19"/>
        <v>114</v>
      </c>
      <c r="Q73" s="31" t="s">
        <v>20</v>
      </c>
      <c r="R73" s="32">
        <f t="shared" si="20"/>
        <v>5925150</v>
      </c>
      <c r="S73" s="32">
        <f t="shared" si="2"/>
        <v>5337972.9729729723</v>
      </c>
    </row>
    <row r="74" spans="1:19" s="45" customFormat="1">
      <c r="A74" s="44" t="s">
        <v>73</v>
      </c>
      <c r="B74" s="45" t="s">
        <v>49</v>
      </c>
      <c r="C74" s="46">
        <v>267</v>
      </c>
      <c r="D74" s="47" t="s">
        <v>20</v>
      </c>
      <c r="E74" s="48"/>
      <c r="F74" s="49">
        <v>4</v>
      </c>
      <c r="G74" s="50" t="s">
        <v>34</v>
      </c>
      <c r="H74" s="49">
        <v>40</v>
      </c>
      <c r="I74" s="50" t="s">
        <v>20</v>
      </c>
      <c r="J74" s="51">
        <v>26000</v>
      </c>
      <c r="K74" s="47" t="s">
        <v>20</v>
      </c>
      <c r="L74" s="52">
        <v>0.125</v>
      </c>
      <c r="M74" s="52">
        <v>0.1</v>
      </c>
      <c r="N74" s="49"/>
      <c r="O74" s="50" t="s">
        <v>20</v>
      </c>
      <c r="P74" s="46">
        <f t="shared" si="19"/>
        <v>267</v>
      </c>
      <c r="Q74" s="50" t="s">
        <v>20</v>
      </c>
      <c r="R74" s="51">
        <f t="shared" si="20"/>
        <v>5466825</v>
      </c>
      <c r="S74" s="32">
        <f t="shared" si="2"/>
        <v>4925067.5675675673</v>
      </c>
    </row>
    <row r="75" spans="1:19">
      <c r="S75" s="23"/>
    </row>
    <row r="76" spans="1:19" ht="15.75">
      <c r="A76" s="14" t="s">
        <v>74</v>
      </c>
      <c r="S76" s="23">
        <f t="shared" si="2"/>
        <v>0</v>
      </c>
    </row>
    <row r="77" spans="1:19" s="17" customFormat="1">
      <c r="A77" s="16" t="s">
        <v>75</v>
      </c>
      <c r="B77" s="17" t="s">
        <v>19</v>
      </c>
      <c r="C77" s="18"/>
      <c r="D77" s="19" t="s">
        <v>20</v>
      </c>
      <c r="E77" s="20"/>
      <c r="F77" s="21">
        <v>1</v>
      </c>
      <c r="G77" s="22" t="s">
        <v>21</v>
      </c>
      <c r="H77" s="21">
        <v>6</v>
      </c>
      <c r="I77" s="22" t="s">
        <v>20</v>
      </c>
      <c r="J77" s="23">
        <v>390000</v>
      </c>
      <c r="K77" s="19" t="s">
        <v>20</v>
      </c>
      <c r="L77" s="24">
        <v>0.125</v>
      </c>
      <c r="M77" s="24">
        <v>0.05</v>
      </c>
      <c r="N77" s="21"/>
      <c r="O77" s="22" t="s">
        <v>20</v>
      </c>
      <c r="P77" s="18">
        <f>(C77+(E77*F77*H77))-N77</f>
        <v>0</v>
      </c>
      <c r="Q77" s="22" t="s">
        <v>20</v>
      </c>
      <c r="R77" s="23">
        <f>P77*(J77-(J77*L77)-((J77-(J77*L77))*M77))</f>
        <v>0</v>
      </c>
      <c r="S77" s="23">
        <f t="shared" si="2"/>
        <v>0</v>
      </c>
    </row>
    <row r="78" spans="1:19" s="17" customFormat="1">
      <c r="A78" s="16" t="s">
        <v>76</v>
      </c>
      <c r="B78" s="17" t="s">
        <v>19</v>
      </c>
      <c r="C78" s="18"/>
      <c r="D78" s="19" t="s">
        <v>20</v>
      </c>
      <c r="E78" s="20"/>
      <c r="F78" s="21">
        <v>1</v>
      </c>
      <c r="G78" s="22" t="s">
        <v>21</v>
      </c>
      <c r="H78" s="21">
        <v>6</v>
      </c>
      <c r="I78" s="22" t="s">
        <v>20</v>
      </c>
      <c r="J78" s="23">
        <v>500000</v>
      </c>
      <c r="K78" s="19" t="s">
        <v>20</v>
      </c>
      <c r="L78" s="24">
        <v>0.125</v>
      </c>
      <c r="M78" s="24">
        <v>0.05</v>
      </c>
      <c r="N78" s="21"/>
      <c r="O78" s="22" t="s">
        <v>20</v>
      </c>
      <c r="P78" s="18">
        <f>(C78+(E78*F78*H78))-N78</f>
        <v>0</v>
      </c>
      <c r="Q78" s="22" t="s">
        <v>20</v>
      </c>
      <c r="R78" s="23">
        <f>P78*(J78-(J78*L78)-((J78-(J78*L78))*M78))</f>
        <v>0</v>
      </c>
      <c r="S78" s="23">
        <f t="shared" si="2"/>
        <v>0</v>
      </c>
    </row>
    <row r="79" spans="1:19">
      <c r="S79" s="23"/>
    </row>
    <row r="80" spans="1:19" ht="15.75">
      <c r="A80" s="14" t="s">
        <v>77</v>
      </c>
      <c r="S80" s="23"/>
    </row>
    <row r="81" spans="1:19">
      <c r="A81" s="15" t="s">
        <v>78</v>
      </c>
      <c r="S81" s="23"/>
    </row>
    <row r="82" spans="1:19" s="63" customFormat="1">
      <c r="A82" s="62" t="s">
        <v>79</v>
      </c>
      <c r="B82" s="63" t="s">
        <v>19</v>
      </c>
      <c r="C82" s="64"/>
      <c r="D82" s="65" t="s">
        <v>80</v>
      </c>
      <c r="E82" s="66"/>
      <c r="F82" s="67">
        <v>1</v>
      </c>
      <c r="G82" s="68" t="s">
        <v>21</v>
      </c>
      <c r="H82" s="67">
        <v>48</v>
      </c>
      <c r="I82" s="68" t="s">
        <v>80</v>
      </c>
      <c r="J82" s="69">
        <v>14500</v>
      </c>
      <c r="K82" s="65" t="s">
        <v>80</v>
      </c>
      <c r="L82" s="70">
        <v>0.125</v>
      </c>
      <c r="M82" s="70">
        <v>0.05</v>
      </c>
      <c r="N82" s="67"/>
      <c r="O82" s="68" t="s">
        <v>80</v>
      </c>
      <c r="P82" s="64">
        <f t="shared" ref="P82:P103" si="22">(C82+(E82*F82*H82))-N82</f>
        <v>0</v>
      </c>
      <c r="Q82" s="68" t="s">
        <v>80</v>
      </c>
      <c r="R82" s="69">
        <f t="shared" ref="R82:R103" si="23">P82*(J82-(J82*L82)-((J82-(J82*L82))*M82))</f>
        <v>0</v>
      </c>
      <c r="S82" s="23">
        <f t="shared" si="2"/>
        <v>0</v>
      </c>
    </row>
    <row r="83" spans="1:19" s="63" customFormat="1">
      <c r="A83" s="62" t="s">
        <v>81</v>
      </c>
      <c r="B83" s="63" t="s">
        <v>19</v>
      </c>
      <c r="C83" s="64"/>
      <c r="D83" s="65" t="s">
        <v>80</v>
      </c>
      <c r="E83" s="66"/>
      <c r="F83" s="67">
        <v>1</v>
      </c>
      <c r="G83" s="68" t="s">
        <v>21</v>
      </c>
      <c r="H83" s="67">
        <v>96</v>
      </c>
      <c r="I83" s="68" t="s">
        <v>80</v>
      </c>
      <c r="J83" s="69">
        <v>12000</v>
      </c>
      <c r="K83" s="65" t="s">
        <v>80</v>
      </c>
      <c r="L83" s="70">
        <v>0.125</v>
      </c>
      <c r="M83" s="70">
        <v>0.05</v>
      </c>
      <c r="N83" s="67"/>
      <c r="O83" s="68" t="s">
        <v>80</v>
      </c>
      <c r="P83" s="64">
        <f t="shared" si="22"/>
        <v>0</v>
      </c>
      <c r="Q83" s="68" t="s">
        <v>80</v>
      </c>
      <c r="R83" s="69">
        <f t="shared" si="23"/>
        <v>0</v>
      </c>
      <c r="S83" s="23">
        <f t="shared" si="2"/>
        <v>0</v>
      </c>
    </row>
    <row r="84" spans="1:19" s="63" customFormat="1">
      <c r="A84" s="62" t="s">
        <v>82</v>
      </c>
      <c r="B84" s="63" t="s">
        <v>19</v>
      </c>
      <c r="C84" s="64"/>
      <c r="D84" s="65" t="s">
        <v>80</v>
      </c>
      <c r="E84" s="66"/>
      <c r="F84" s="67">
        <v>1</v>
      </c>
      <c r="G84" s="68" t="s">
        <v>21</v>
      </c>
      <c r="H84" s="67">
        <v>48</v>
      </c>
      <c r="I84" s="68" t="s">
        <v>80</v>
      </c>
      <c r="J84" s="69">
        <v>19500</v>
      </c>
      <c r="K84" s="65" t="s">
        <v>80</v>
      </c>
      <c r="L84" s="70">
        <v>0.125</v>
      </c>
      <c r="M84" s="70">
        <v>0.05</v>
      </c>
      <c r="N84" s="67"/>
      <c r="O84" s="68" t="s">
        <v>80</v>
      </c>
      <c r="P84" s="64">
        <f t="shared" si="22"/>
        <v>0</v>
      </c>
      <c r="Q84" s="68" t="s">
        <v>80</v>
      </c>
      <c r="R84" s="69">
        <f t="shared" si="23"/>
        <v>0</v>
      </c>
      <c r="S84" s="23">
        <f t="shared" si="2"/>
        <v>0</v>
      </c>
    </row>
    <row r="85" spans="1:19" s="63" customFormat="1">
      <c r="A85" s="62" t="s">
        <v>83</v>
      </c>
      <c r="B85" s="63" t="s">
        <v>19</v>
      </c>
      <c r="C85" s="64"/>
      <c r="D85" s="65" t="s">
        <v>80</v>
      </c>
      <c r="E85" s="66"/>
      <c r="F85" s="67">
        <v>1</v>
      </c>
      <c r="G85" s="68" t="s">
        <v>21</v>
      </c>
      <c r="H85" s="67">
        <v>48</v>
      </c>
      <c r="I85" s="68" t="s">
        <v>80</v>
      </c>
      <c r="J85" s="69">
        <v>14800</v>
      </c>
      <c r="K85" s="65" t="s">
        <v>80</v>
      </c>
      <c r="L85" s="70">
        <v>0.125</v>
      </c>
      <c r="M85" s="70">
        <v>0.05</v>
      </c>
      <c r="N85" s="67"/>
      <c r="O85" s="68" t="s">
        <v>80</v>
      </c>
      <c r="P85" s="64">
        <f t="shared" si="22"/>
        <v>0</v>
      </c>
      <c r="Q85" s="68" t="s">
        <v>80</v>
      </c>
      <c r="R85" s="69">
        <f t="shared" si="23"/>
        <v>0</v>
      </c>
      <c r="S85" s="23">
        <f t="shared" si="2"/>
        <v>0</v>
      </c>
    </row>
    <row r="86" spans="1:19" s="63" customFormat="1">
      <c r="A86" s="71" t="s">
        <v>84</v>
      </c>
      <c r="B86" s="63" t="s">
        <v>19</v>
      </c>
      <c r="C86" s="64"/>
      <c r="D86" s="65" t="s">
        <v>80</v>
      </c>
      <c r="E86" s="66"/>
      <c r="F86" s="67">
        <v>1</v>
      </c>
      <c r="G86" s="68" t="s">
        <v>21</v>
      </c>
      <c r="H86" s="67">
        <v>24</v>
      </c>
      <c r="I86" s="68" t="s">
        <v>80</v>
      </c>
      <c r="J86" s="69">
        <v>25200</v>
      </c>
      <c r="K86" s="65" t="s">
        <v>80</v>
      </c>
      <c r="L86" s="70">
        <v>0.125</v>
      </c>
      <c r="M86" s="70">
        <v>0.05</v>
      </c>
      <c r="N86" s="67"/>
      <c r="O86" s="68" t="s">
        <v>80</v>
      </c>
      <c r="P86" s="64">
        <f t="shared" si="22"/>
        <v>0</v>
      </c>
      <c r="Q86" s="68" t="s">
        <v>80</v>
      </c>
      <c r="R86" s="69">
        <f t="shared" si="23"/>
        <v>0</v>
      </c>
      <c r="S86" s="23">
        <f t="shared" si="2"/>
        <v>0</v>
      </c>
    </row>
    <row r="87" spans="1:19" s="63" customFormat="1">
      <c r="A87" s="71" t="s">
        <v>85</v>
      </c>
      <c r="B87" s="63" t="s">
        <v>19</v>
      </c>
      <c r="C87" s="64"/>
      <c r="D87" s="65" t="s">
        <v>80</v>
      </c>
      <c r="E87" s="66"/>
      <c r="F87" s="67">
        <v>1</v>
      </c>
      <c r="G87" s="68" t="s">
        <v>21</v>
      </c>
      <c r="H87" s="67">
        <v>24</v>
      </c>
      <c r="I87" s="68" t="s">
        <v>80</v>
      </c>
      <c r="J87" s="69">
        <v>20200</v>
      </c>
      <c r="K87" s="65" t="s">
        <v>80</v>
      </c>
      <c r="L87" s="70">
        <v>0.125</v>
      </c>
      <c r="M87" s="70">
        <v>0.05</v>
      </c>
      <c r="N87" s="67"/>
      <c r="O87" s="68" t="s">
        <v>80</v>
      </c>
      <c r="P87" s="64">
        <f t="shared" si="22"/>
        <v>0</v>
      </c>
      <c r="Q87" s="68" t="s">
        <v>80</v>
      </c>
      <c r="R87" s="69">
        <f t="shared" si="23"/>
        <v>0</v>
      </c>
      <c r="S87" s="69">
        <f t="shared" si="2"/>
        <v>0</v>
      </c>
    </row>
    <row r="88" spans="1:19" s="63" customFormat="1">
      <c r="A88" s="62" t="s">
        <v>86</v>
      </c>
      <c r="B88" s="63" t="s">
        <v>19</v>
      </c>
      <c r="C88" s="64"/>
      <c r="D88" s="65" t="s">
        <v>80</v>
      </c>
      <c r="E88" s="66"/>
      <c r="F88" s="67">
        <v>1</v>
      </c>
      <c r="G88" s="68" t="s">
        <v>21</v>
      </c>
      <c r="H88" s="67">
        <v>96</v>
      </c>
      <c r="I88" s="68" t="s">
        <v>80</v>
      </c>
      <c r="J88" s="69">
        <v>33000</v>
      </c>
      <c r="K88" s="65" t="s">
        <v>80</v>
      </c>
      <c r="L88" s="70">
        <v>0.125</v>
      </c>
      <c r="M88" s="70">
        <v>0.05</v>
      </c>
      <c r="N88" s="67"/>
      <c r="O88" s="68" t="s">
        <v>80</v>
      </c>
      <c r="P88" s="64">
        <f t="shared" si="22"/>
        <v>0</v>
      </c>
      <c r="Q88" s="68" t="s">
        <v>80</v>
      </c>
      <c r="R88" s="69">
        <f t="shared" si="23"/>
        <v>0</v>
      </c>
      <c r="S88" s="23">
        <f t="shared" ref="S88:S163" si="24">R88/1.11</f>
        <v>0</v>
      </c>
    </row>
    <row r="89" spans="1:19" s="45" customFormat="1">
      <c r="A89" s="44" t="s">
        <v>87</v>
      </c>
      <c r="B89" s="45" t="s">
        <v>19</v>
      </c>
      <c r="C89" s="46">
        <v>29</v>
      </c>
      <c r="D89" s="47" t="s">
        <v>88</v>
      </c>
      <c r="E89" s="48">
        <v>1</v>
      </c>
      <c r="F89" s="49">
        <v>1</v>
      </c>
      <c r="G89" s="50" t="s">
        <v>21</v>
      </c>
      <c r="H89" s="49">
        <v>60</v>
      </c>
      <c r="I89" s="50" t="s">
        <v>88</v>
      </c>
      <c r="J89" s="51">
        <v>27600</v>
      </c>
      <c r="K89" s="47" t="s">
        <v>88</v>
      </c>
      <c r="L89" s="52">
        <v>0.125</v>
      </c>
      <c r="M89" s="52">
        <v>0.05</v>
      </c>
      <c r="N89" s="49"/>
      <c r="O89" s="50" t="s">
        <v>88</v>
      </c>
      <c r="P89" s="46">
        <f t="shared" si="22"/>
        <v>89</v>
      </c>
      <c r="Q89" s="50" t="s">
        <v>88</v>
      </c>
      <c r="R89" s="51">
        <f t="shared" si="23"/>
        <v>2041882.5</v>
      </c>
      <c r="S89" s="32">
        <f t="shared" si="24"/>
        <v>1839533.7837837837</v>
      </c>
    </row>
    <row r="90" spans="1:19" s="63" customFormat="1">
      <c r="A90" s="72" t="s">
        <v>89</v>
      </c>
      <c r="B90" s="63" t="s">
        <v>19</v>
      </c>
      <c r="C90" s="64"/>
      <c r="D90" s="65" t="s">
        <v>88</v>
      </c>
      <c r="E90" s="66"/>
      <c r="F90" s="67">
        <v>1</v>
      </c>
      <c r="G90" s="68" t="s">
        <v>21</v>
      </c>
      <c r="H90" s="67">
        <v>50</v>
      </c>
      <c r="I90" s="68" t="s">
        <v>88</v>
      </c>
      <c r="J90" s="69">
        <v>30900</v>
      </c>
      <c r="K90" s="65" t="s">
        <v>88</v>
      </c>
      <c r="L90" s="70">
        <v>0.125</v>
      </c>
      <c r="M90" s="70">
        <v>0.05</v>
      </c>
      <c r="N90" s="67">
        <f>50+5</f>
        <v>55</v>
      </c>
      <c r="O90" s="68" t="s">
        <v>88</v>
      </c>
      <c r="P90" s="64">
        <f t="shared" si="22"/>
        <v>-55</v>
      </c>
      <c r="Q90" s="68" t="s">
        <v>88</v>
      </c>
      <c r="R90" s="69">
        <f t="shared" si="23"/>
        <v>-1412709.375</v>
      </c>
      <c r="S90" s="23">
        <f t="shared" si="24"/>
        <v>-1272711.1486486485</v>
      </c>
    </row>
    <row r="91" spans="1:19" s="45" customFormat="1">
      <c r="A91" s="44" t="s">
        <v>90</v>
      </c>
      <c r="B91" s="45" t="s">
        <v>19</v>
      </c>
      <c r="C91" s="46">
        <v>57</v>
      </c>
      <c r="D91" s="47" t="s">
        <v>88</v>
      </c>
      <c r="E91" s="48"/>
      <c r="F91" s="49">
        <v>1</v>
      </c>
      <c r="G91" s="50" t="s">
        <v>21</v>
      </c>
      <c r="H91" s="49">
        <v>30</v>
      </c>
      <c r="I91" s="50" t="s">
        <v>88</v>
      </c>
      <c r="J91" s="51">
        <v>48600</v>
      </c>
      <c r="K91" s="47" t="s">
        <v>88</v>
      </c>
      <c r="L91" s="52">
        <v>0.125</v>
      </c>
      <c r="M91" s="52">
        <v>0.05</v>
      </c>
      <c r="N91" s="49"/>
      <c r="O91" s="50" t="s">
        <v>88</v>
      </c>
      <c r="P91" s="46">
        <f t="shared" si="22"/>
        <v>57</v>
      </c>
      <c r="Q91" s="50" t="s">
        <v>88</v>
      </c>
      <c r="R91" s="51">
        <f t="shared" si="23"/>
        <v>2302728.75</v>
      </c>
      <c r="S91" s="32">
        <f t="shared" si="24"/>
        <v>2074530.4054054052</v>
      </c>
    </row>
    <row r="92" spans="1:19" s="63" customFormat="1">
      <c r="A92" s="72" t="s">
        <v>91</v>
      </c>
      <c r="B92" s="63" t="s">
        <v>19</v>
      </c>
      <c r="C92" s="64"/>
      <c r="D92" s="65" t="s">
        <v>88</v>
      </c>
      <c r="E92" s="66"/>
      <c r="F92" s="67">
        <v>1</v>
      </c>
      <c r="G92" s="68" t="s">
        <v>21</v>
      </c>
      <c r="H92" s="67">
        <v>20</v>
      </c>
      <c r="I92" s="68" t="s">
        <v>88</v>
      </c>
      <c r="J92" s="69">
        <v>67800</v>
      </c>
      <c r="K92" s="65" t="s">
        <v>88</v>
      </c>
      <c r="L92" s="70">
        <v>0.125</v>
      </c>
      <c r="M92" s="70">
        <v>0.05</v>
      </c>
      <c r="N92" s="67">
        <v>2</v>
      </c>
      <c r="O92" s="68" t="s">
        <v>88</v>
      </c>
      <c r="P92" s="64">
        <f t="shared" si="22"/>
        <v>-2</v>
      </c>
      <c r="Q92" s="68" t="s">
        <v>88</v>
      </c>
      <c r="R92" s="69">
        <f t="shared" si="23"/>
        <v>-112717.5</v>
      </c>
      <c r="S92" s="23">
        <f t="shared" si="24"/>
        <v>-101547.29729729729</v>
      </c>
    </row>
    <row r="93" spans="1:19" s="63" customFormat="1">
      <c r="A93" s="72" t="s">
        <v>92</v>
      </c>
      <c r="B93" s="63" t="s">
        <v>19</v>
      </c>
      <c r="C93" s="64"/>
      <c r="D93" s="65" t="s">
        <v>88</v>
      </c>
      <c r="E93" s="66"/>
      <c r="F93" s="67">
        <v>1</v>
      </c>
      <c r="G93" s="68" t="s">
        <v>21</v>
      </c>
      <c r="H93" s="67">
        <v>10</v>
      </c>
      <c r="I93" s="68" t="s">
        <v>88</v>
      </c>
      <c r="J93" s="69">
        <v>113700</v>
      </c>
      <c r="K93" s="65" t="s">
        <v>88</v>
      </c>
      <c r="L93" s="70">
        <v>0.125</v>
      </c>
      <c r="M93" s="70">
        <v>0.05</v>
      </c>
      <c r="N93" s="67"/>
      <c r="O93" s="68" t="s">
        <v>88</v>
      </c>
      <c r="P93" s="64">
        <f t="shared" si="22"/>
        <v>0</v>
      </c>
      <c r="Q93" s="68" t="s">
        <v>88</v>
      </c>
      <c r="R93" s="69">
        <f t="shared" si="23"/>
        <v>0</v>
      </c>
      <c r="S93" s="69">
        <f t="shared" si="24"/>
        <v>0</v>
      </c>
    </row>
    <row r="94" spans="1:19" s="45" customFormat="1">
      <c r="A94" s="44" t="s">
        <v>93</v>
      </c>
      <c r="B94" s="45" t="s">
        <v>19</v>
      </c>
      <c r="C94" s="46">
        <v>85</v>
      </c>
      <c r="D94" s="47" t="s">
        <v>88</v>
      </c>
      <c r="E94" s="48"/>
      <c r="F94" s="49">
        <v>1</v>
      </c>
      <c r="G94" s="50" t="s">
        <v>21</v>
      </c>
      <c r="H94" s="49">
        <v>5</v>
      </c>
      <c r="I94" s="50" t="s">
        <v>88</v>
      </c>
      <c r="J94" s="51">
        <v>177000</v>
      </c>
      <c r="K94" s="47" t="s">
        <v>88</v>
      </c>
      <c r="L94" s="52">
        <v>0.125</v>
      </c>
      <c r="M94" s="52">
        <v>0.05</v>
      </c>
      <c r="N94" s="49"/>
      <c r="O94" s="50" t="s">
        <v>88</v>
      </c>
      <c r="P94" s="46">
        <f t="shared" si="22"/>
        <v>85</v>
      </c>
      <c r="Q94" s="50" t="s">
        <v>88</v>
      </c>
      <c r="R94" s="51">
        <f t="shared" si="23"/>
        <v>12506156.25</v>
      </c>
      <c r="S94" s="51">
        <f t="shared" si="24"/>
        <v>11266807.432432432</v>
      </c>
    </row>
    <row r="95" spans="1:19" s="45" customFormat="1">
      <c r="A95" s="44" t="s">
        <v>94</v>
      </c>
      <c r="B95" s="45" t="s">
        <v>19</v>
      </c>
      <c r="C95" s="46">
        <v>72</v>
      </c>
      <c r="D95" s="47" t="s">
        <v>43</v>
      </c>
      <c r="E95" s="48">
        <v>1</v>
      </c>
      <c r="F95" s="49">
        <v>3</v>
      </c>
      <c r="G95" s="50" t="s">
        <v>88</v>
      </c>
      <c r="H95" s="49">
        <v>12</v>
      </c>
      <c r="I95" s="50" t="s">
        <v>43</v>
      </c>
      <c r="J95" s="51">
        <f>507600/12</f>
        <v>42300</v>
      </c>
      <c r="K95" s="47" t="s">
        <v>43</v>
      </c>
      <c r="L95" s="52">
        <v>0.125</v>
      </c>
      <c r="M95" s="52">
        <v>0.05</v>
      </c>
      <c r="N95" s="49"/>
      <c r="O95" s="50" t="s">
        <v>43</v>
      </c>
      <c r="P95" s="46">
        <f t="shared" si="22"/>
        <v>108</v>
      </c>
      <c r="Q95" s="50" t="s">
        <v>43</v>
      </c>
      <c r="R95" s="51">
        <f t="shared" si="23"/>
        <v>3797482.5</v>
      </c>
      <c r="S95" s="32">
        <f t="shared" si="24"/>
        <v>3421155.405405405</v>
      </c>
    </row>
    <row r="96" spans="1:19" s="45" customFormat="1">
      <c r="A96" s="44"/>
      <c r="C96" s="46"/>
      <c r="D96" s="47"/>
      <c r="E96" s="48"/>
      <c r="F96" s="49"/>
      <c r="G96" s="50"/>
      <c r="H96" s="49"/>
      <c r="I96" s="50"/>
      <c r="J96" s="51"/>
      <c r="K96" s="47"/>
      <c r="L96" s="52"/>
      <c r="M96" s="52"/>
      <c r="N96" s="49"/>
      <c r="O96" s="50"/>
      <c r="P96" s="46"/>
      <c r="Q96" s="50"/>
      <c r="R96" s="51"/>
      <c r="S96" s="32"/>
    </row>
    <row r="97" spans="1:19" s="26" customFormat="1">
      <c r="A97" s="25" t="s">
        <v>95</v>
      </c>
      <c r="B97" s="26" t="s">
        <v>26</v>
      </c>
      <c r="C97" s="27">
        <v>160</v>
      </c>
      <c r="D97" s="28" t="s">
        <v>88</v>
      </c>
      <c r="E97" s="29"/>
      <c r="F97" s="30">
        <v>1</v>
      </c>
      <c r="G97" s="31" t="s">
        <v>21</v>
      </c>
      <c r="H97" s="30">
        <v>50</v>
      </c>
      <c r="I97" s="31" t="s">
        <v>88</v>
      </c>
      <c r="J97" s="32">
        <f>1440000/50</f>
        <v>28800</v>
      </c>
      <c r="K97" s="28" t="s">
        <v>88</v>
      </c>
      <c r="L97" s="33"/>
      <c r="M97" s="33">
        <v>0.17</v>
      </c>
      <c r="N97" s="30">
        <v>50</v>
      </c>
      <c r="O97" s="31" t="s">
        <v>88</v>
      </c>
      <c r="P97" s="27">
        <f t="shared" si="22"/>
        <v>110</v>
      </c>
      <c r="Q97" s="31" t="s">
        <v>88</v>
      </c>
      <c r="R97" s="32">
        <f t="shared" si="23"/>
        <v>2629440</v>
      </c>
      <c r="S97" s="32">
        <f t="shared" si="24"/>
        <v>2368864.8648648649</v>
      </c>
    </row>
    <row r="98" spans="1:19" s="26" customFormat="1">
      <c r="A98" s="25" t="s">
        <v>96</v>
      </c>
      <c r="B98" s="26" t="s">
        <v>26</v>
      </c>
      <c r="C98" s="27">
        <v>115</v>
      </c>
      <c r="D98" s="28" t="s">
        <v>88</v>
      </c>
      <c r="E98" s="29">
        <v>1</v>
      </c>
      <c r="F98" s="30">
        <v>1</v>
      </c>
      <c r="G98" s="31" t="s">
        <v>21</v>
      </c>
      <c r="H98" s="30">
        <v>50</v>
      </c>
      <c r="I98" s="31" t="s">
        <v>88</v>
      </c>
      <c r="J98" s="32">
        <f>1590000/50</f>
        <v>31800</v>
      </c>
      <c r="K98" s="28" t="s">
        <v>88</v>
      </c>
      <c r="L98" s="33"/>
      <c r="M98" s="33">
        <v>0.17</v>
      </c>
      <c r="N98" s="30">
        <f>50+1</f>
        <v>51</v>
      </c>
      <c r="O98" s="31" t="s">
        <v>88</v>
      </c>
      <c r="P98" s="27">
        <f t="shared" si="22"/>
        <v>114</v>
      </c>
      <c r="Q98" s="31" t="s">
        <v>88</v>
      </c>
      <c r="R98" s="32">
        <f t="shared" si="23"/>
        <v>3008916</v>
      </c>
      <c r="S98" s="32">
        <f t="shared" si="24"/>
        <v>2710735.1351351347</v>
      </c>
    </row>
    <row r="99" spans="1:19">
      <c r="A99" s="34" t="s">
        <v>97</v>
      </c>
      <c r="B99" s="2" t="s">
        <v>26</v>
      </c>
      <c r="C99" s="3">
        <v>18</v>
      </c>
      <c r="D99" s="4" t="s">
        <v>88</v>
      </c>
      <c r="E99" s="5">
        <f>3+2</f>
        <v>5</v>
      </c>
      <c r="F99" s="6">
        <v>1</v>
      </c>
      <c r="G99" s="7" t="s">
        <v>21</v>
      </c>
      <c r="H99" s="6">
        <v>30</v>
      </c>
      <c r="I99" s="7" t="s">
        <v>88</v>
      </c>
      <c r="J99" s="8">
        <f>1476000/30</f>
        <v>49200</v>
      </c>
      <c r="K99" s="4" t="s">
        <v>88</v>
      </c>
      <c r="M99" s="9">
        <v>0.17</v>
      </c>
      <c r="N99" s="6">
        <f>30+60+1</f>
        <v>91</v>
      </c>
      <c r="O99" s="7" t="s">
        <v>88</v>
      </c>
      <c r="P99" s="3">
        <f t="shared" si="22"/>
        <v>77</v>
      </c>
      <c r="Q99" s="7" t="s">
        <v>88</v>
      </c>
      <c r="R99" s="8">
        <f t="shared" si="23"/>
        <v>3144372</v>
      </c>
      <c r="S99" s="32">
        <f t="shared" si="24"/>
        <v>2832767.5675675673</v>
      </c>
    </row>
    <row r="100" spans="1:19" s="45" customFormat="1">
      <c r="A100" s="44" t="s">
        <v>98</v>
      </c>
      <c r="B100" s="45" t="s">
        <v>26</v>
      </c>
      <c r="C100" s="46">
        <v>43</v>
      </c>
      <c r="D100" s="47" t="s">
        <v>88</v>
      </c>
      <c r="E100" s="48">
        <f>2+1</f>
        <v>3</v>
      </c>
      <c r="F100" s="49">
        <v>1</v>
      </c>
      <c r="G100" s="50" t="s">
        <v>21</v>
      </c>
      <c r="H100" s="49">
        <v>20</v>
      </c>
      <c r="I100" s="50" t="s">
        <v>88</v>
      </c>
      <c r="J100" s="51">
        <f>1380000/20</f>
        <v>69000</v>
      </c>
      <c r="K100" s="47" t="s">
        <v>88</v>
      </c>
      <c r="L100" s="52"/>
      <c r="M100" s="52">
        <v>0.17</v>
      </c>
      <c r="N100" s="49">
        <f>20+20+1+19</f>
        <v>60</v>
      </c>
      <c r="O100" s="50" t="s">
        <v>88</v>
      </c>
      <c r="P100" s="46">
        <f t="shared" si="22"/>
        <v>43</v>
      </c>
      <c r="Q100" s="50" t="s">
        <v>88</v>
      </c>
      <c r="R100" s="51">
        <f t="shared" si="23"/>
        <v>2462610</v>
      </c>
      <c r="S100" s="51">
        <f t="shared" si="24"/>
        <v>2218567.5675675673</v>
      </c>
    </row>
    <row r="101" spans="1:19" s="45" customFormat="1">
      <c r="A101" s="44" t="s">
        <v>99</v>
      </c>
      <c r="B101" s="45" t="s">
        <v>26</v>
      </c>
      <c r="C101" s="46">
        <v>18.333333333333329</v>
      </c>
      <c r="D101" s="47" t="s">
        <v>88</v>
      </c>
      <c r="E101" s="48">
        <f>1+2+1+2</f>
        <v>6</v>
      </c>
      <c r="F101" s="49">
        <v>1</v>
      </c>
      <c r="G101" s="50" t="s">
        <v>21</v>
      </c>
      <c r="H101" s="49">
        <v>10</v>
      </c>
      <c r="I101" s="50" t="s">
        <v>88</v>
      </c>
      <c r="J101" s="51">
        <f>1200000/10</f>
        <v>120000</v>
      </c>
      <c r="K101" s="47" t="s">
        <v>88</v>
      </c>
      <c r="L101" s="52"/>
      <c r="M101" s="52">
        <v>0.17</v>
      </c>
      <c r="N101" s="49">
        <f>10+10+10+10+10</f>
        <v>50</v>
      </c>
      <c r="O101" s="50" t="s">
        <v>88</v>
      </c>
      <c r="P101" s="46">
        <f t="shared" si="22"/>
        <v>28.333333333333329</v>
      </c>
      <c r="Q101" s="50" t="s">
        <v>88</v>
      </c>
      <c r="R101" s="51">
        <f t="shared" si="23"/>
        <v>2821999.9999999995</v>
      </c>
      <c r="S101" s="51">
        <f t="shared" si="24"/>
        <v>2542342.3423423418</v>
      </c>
    </row>
    <row r="102" spans="1:19" s="45" customFormat="1">
      <c r="A102" s="44" t="s">
        <v>100</v>
      </c>
      <c r="B102" s="45" t="s">
        <v>26</v>
      </c>
      <c r="C102" s="46">
        <v>242</v>
      </c>
      <c r="D102" s="47" t="s">
        <v>43</v>
      </c>
      <c r="E102" s="48">
        <v>1</v>
      </c>
      <c r="F102" s="49">
        <v>5</v>
      </c>
      <c r="G102" s="50" t="s">
        <v>88</v>
      </c>
      <c r="H102" s="49">
        <v>12</v>
      </c>
      <c r="I102" s="50" t="s">
        <v>43</v>
      </c>
      <c r="J102" s="51">
        <f>900000/5/12</f>
        <v>15000</v>
      </c>
      <c r="K102" s="47" t="s">
        <v>43</v>
      </c>
      <c r="L102" s="52"/>
      <c r="M102" s="52">
        <v>0.17</v>
      </c>
      <c r="N102" s="49">
        <f>(5*12)+(5*12)+12</f>
        <v>132</v>
      </c>
      <c r="O102" s="50" t="s">
        <v>43</v>
      </c>
      <c r="P102" s="46">
        <f t="shared" si="22"/>
        <v>170</v>
      </c>
      <c r="Q102" s="50" t="s">
        <v>43</v>
      </c>
      <c r="R102" s="51">
        <f t="shared" si="23"/>
        <v>2116500</v>
      </c>
      <c r="S102" s="51">
        <f t="shared" si="24"/>
        <v>1906756.7567567567</v>
      </c>
    </row>
    <row r="103" spans="1:19" s="26" customFormat="1">
      <c r="A103" s="25" t="s">
        <v>787</v>
      </c>
      <c r="B103" s="26" t="s">
        <v>26</v>
      </c>
      <c r="C103" s="27"/>
      <c r="D103" s="28" t="s">
        <v>34</v>
      </c>
      <c r="E103" s="29">
        <f>1+2+1</f>
        <v>4</v>
      </c>
      <c r="F103" s="30">
        <v>1</v>
      </c>
      <c r="G103" s="31" t="s">
        <v>21</v>
      </c>
      <c r="H103" s="30">
        <v>72</v>
      </c>
      <c r="I103" s="31" t="s">
        <v>34</v>
      </c>
      <c r="J103" s="32">
        <f>1548000/72</f>
        <v>21500</v>
      </c>
      <c r="K103" s="28" t="s">
        <v>34</v>
      </c>
      <c r="L103" s="33"/>
      <c r="M103" s="33">
        <v>0.17</v>
      </c>
      <c r="N103" s="30">
        <f>72+72+(12/2)</f>
        <v>150</v>
      </c>
      <c r="O103" s="31" t="s">
        <v>34</v>
      </c>
      <c r="P103" s="27">
        <f t="shared" si="22"/>
        <v>138</v>
      </c>
      <c r="Q103" s="31" t="s">
        <v>34</v>
      </c>
      <c r="R103" s="32">
        <f t="shared" si="23"/>
        <v>2462610</v>
      </c>
      <c r="S103" s="32">
        <f t="shared" si="24"/>
        <v>2218567.5675675673</v>
      </c>
    </row>
    <row r="104" spans="1:19" s="26" customFormat="1">
      <c r="A104" s="25"/>
      <c r="C104" s="27"/>
      <c r="D104" s="28"/>
      <c r="E104" s="29"/>
      <c r="F104" s="30"/>
      <c r="G104" s="31"/>
      <c r="H104" s="30"/>
      <c r="I104" s="31"/>
      <c r="J104" s="32"/>
      <c r="K104" s="28"/>
      <c r="L104" s="33"/>
      <c r="M104" s="33"/>
      <c r="N104" s="30"/>
      <c r="O104" s="31"/>
      <c r="P104" s="27"/>
      <c r="Q104" s="31"/>
      <c r="R104" s="32"/>
      <c r="S104" s="32"/>
    </row>
    <row r="105" spans="1:19">
      <c r="A105" s="15" t="s">
        <v>102</v>
      </c>
      <c r="S105" s="23"/>
    </row>
    <row r="106" spans="1:19" s="26" customFormat="1">
      <c r="A106" s="25" t="s">
        <v>103</v>
      </c>
      <c r="B106" s="26" t="s">
        <v>19</v>
      </c>
      <c r="C106" s="27"/>
      <c r="D106" s="28" t="s">
        <v>34</v>
      </c>
      <c r="E106" s="29">
        <v>1</v>
      </c>
      <c r="F106" s="30">
        <v>50</v>
      </c>
      <c r="G106" s="31" t="s">
        <v>104</v>
      </c>
      <c r="H106" s="30">
        <v>10</v>
      </c>
      <c r="I106" s="31" t="s">
        <v>34</v>
      </c>
      <c r="J106" s="32">
        <v>1850</v>
      </c>
      <c r="K106" s="28" t="s">
        <v>34</v>
      </c>
      <c r="L106" s="33">
        <v>0.125</v>
      </c>
      <c r="M106" s="33">
        <v>0.05</v>
      </c>
      <c r="N106" s="30"/>
      <c r="O106" s="31" t="s">
        <v>34</v>
      </c>
      <c r="P106" s="27">
        <f t="shared" ref="P106:P114" si="25">(C106+(E106*F106*H106))-N106</f>
        <v>500</v>
      </c>
      <c r="Q106" s="31" t="s">
        <v>34</v>
      </c>
      <c r="R106" s="32">
        <f t="shared" ref="R106:R114" si="26">P106*(J106-(J106*L106)-((J106-(J106*L106))*M106))</f>
        <v>768906.25</v>
      </c>
      <c r="S106" s="32">
        <f t="shared" si="24"/>
        <v>692708.33333333326</v>
      </c>
    </row>
    <row r="107" spans="1:19" s="45" customFormat="1">
      <c r="A107" s="44" t="s">
        <v>105</v>
      </c>
      <c r="B107" s="45" t="s">
        <v>19</v>
      </c>
      <c r="C107" s="46"/>
      <c r="D107" s="47" t="s">
        <v>34</v>
      </c>
      <c r="E107" s="48">
        <f>2+2</f>
        <v>4</v>
      </c>
      <c r="F107" s="49">
        <v>50</v>
      </c>
      <c r="G107" s="50" t="s">
        <v>104</v>
      </c>
      <c r="H107" s="49">
        <v>10</v>
      </c>
      <c r="I107" s="50" t="s">
        <v>34</v>
      </c>
      <c r="J107" s="51">
        <v>1625</v>
      </c>
      <c r="K107" s="47" t="s">
        <v>34</v>
      </c>
      <c r="L107" s="52">
        <v>0.125</v>
      </c>
      <c r="M107" s="52">
        <v>0.05</v>
      </c>
      <c r="N107" s="49">
        <v>1000</v>
      </c>
      <c r="O107" s="50" t="s">
        <v>34</v>
      </c>
      <c r="P107" s="46">
        <f t="shared" si="25"/>
        <v>1000</v>
      </c>
      <c r="Q107" s="50" t="s">
        <v>34</v>
      </c>
      <c r="R107" s="51">
        <f t="shared" si="26"/>
        <v>1350781.25</v>
      </c>
      <c r="S107" s="32">
        <f t="shared" si="24"/>
        <v>1216920.045045045</v>
      </c>
    </row>
    <row r="108" spans="1:19" s="26" customFormat="1">
      <c r="A108" s="25" t="s">
        <v>106</v>
      </c>
      <c r="B108" s="26" t="s">
        <v>19</v>
      </c>
      <c r="C108" s="27"/>
      <c r="D108" s="28" t="s">
        <v>34</v>
      </c>
      <c r="E108" s="29">
        <v>1</v>
      </c>
      <c r="F108" s="30">
        <v>20</v>
      </c>
      <c r="G108" s="31" t="s">
        <v>104</v>
      </c>
      <c r="H108" s="30">
        <v>10</v>
      </c>
      <c r="I108" s="31" t="s">
        <v>34</v>
      </c>
      <c r="J108" s="32">
        <v>4400</v>
      </c>
      <c r="K108" s="28" t="s">
        <v>34</v>
      </c>
      <c r="L108" s="33">
        <v>0.125</v>
      </c>
      <c r="M108" s="33">
        <v>0.05</v>
      </c>
      <c r="N108" s="30"/>
      <c r="O108" s="31" t="s">
        <v>34</v>
      </c>
      <c r="P108" s="27">
        <f t="shared" si="25"/>
        <v>200</v>
      </c>
      <c r="Q108" s="31" t="s">
        <v>34</v>
      </c>
      <c r="R108" s="32">
        <f t="shared" si="26"/>
        <v>731500</v>
      </c>
      <c r="S108" s="32">
        <f t="shared" si="24"/>
        <v>659009.00900900899</v>
      </c>
    </row>
    <row r="109" spans="1:19" s="45" customFormat="1">
      <c r="A109" s="44" t="s">
        <v>107</v>
      </c>
      <c r="B109" s="45" t="s">
        <v>19</v>
      </c>
      <c r="C109" s="46">
        <v>264</v>
      </c>
      <c r="D109" s="47" t="s">
        <v>108</v>
      </c>
      <c r="E109" s="48"/>
      <c r="F109" s="49">
        <v>24</v>
      </c>
      <c r="G109" s="50" t="s">
        <v>34</v>
      </c>
      <c r="H109" s="49">
        <v>12</v>
      </c>
      <c r="I109" s="50" t="s">
        <v>108</v>
      </c>
      <c r="J109" s="51">
        <v>3100</v>
      </c>
      <c r="K109" s="47" t="s">
        <v>108</v>
      </c>
      <c r="L109" s="52">
        <v>0.125</v>
      </c>
      <c r="M109" s="52">
        <v>0.05</v>
      </c>
      <c r="N109" s="49"/>
      <c r="O109" s="50" t="s">
        <v>108</v>
      </c>
      <c r="P109" s="46">
        <f t="shared" si="25"/>
        <v>264</v>
      </c>
      <c r="Q109" s="50" t="s">
        <v>108</v>
      </c>
      <c r="R109" s="51">
        <f t="shared" si="26"/>
        <v>680295</v>
      </c>
      <c r="S109" s="51">
        <f t="shared" si="24"/>
        <v>612878.37837837834</v>
      </c>
    </row>
    <row r="110" spans="1:19" s="45" customFormat="1">
      <c r="A110" s="44"/>
      <c r="C110" s="46"/>
      <c r="D110" s="47"/>
      <c r="E110" s="48"/>
      <c r="F110" s="49"/>
      <c r="G110" s="50"/>
      <c r="H110" s="49"/>
      <c r="I110" s="50"/>
      <c r="J110" s="51"/>
      <c r="K110" s="47"/>
      <c r="L110" s="52"/>
      <c r="M110" s="52"/>
      <c r="N110" s="49"/>
      <c r="O110" s="50"/>
      <c r="P110" s="46"/>
      <c r="Q110" s="50"/>
      <c r="R110" s="51"/>
      <c r="S110" s="51"/>
    </row>
    <row r="111" spans="1:19" s="45" customFormat="1">
      <c r="A111" s="44" t="s">
        <v>109</v>
      </c>
      <c r="B111" s="45" t="s">
        <v>26</v>
      </c>
      <c r="C111" s="46">
        <v>50</v>
      </c>
      <c r="D111" s="47" t="s">
        <v>34</v>
      </c>
      <c r="E111" s="48">
        <v>1</v>
      </c>
      <c r="F111" s="49">
        <v>50</v>
      </c>
      <c r="G111" s="50" t="s">
        <v>104</v>
      </c>
      <c r="H111" s="49">
        <v>10</v>
      </c>
      <c r="I111" s="50" t="s">
        <v>34</v>
      </c>
      <c r="J111" s="51">
        <f>850000/50/10</f>
        <v>1700</v>
      </c>
      <c r="K111" s="47" t="s">
        <v>34</v>
      </c>
      <c r="L111" s="52"/>
      <c r="M111" s="52">
        <v>0.17</v>
      </c>
      <c r="N111" s="49">
        <f>(50*10)</f>
        <v>500</v>
      </c>
      <c r="O111" s="50" t="s">
        <v>34</v>
      </c>
      <c r="P111" s="46">
        <f t="shared" si="25"/>
        <v>50</v>
      </c>
      <c r="Q111" s="50" t="s">
        <v>34</v>
      </c>
      <c r="R111" s="51">
        <f t="shared" si="26"/>
        <v>70550</v>
      </c>
      <c r="S111" s="51">
        <f t="shared" si="24"/>
        <v>63558.55855855855</v>
      </c>
    </row>
    <row r="112" spans="1:19" s="45" customFormat="1">
      <c r="A112" s="44" t="s">
        <v>110</v>
      </c>
      <c r="B112" s="45" t="s">
        <v>26</v>
      </c>
      <c r="C112" s="46">
        <v>1000</v>
      </c>
      <c r="D112" s="47" t="s">
        <v>34</v>
      </c>
      <c r="E112" s="48">
        <f>3+1+2</f>
        <v>6</v>
      </c>
      <c r="F112" s="49">
        <v>50</v>
      </c>
      <c r="G112" s="50" t="s">
        <v>104</v>
      </c>
      <c r="H112" s="49">
        <v>10</v>
      </c>
      <c r="I112" s="50" t="s">
        <v>34</v>
      </c>
      <c r="J112" s="51">
        <f>800000/50/10</f>
        <v>1600</v>
      </c>
      <c r="K112" s="47" t="s">
        <v>34</v>
      </c>
      <c r="L112" s="52"/>
      <c r="M112" s="52">
        <v>0.17</v>
      </c>
      <c r="N112" s="49">
        <f>1000+(50*10)+(50*10)+(15*10)+500</f>
        <v>2650</v>
      </c>
      <c r="O112" s="50" t="s">
        <v>34</v>
      </c>
      <c r="P112" s="46">
        <f t="shared" si="25"/>
        <v>1350</v>
      </c>
      <c r="Q112" s="50" t="s">
        <v>34</v>
      </c>
      <c r="R112" s="51">
        <f t="shared" si="26"/>
        <v>1792800</v>
      </c>
      <c r="S112" s="51">
        <f t="shared" si="24"/>
        <v>1615135.1351351349</v>
      </c>
    </row>
    <row r="113" spans="1:19" s="45" customFormat="1">
      <c r="A113" s="44" t="s">
        <v>111</v>
      </c>
      <c r="B113" s="45" t="s">
        <v>26</v>
      </c>
      <c r="C113" s="46">
        <v>480</v>
      </c>
      <c r="D113" s="47" t="s">
        <v>34</v>
      </c>
      <c r="E113" s="48"/>
      <c r="F113" s="49">
        <v>20</v>
      </c>
      <c r="G113" s="50" t="s">
        <v>104</v>
      </c>
      <c r="H113" s="49">
        <v>10</v>
      </c>
      <c r="I113" s="50" t="s">
        <v>34</v>
      </c>
      <c r="J113" s="51">
        <f>860000/20/10</f>
        <v>4300</v>
      </c>
      <c r="K113" s="47" t="s">
        <v>34</v>
      </c>
      <c r="L113" s="52"/>
      <c r="M113" s="52">
        <v>0.17</v>
      </c>
      <c r="N113" s="49"/>
      <c r="O113" s="50" t="s">
        <v>34</v>
      </c>
      <c r="P113" s="46">
        <f t="shared" si="25"/>
        <v>480</v>
      </c>
      <c r="Q113" s="50" t="s">
        <v>34</v>
      </c>
      <c r="R113" s="51">
        <f t="shared" si="26"/>
        <v>1713120</v>
      </c>
      <c r="S113" s="51">
        <f t="shared" si="24"/>
        <v>1543351.3513513512</v>
      </c>
    </row>
    <row r="114" spans="1:19" s="45" customFormat="1">
      <c r="A114" s="44" t="s">
        <v>112</v>
      </c>
      <c r="B114" s="45" t="s">
        <v>26</v>
      </c>
      <c r="C114" s="46">
        <v>140</v>
      </c>
      <c r="D114" s="47" t="s">
        <v>43</v>
      </c>
      <c r="E114" s="48">
        <f>1+2</f>
        <v>3</v>
      </c>
      <c r="F114" s="49">
        <v>1</v>
      </c>
      <c r="G114" s="50" t="s">
        <v>21</v>
      </c>
      <c r="H114" s="49">
        <v>48</v>
      </c>
      <c r="I114" s="50" t="s">
        <v>43</v>
      </c>
      <c r="J114" s="51">
        <f>1987200/48</f>
        <v>41400</v>
      </c>
      <c r="K114" s="47" t="s">
        <v>43</v>
      </c>
      <c r="L114" s="52"/>
      <c r="M114" s="52">
        <v>0.17</v>
      </c>
      <c r="N114" s="49">
        <f>48+6+48+24+2</f>
        <v>128</v>
      </c>
      <c r="O114" s="50" t="s">
        <v>43</v>
      </c>
      <c r="P114" s="46">
        <f t="shared" si="25"/>
        <v>156</v>
      </c>
      <c r="Q114" s="50" t="s">
        <v>43</v>
      </c>
      <c r="R114" s="51">
        <f t="shared" si="26"/>
        <v>5360472</v>
      </c>
      <c r="S114" s="51">
        <f t="shared" si="24"/>
        <v>4829254.0540540535</v>
      </c>
    </row>
    <row r="115" spans="1:19">
      <c r="S115" s="23"/>
    </row>
    <row r="116" spans="1:19" s="85" customFormat="1" ht="15.75">
      <c r="A116" s="248" t="s">
        <v>113</v>
      </c>
      <c r="C116" s="86"/>
      <c r="D116" s="87"/>
      <c r="E116" s="92"/>
      <c r="F116" s="88"/>
      <c r="G116" s="89"/>
      <c r="H116" s="88"/>
      <c r="I116" s="89"/>
      <c r="J116" s="90"/>
      <c r="K116" s="87"/>
      <c r="L116" s="91"/>
      <c r="M116" s="91"/>
      <c r="N116" s="88"/>
      <c r="O116" s="89"/>
      <c r="P116" s="86"/>
      <c r="Q116" s="89"/>
      <c r="R116" s="90"/>
      <c r="S116" s="69"/>
    </row>
    <row r="117" spans="1:19">
      <c r="A117" s="15" t="s">
        <v>114</v>
      </c>
      <c r="S117" s="23"/>
    </row>
    <row r="118" spans="1:19" s="45" customFormat="1">
      <c r="A118" s="44" t="s">
        <v>115</v>
      </c>
      <c r="B118" s="45" t="s">
        <v>19</v>
      </c>
      <c r="C118" s="46">
        <v>182</v>
      </c>
      <c r="D118" s="47" t="s">
        <v>43</v>
      </c>
      <c r="E118" s="48"/>
      <c r="F118" s="49">
        <v>1</v>
      </c>
      <c r="G118" s="50" t="s">
        <v>21</v>
      </c>
      <c r="H118" s="49">
        <v>48</v>
      </c>
      <c r="I118" s="50" t="s">
        <v>43</v>
      </c>
      <c r="J118" s="51">
        <v>36000</v>
      </c>
      <c r="K118" s="47" t="s">
        <v>43</v>
      </c>
      <c r="L118" s="52">
        <v>0.125</v>
      </c>
      <c r="M118" s="52">
        <v>0.05</v>
      </c>
      <c r="N118" s="49"/>
      <c r="O118" s="50" t="s">
        <v>43</v>
      </c>
      <c r="P118" s="46">
        <f t="shared" ref="P118:P142" si="27">(C118+(E118*F118*H118))-N118</f>
        <v>182</v>
      </c>
      <c r="Q118" s="50" t="s">
        <v>43</v>
      </c>
      <c r="R118" s="51">
        <f t="shared" ref="R118:R142" si="28">P118*(J118-(J118*L118)-((J118-(J118*L118))*M118))</f>
        <v>5446350</v>
      </c>
      <c r="S118" s="51">
        <f t="shared" si="24"/>
        <v>4906621.6216216208</v>
      </c>
    </row>
    <row r="119" spans="1:19" s="45" customFormat="1">
      <c r="A119" s="44" t="s">
        <v>116</v>
      </c>
      <c r="B119" s="45" t="s">
        <v>19</v>
      </c>
      <c r="C119" s="46">
        <v>47</v>
      </c>
      <c r="D119" s="47" t="s">
        <v>43</v>
      </c>
      <c r="E119" s="48"/>
      <c r="F119" s="49">
        <v>1</v>
      </c>
      <c r="G119" s="50" t="s">
        <v>21</v>
      </c>
      <c r="H119" s="49">
        <v>48</v>
      </c>
      <c r="I119" s="50" t="s">
        <v>43</v>
      </c>
      <c r="J119" s="51">
        <v>36000</v>
      </c>
      <c r="K119" s="47" t="s">
        <v>43</v>
      </c>
      <c r="L119" s="52">
        <v>0.125</v>
      </c>
      <c r="M119" s="52">
        <v>0.05</v>
      </c>
      <c r="N119" s="49"/>
      <c r="O119" s="50" t="s">
        <v>43</v>
      </c>
      <c r="P119" s="46">
        <f t="shared" si="27"/>
        <v>47</v>
      </c>
      <c r="Q119" s="50" t="s">
        <v>43</v>
      </c>
      <c r="R119" s="51">
        <f t="shared" si="28"/>
        <v>1406475</v>
      </c>
      <c r="S119" s="32">
        <f t="shared" si="24"/>
        <v>1267094.5945945946</v>
      </c>
    </row>
    <row r="120" spans="1:19" s="45" customFormat="1">
      <c r="A120" s="44" t="s">
        <v>830</v>
      </c>
      <c r="B120" s="45" t="s">
        <v>19</v>
      </c>
      <c r="C120" s="46">
        <v>96</v>
      </c>
      <c r="D120" s="47" t="s">
        <v>43</v>
      </c>
      <c r="E120" s="48"/>
      <c r="F120" s="49">
        <v>1</v>
      </c>
      <c r="G120" s="50" t="s">
        <v>21</v>
      </c>
      <c r="H120" s="49">
        <v>48</v>
      </c>
      <c r="I120" s="50" t="s">
        <v>43</v>
      </c>
      <c r="J120" s="51">
        <v>36000</v>
      </c>
      <c r="K120" s="47" t="s">
        <v>43</v>
      </c>
      <c r="L120" s="52">
        <v>0.125</v>
      </c>
      <c r="M120" s="52">
        <v>0.05</v>
      </c>
      <c r="N120" s="49"/>
      <c r="O120" s="50" t="s">
        <v>43</v>
      </c>
      <c r="P120" s="46">
        <f t="shared" si="27"/>
        <v>96</v>
      </c>
      <c r="Q120" s="50" t="s">
        <v>43</v>
      </c>
      <c r="R120" s="51">
        <f t="shared" si="28"/>
        <v>2872800</v>
      </c>
      <c r="S120" s="32">
        <f t="shared" si="24"/>
        <v>2588108.1081081079</v>
      </c>
    </row>
    <row r="121" spans="1:19" s="63" customFormat="1">
      <c r="A121" s="72" t="s">
        <v>118</v>
      </c>
      <c r="B121" s="63" t="s">
        <v>19</v>
      </c>
      <c r="C121" s="64"/>
      <c r="D121" s="65" t="s">
        <v>43</v>
      </c>
      <c r="E121" s="66"/>
      <c r="F121" s="67">
        <v>1</v>
      </c>
      <c r="G121" s="68" t="s">
        <v>21</v>
      </c>
      <c r="H121" s="67">
        <v>48</v>
      </c>
      <c r="I121" s="68" t="s">
        <v>43</v>
      </c>
      <c r="J121" s="69">
        <v>39000</v>
      </c>
      <c r="K121" s="65" t="s">
        <v>43</v>
      </c>
      <c r="L121" s="70">
        <v>0.125</v>
      </c>
      <c r="M121" s="70">
        <v>0.05</v>
      </c>
      <c r="N121" s="67"/>
      <c r="O121" s="68" t="s">
        <v>43</v>
      </c>
      <c r="P121" s="64">
        <f t="shared" si="27"/>
        <v>0</v>
      </c>
      <c r="Q121" s="68" t="s">
        <v>43</v>
      </c>
      <c r="R121" s="69">
        <f t="shared" si="28"/>
        <v>0</v>
      </c>
      <c r="S121" s="23">
        <f t="shared" si="24"/>
        <v>0</v>
      </c>
    </row>
    <row r="122" spans="1:19" s="63" customFormat="1">
      <c r="A122" s="72" t="s">
        <v>119</v>
      </c>
      <c r="B122" s="63" t="s">
        <v>19</v>
      </c>
      <c r="C122" s="64"/>
      <c r="D122" s="65" t="s">
        <v>43</v>
      </c>
      <c r="E122" s="66"/>
      <c r="F122" s="67">
        <v>1</v>
      </c>
      <c r="G122" s="68" t="s">
        <v>21</v>
      </c>
      <c r="H122" s="67">
        <v>48</v>
      </c>
      <c r="I122" s="68" t="s">
        <v>43</v>
      </c>
      <c r="J122" s="69">
        <v>54600</v>
      </c>
      <c r="K122" s="65" t="s">
        <v>43</v>
      </c>
      <c r="L122" s="70">
        <v>0.125</v>
      </c>
      <c r="M122" s="70">
        <v>0.05</v>
      </c>
      <c r="N122" s="67"/>
      <c r="O122" s="68" t="s">
        <v>43</v>
      </c>
      <c r="P122" s="64">
        <f t="shared" si="27"/>
        <v>0</v>
      </c>
      <c r="Q122" s="68" t="s">
        <v>43</v>
      </c>
      <c r="R122" s="69">
        <f t="shared" si="28"/>
        <v>0</v>
      </c>
      <c r="S122" s="23">
        <f t="shared" si="24"/>
        <v>0</v>
      </c>
    </row>
    <row r="123" spans="1:19" s="63" customFormat="1">
      <c r="A123" s="72" t="s">
        <v>120</v>
      </c>
      <c r="B123" s="63" t="s">
        <v>19</v>
      </c>
      <c r="C123" s="64"/>
      <c r="D123" s="65" t="s">
        <v>43</v>
      </c>
      <c r="E123" s="66"/>
      <c r="F123" s="67">
        <v>1</v>
      </c>
      <c r="G123" s="68" t="s">
        <v>21</v>
      </c>
      <c r="H123" s="67">
        <v>48</v>
      </c>
      <c r="I123" s="68" t="s">
        <v>43</v>
      </c>
      <c r="J123" s="69">
        <v>30000</v>
      </c>
      <c r="K123" s="65" t="s">
        <v>43</v>
      </c>
      <c r="L123" s="70">
        <v>0.125</v>
      </c>
      <c r="M123" s="70">
        <v>0.05</v>
      </c>
      <c r="N123" s="67"/>
      <c r="O123" s="68" t="s">
        <v>43</v>
      </c>
      <c r="P123" s="64">
        <f t="shared" si="27"/>
        <v>0</v>
      </c>
      <c r="Q123" s="68" t="s">
        <v>43</v>
      </c>
      <c r="R123" s="69">
        <f t="shared" si="28"/>
        <v>0</v>
      </c>
      <c r="S123" s="23">
        <f t="shared" si="24"/>
        <v>0</v>
      </c>
    </row>
    <row r="124" spans="1:19" s="63" customFormat="1">
      <c r="A124" s="72" t="s">
        <v>770</v>
      </c>
      <c r="B124" s="63" t="s">
        <v>19</v>
      </c>
      <c r="C124" s="64"/>
      <c r="D124" s="65" t="s">
        <v>43</v>
      </c>
      <c r="E124" s="66"/>
      <c r="F124" s="67">
        <v>1</v>
      </c>
      <c r="G124" s="68" t="s">
        <v>21</v>
      </c>
      <c r="H124" s="67">
        <v>48</v>
      </c>
      <c r="I124" s="68" t="s">
        <v>43</v>
      </c>
      <c r="J124" s="69">
        <v>48000</v>
      </c>
      <c r="K124" s="65" t="s">
        <v>43</v>
      </c>
      <c r="L124" s="70">
        <v>0.125</v>
      </c>
      <c r="M124" s="70">
        <v>0.05</v>
      </c>
      <c r="N124" s="67"/>
      <c r="O124" s="68" t="s">
        <v>43</v>
      </c>
      <c r="P124" s="64">
        <f t="shared" si="27"/>
        <v>0</v>
      </c>
      <c r="Q124" s="68" t="s">
        <v>43</v>
      </c>
      <c r="R124" s="69">
        <f t="shared" si="28"/>
        <v>0</v>
      </c>
      <c r="S124" s="23">
        <f t="shared" si="24"/>
        <v>0</v>
      </c>
    </row>
    <row r="125" spans="1:19" s="45" customFormat="1">
      <c r="A125" s="44" t="s">
        <v>121</v>
      </c>
      <c r="B125" s="45" t="s">
        <v>19</v>
      </c>
      <c r="C125" s="46"/>
      <c r="D125" s="47" t="s">
        <v>43</v>
      </c>
      <c r="E125" s="48">
        <v>2</v>
      </c>
      <c r="F125" s="49">
        <v>1</v>
      </c>
      <c r="G125" s="50" t="s">
        <v>21</v>
      </c>
      <c r="H125" s="49">
        <v>36</v>
      </c>
      <c r="I125" s="50" t="s">
        <v>43</v>
      </c>
      <c r="J125" s="51">
        <v>41400</v>
      </c>
      <c r="K125" s="47" t="s">
        <v>43</v>
      </c>
      <c r="L125" s="52">
        <v>0.125</v>
      </c>
      <c r="M125" s="52">
        <v>0.05</v>
      </c>
      <c r="N125" s="49"/>
      <c r="O125" s="50" t="s">
        <v>43</v>
      </c>
      <c r="P125" s="46">
        <f t="shared" si="27"/>
        <v>72</v>
      </c>
      <c r="Q125" s="50" t="s">
        <v>43</v>
      </c>
      <c r="R125" s="51">
        <f t="shared" si="28"/>
        <v>2477790</v>
      </c>
      <c r="S125" s="32">
        <f t="shared" si="24"/>
        <v>2232243.2432432431</v>
      </c>
    </row>
    <row r="126" spans="1:19" s="63" customFormat="1">
      <c r="A126" s="72" t="s">
        <v>122</v>
      </c>
      <c r="B126" s="63" t="s">
        <v>19</v>
      </c>
      <c r="C126" s="64"/>
      <c r="D126" s="65" t="s">
        <v>43</v>
      </c>
      <c r="E126" s="66"/>
      <c r="F126" s="67">
        <v>1</v>
      </c>
      <c r="G126" s="68" t="s">
        <v>21</v>
      </c>
      <c r="H126" s="67">
        <v>36</v>
      </c>
      <c r="I126" s="68" t="s">
        <v>43</v>
      </c>
      <c r="J126" s="69">
        <v>41400</v>
      </c>
      <c r="K126" s="65" t="s">
        <v>43</v>
      </c>
      <c r="L126" s="70">
        <v>0.125</v>
      </c>
      <c r="M126" s="70">
        <v>0.05</v>
      </c>
      <c r="N126" s="67"/>
      <c r="O126" s="68" t="s">
        <v>43</v>
      </c>
      <c r="P126" s="64">
        <f t="shared" si="27"/>
        <v>0</v>
      </c>
      <c r="Q126" s="68" t="s">
        <v>43</v>
      </c>
      <c r="R126" s="69">
        <f t="shared" si="28"/>
        <v>0</v>
      </c>
      <c r="S126" s="23">
        <f t="shared" si="24"/>
        <v>0</v>
      </c>
    </row>
    <row r="127" spans="1:19" s="45" customFormat="1">
      <c r="A127" s="44" t="s">
        <v>123</v>
      </c>
      <c r="B127" s="45" t="s">
        <v>19</v>
      </c>
      <c r="C127" s="46">
        <v>480</v>
      </c>
      <c r="D127" s="47" t="s">
        <v>43</v>
      </c>
      <c r="E127" s="48">
        <v>3</v>
      </c>
      <c r="F127" s="49">
        <v>24</v>
      </c>
      <c r="G127" s="50" t="s">
        <v>34</v>
      </c>
      <c r="H127" s="49">
        <v>2</v>
      </c>
      <c r="I127" s="50" t="s">
        <v>43</v>
      </c>
      <c r="J127" s="51">
        <f>70800/2</f>
        <v>35400</v>
      </c>
      <c r="K127" s="47" t="s">
        <v>43</v>
      </c>
      <c r="L127" s="52">
        <v>0.125</v>
      </c>
      <c r="M127" s="52">
        <v>0.05</v>
      </c>
      <c r="N127" s="49">
        <f>(72*2)</f>
        <v>144</v>
      </c>
      <c r="O127" s="50" t="s">
        <v>43</v>
      </c>
      <c r="P127" s="46">
        <f t="shared" si="27"/>
        <v>480</v>
      </c>
      <c r="Q127" s="50" t="s">
        <v>43</v>
      </c>
      <c r="R127" s="51">
        <f t="shared" si="28"/>
        <v>14124600</v>
      </c>
      <c r="S127" s="51">
        <f t="shared" si="24"/>
        <v>12724864.864864863</v>
      </c>
    </row>
    <row r="128" spans="1:19" s="45" customFormat="1">
      <c r="A128" s="44" t="s">
        <v>124</v>
      </c>
      <c r="B128" s="45" t="s">
        <v>19</v>
      </c>
      <c r="C128" s="46">
        <v>240</v>
      </c>
      <c r="D128" s="47" t="s">
        <v>43</v>
      </c>
      <c r="E128" s="48">
        <f>5+3</f>
        <v>8</v>
      </c>
      <c r="F128" s="49">
        <v>24</v>
      </c>
      <c r="G128" s="50" t="s">
        <v>34</v>
      </c>
      <c r="H128" s="49">
        <v>2</v>
      </c>
      <c r="I128" s="50" t="s">
        <v>43</v>
      </c>
      <c r="J128" s="51">
        <f>70800/2</f>
        <v>35400</v>
      </c>
      <c r="K128" s="47" t="s">
        <v>43</v>
      </c>
      <c r="L128" s="52">
        <v>0.125</v>
      </c>
      <c r="M128" s="52">
        <v>0.05</v>
      </c>
      <c r="N128" s="49">
        <f>(120*2)+(72*2)</f>
        <v>384</v>
      </c>
      <c r="O128" s="50" t="s">
        <v>43</v>
      </c>
      <c r="P128" s="46">
        <f t="shared" si="27"/>
        <v>240</v>
      </c>
      <c r="Q128" s="50" t="s">
        <v>43</v>
      </c>
      <c r="R128" s="51">
        <f t="shared" si="28"/>
        <v>7062300</v>
      </c>
      <c r="S128" s="32">
        <f t="shared" si="24"/>
        <v>6362432.4324324317</v>
      </c>
    </row>
    <row r="129" spans="1:19" s="45" customFormat="1">
      <c r="A129" s="44" t="s">
        <v>125</v>
      </c>
      <c r="B129" s="45" t="s">
        <v>19</v>
      </c>
      <c r="C129" s="46">
        <v>36</v>
      </c>
      <c r="D129" s="47" t="s">
        <v>43</v>
      </c>
      <c r="E129" s="48"/>
      <c r="F129" s="49">
        <v>1</v>
      </c>
      <c r="G129" s="50" t="s">
        <v>21</v>
      </c>
      <c r="H129" s="49">
        <v>36</v>
      </c>
      <c r="I129" s="50" t="s">
        <v>43</v>
      </c>
      <c r="J129" s="51">
        <v>34200</v>
      </c>
      <c r="K129" s="47" t="s">
        <v>43</v>
      </c>
      <c r="L129" s="52">
        <v>0.125</v>
      </c>
      <c r="M129" s="52">
        <v>0.05</v>
      </c>
      <c r="N129" s="49"/>
      <c r="O129" s="50" t="s">
        <v>43</v>
      </c>
      <c r="P129" s="46">
        <f t="shared" si="27"/>
        <v>36</v>
      </c>
      <c r="Q129" s="50" t="s">
        <v>43</v>
      </c>
      <c r="R129" s="51">
        <f t="shared" si="28"/>
        <v>1023435</v>
      </c>
      <c r="S129" s="32">
        <f t="shared" si="24"/>
        <v>922013.51351351338</v>
      </c>
    </row>
    <row r="130" spans="1:19" s="45" customFormat="1">
      <c r="A130" s="44" t="s">
        <v>126</v>
      </c>
      <c r="B130" s="45" t="s">
        <v>19</v>
      </c>
      <c r="C130" s="46">
        <v>48</v>
      </c>
      <c r="D130" s="47" t="s">
        <v>43</v>
      </c>
      <c r="E130" s="48"/>
      <c r="F130" s="49">
        <v>24</v>
      </c>
      <c r="G130" s="50" t="s">
        <v>34</v>
      </c>
      <c r="H130" s="49">
        <v>2</v>
      </c>
      <c r="I130" s="50" t="s">
        <v>43</v>
      </c>
      <c r="J130" s="51">
        <f>46800/2</f>
        <v>23400</v>
      </c>
      <c r="K130" s="47" t="s">
        <v>43</v>
      </c>
      <c r="L130" s="52">
        <v>0.125</v>
      </c>
      <c r="M130" s="52">
        <v>0.05</v>
      </c>
      <c r="N130" s="49"/>
      <c r="O130" s="50" t="s">
        <v>43</v>
      </c>
      <c r="P130" s="46">
        <f t="shared" si="27"/>
        <v>48</v>
      </c>
      <c r="Q130" s="50" t="s">
        <v>43</v>
      </c>
      <c r="R130" s="51">
        <f t="shared" si="28"/>
        <v>933660</v>
      </c>
      <c r="S130" s="32">
        <f t="shared" si="24"/>
        <v>841135.13513513503</v>
      </c>
    </row>
    <row r="131" spans="1:19" s="63" customFormat="1">
      <c r="A131" s="72" t="s">
        <v>127</v>
      </c>
      <c r="B131" s="63" t="s">
        <v>19</v>
      </c>
      <c r="C131" s="64"/>
      <c r="D131" s="65" t="s">
        <v>43</v>
      </c>
      <c r="E131" s="66"/>
      <c r="F131" s="67">
        <v>60</v>
      </c>
      <c r="G131" s="68" t="s">
        <v>34</v>
      </c>
      <c r="H131" s="67">
        <v>1</v>
      </c>
      <c r="I131" s="68" t="s">
        <v>43</v>
      </c>
      <c r="J131" s="69">
        <v>43200</v>
      </c>
      <c r="K131" s="65" t="s">
        <v>43</v>
      </c>
      <c r="L131" s="70">
        <v>0.125</v>
      </c>
      <c r="M131" s="70">
        <v>0.05</v>
      </c>
      <c r="N131" s="67"/>
      <c r="O131" s="68" t="s">
        <v>43</v>
      </c>
      <c r="P131" s="64">
        <f t="shared" si="27"/>
        <v>0</v>
      </c>
      <c r="Q131" s="68" t="s">
        <v>43</v>
      </c>
      <c r="R131" s="69">
        <f t="shared" si="28"/>
        <v>0</v>
      </c>
      <c r="S131" s="23">
        <f t="shared" si="24"/>
        <v>0</v>
      </c>
    </row>
    <row r="132" spans="1:19" s="45" customFormat="1">
      <c r="A132" s="44" t="s">
        <v>764</v>
      </c>
      <c r="B132" s="45" t="s">
        <v>19</v>
      </c>
      <c r="C132" s="46">
        <v>210</v>
      </c>
      <c r="D132" s="47" t="s">
        <v>43</v>
      </c>
      <c r="E132" s="48"/>
      <c r="F132" s="49">
        <v>120</v>
      </c>
      <c r="G132" s="50" t="s">
        <v>34</v>
      </c>
      <c r="H132" s="49">
        <v>1</v>
      </c>
      <c r="I132" s="50" t="s">
        <v>43</v>
      </c>
      <c r="J132" s="51">
        <v>17400</v>
      </c>
      <c r="K132" s="47" t="s">
        <v>43</v>
      </c>
      <c r="L132" s="52">
        <v>0.125</v>
      </c>
      <c r="M132" s="52">
        <v>0.05</v>
      </c>
      <c r="N132" s="49"/>
      <c r="O132" s="50" t="s">
        <v>43</v>
      </c>
      <c r="P132" s="46">
        <f t="shared" si="27"/>
        <v>210</v>
      </c>
      <c r="Q132" s="50" t="s">
        <v>43</v>
      </c>
      <c r="R132" s="51">
        <f t="shared" si="28"/>
        <v>3037387.5</v>
      </c>
      <c r="S132" s="32">
        <f t="shared" si="24"/>
        <v>2736385.1351351347</v>
      </c>
    </row>
    <row r="133" spans="1:19" s="45" customFormat="1">
      <c r="A133" s="44"/>
      <c r="C133" s="46"/>
      <c r="D133" s="47"/>
      <c r="E133" s="48"/>
      <c r="F133" s="49"/>
      <c r="G133" s="50"/>
      <c r="H133" s="49"/>
      <c r="I133" s="50"/>
      <c r="J133" s="51"/>
      <c r="K133" s="47"/>
      <c r="L133" s="52"/>
      <c r="M133" s="52"/>
      <c r="N133" s="49"/>
      <c r="O133" s="50"/>
      <c r="P133" s="46"/>
      <c r="Q133" s="50"/>
      <c r="R133" s="51"/>
      <c r="S133" s="32"/>
    </row>
    <row r="134" spans="1:19" s="63" customFormat="1">
      <c r="A134" s="72" t="s">
        <v>128</v>
      </c>
      <c r="B134" s="63" t="s">
        <v>26</v>
      </c>
      <c r="C134" s="64"/>
      <c r="D134" s="65" t="s">
        <v>43</v>
      </c>
      <c r="E134" s="66"/>
      <c r="F134" s="67">
        <v>1</v>
      </c>
      <c r="G134" s="68" t="s">
        <v>21</v>
      </c>
      <c r="H134" s="67">
        <v>36</v>
      </c>
      <c r="I134" s="68" t="s">
        <v>43</v>
      </c>
      <c r="J134" s="69">
        <f>1954800/36</f>
        <v>54300</v>
      </c>
      <c r="K134" s="65" t="s">
        <v>43</v>
      </c>
      <c r="L134" s="70"/>
      <c r="M134" s="70">
        <v>0.17</v>
      </c>
      <c r="N134" s="67"/>
      <c r="O134" s="68" t="s">
        <v>43</v>
      </c>
      <c r="P134" s="64">
        <f t="shared" si="27"/>
        <v>0</v>
      </c>
      <c r="Q134" s="68" t="s">
        <v>43</v>
      </c>
      <c r="R134" s="69">
        <f t="shared" si="28"/>
        <v>0</v>
      </c>
      <c r="S134" s="23">
        <f t="shared" si="24"/>
        <v>0</v>
      </c>
    </row>
    <row r="135" spans="1:19" s="45" customFormat="1">
      <c r="A135" s="44" t="s">
        <v>129</v>
      </c>
      <c r="B135" s="45" t="s">
        <v>26</v>
      </c>
      <c r="C135" s="46">
        <v>216</v>
      </c>
      <c r="D135" s="47" t="s">
        <v>43</v>
      </c>
      <c r="E135" s="48"/>
      <c r="F135" s="49">
        <v>1</v>
      </c>
      <c r="G135" s="50" t="s">
        <v>21</v>
      </c>
      <c r="H135" s="49">
        <v>36</v>
      </c>
      <c r="I135" s="50" t="s">
        <v>43</v>
      </c>
      <c r="J135" s="51">
        <f>1954800/36</f>
        <v>54300</v>
      </c>
      <c r="K135" s="47" t="s">
        <v>43</v>
      </c>
      <c r="L135" s="52"/>
      <c r="M135" s="52">
        <v>0.17</v>
      </c>
      <c r="N135" s="49"/>
      <c r="O135" s="50" t="s">
        <v>43</v>
      </c>
      <c r="P135" s="46">
        <f t="shared" si="27"/>
        <v>216</v>
      </c>
      <c r="Q135" s="50" t="s">
        <v>43</v>
      </c>
      <c r="R135" s="51">
        <f t="shared" si="28"/>
        <v>9734904</v>
      </c>
      <c r="S135" s="51">
        <f t="shared" si="24"/>
        <v>8770183.7837837823</v>
      </c>
    </row>
    <row r="136" spans="1:19" s="45" customFormat="1">
      <c r="A136" s="44" t="s">
        <v>130</v>
      </c>
      <c r="B136" s="45" t="s">
        <v>26</v>
      </c>
      <c r="C136" s="46"/>
      <c r="D136" s="47" t="s">
        <v>43</v>
      </c>
      <c r="E136" s="48">
        <f>10+10+5+10+5</f>
        <v>40</v>
      </c>
      <c r="F136" s="49">
        <v>1</v>
      </c>
      <c r="G136" s="50" t="s">
        <v>21</v>
      </c>
      <c r="H136" s="49">
        <v>36</v>
      </c>
      <c r="I136" s="50" t="s">
        <v>43</v>
      </c>
      <c r="J136" s="51">
        <f>1954800/36</f>
        <v>54300</v>
      </c>
      <c r="K136" s="47" t="s">
        <v>43</v>
      </c>
      <c r="L136" s="52"/>
      <c r="M136" s="52">
        <v>0.17</v>
      </c>
      <c r="N136" s="49">
        <f>150+144+72+72+72+72+72+36+144+2+2+36+36+144+16+6</f>
        <v>1076</v>
      </c>
      <c r="O136" s="50" t="s">
        <v>43</v>
      </c>
      <c r="P136" s="46">
        <f t="shared" si="27"/>
        <v>364</v>
      </c>
      <c r="Q136" s="50" t="s">
        <v>43</v>
      </c>
      <c r="R136" s="51">
        <f t="shared" si="28"/>
        <v>16405116</v>
      </c>
      <c r="S136" s="51">
        <f t="shared" si="24"/>
        <v>14779383.783783782</v>
      </c>
    </row>
    <row r="137" spans="1:19" s="45" customFormat="1">
      <c r="A137" s="44" t="s">
        <v>131</v>
      </c>
      <c r="B137" s="45" t="s">
        <v>26</v>
      </c>
      <c r="C137" s="46"/>
      <c r="D137" s="47" t="s">
        <v>43</v>
      </c>
      <c r="E137" s="48">
        <f>4+2</f>
        <v>6</v>
      </c>
      <c r="F137" s="49">
        <v>1</v>
      </c>
      <c r="G137" s="50" t="s">
        <v>21</v>
      </c>
      <c r="H137" s="49">
        <v>36</v>
      </c>
      <c r="I137" s="50" t="s">
        <v>43</v>
      </c>
      <c r="J137" s="51">
        <f>2008800/36</f>
        <v>55800</v>
      </c>
      <c r="K137" s="47" t="s">
        <v>43</v>
      </c>
      <c r="L137" s="52"/>
      <c r="M137" s="52">
        <v>0.17</v>
      </c>
      <c r="N137" s="49">
        <f>75+36+2+36+34</f>
        <v>183</v>
      </c>
      <c r="O137" s="50" t="s">
        <v>43</v>
      </c>
      <c r="P137" s="46">
        <f t="shared" si="27"/>
        <v>33</v>
      </c>
      <c r="Q137" s="50" t="s">
        <v>43</v>
      </c>
      <c r="R137" s="51">
        <f t="shared" si="28"/>
        <v>1528362</v>
      </c>
      <c r="S137" s="51">
        <f t="shared" si="24"/>
        <v>1376902.7027027025</v>
      </c>
    </row>
    <row r="138" spans="1:19" s="45" customFormat="1">
      <c r="A138" s="44" t="s">
        <v>132</v>
      </c>
      <c r="B138" s="45" t="s">
        <v>26</v>
      </c>
      <c r="C138" s="46"/>
      <c r="D138" s="47" t="s">
        <v>43</v>
      </c>
      <c r="E138" s="48">
        <f>4+2+6</f>
        <v>12</v>
      </c>
      <c r="F138" s="49">
        <v>1</v>
      </c>
      <c r="G138" s="50" t="s">
        <v>21</v>
      </c>
      <c r="H138" s="49">
        <v>36</v>
      </c>
      <c r="I138" s="50" t="s">
        <v>43</v>
      </c>
      <c r="J138" s="51">
        <f>1695600/36</f>
        <v>47100</v>
      </c>
      <c r="K138" s="47" t="s">
        <v>43</v>
      </c>
      <c r="L138" s="52"/>
      <c r="M138" s="52">
        <v>0.17</v>
      </c>
      <c r="N138" s="49">
        <f>144+72+72+72</f>
        <v>360</v>
      </c>
      <c r="O138" s="50" t="s">
        <v>43</v>
      </c>
      <c r="P138" s="46">
        <f t="shared" si="27"/>
        <v>72</v>
      </c>
      <c r="Q138" s="50" t="s">
        <v>43</v>
      </c>
      <c r="R138" s="51">
        <f t="shared" si="28"/>
        <v>2814696</v>
      </c>
      <c r="S138" s="51">
        <f t="shared" si="24"/>
        <v>2535762.1621621619</v>
      </c>
    </row>
    <row r="139" spans="1:19" s="45" customFormat="1">
      <c r="A139" s="44" t="s">
        <v>133</v>
      </c>
      <c r="B139" s="45" t="s">
        <v>26</v>
      </c>
      <c r="C139" s="46"/>
      <c r="D139" s="47" t="s">
        <v>43</v>
      </c>
      <c r="E139" s="48">
        <f>2+2</f>
        <v>4</v>
      </c>
      <c r="F139" s="49">
        <v>1</v>
      </c>
      <c r="G139" s="50" t="s">
        <v>21</v>
      </c>
      <c r="H139" s="49">
        <v>36</v>
      </c>
      <c r="I139" s="50" t="s">
        <v>43</v>
      </c>
      <c r="J139" s="51">
        <f>1922400/36</f>
        <v>53400</v>
      </c>
      <c r="K139" s="47" t="s">
        <v>43</v>
      </c>
      <c r="L139" s="52"/>
      <c r="M139" s="52">
        <v>0.17</v>
      </c>
      <c r="N139" s="49">
        <v>72</v>
      </c>
      <c r="O139" s="50" t="s">
        <v>43</v>
      </c>
      <c r="P139" s="46">
        <f t="shared" si="27"/>
        <v>72</v>
      </c>
      <c r="Q139" s="50" t="s">
        <v>43</v>
      </c>
      <c r="R139" s="51">
        <f t="shared" si="28"/>
        <v>3191184</v>
      </c>
      <c r="S139" s="51">
        <f t="shared" si="24"/>
        <v>2874940.5405405401</v>
      </c>
    </row>
    <row r="140" spans="1:19" s="63" customFormat="1">
      <c r="A140" s="95" t="s">
        <v>134</v>
      </c>
      <c r="B140" s="96" t="s">
        <v>26</v>
      </c>
      <c r="C140" s="97">
        <v>208</v>
      </c>
      <c r="D140" s="98" t="s">
        <v>43</v>
      </c>
      <c r="E140" s="105"/>
      <c r="F140" s="100">
        <v>1</v>
      </c>
      <c r="G140" s="101" t="s">
        <v>21</v>
      </c>
      <c r="H140" s="100">
        <v>36</v>
      </c>
      <c r="I140" s="101" t="s">
        <v>43</v>
      </c>
      <c r="J140" s="102">
        <f>1998000/36</f>
        <v>55500</v>
      </c>
      <c r="K140" s="98" t="s">
        <v>43</v>
      </c>
      <c r="L140" s="103"/>
      <c r="M140" s="103">
        <v>0.17</v>
      </c>
      <c r="N140" s="100">
        <f>72+72+72-8</f>
        <v>208</v>
      </c>
      <c r="O140" s="101" t="s">
        <v>43</v>
      </c>
      <c r="P140" s="97">
        <f t="shared" si="27"/>
        <v>0</v>
      </c>
      <c r="Q140" s="101" t="s">
        <v>43</v>
      </c>
      <c r="R140" s="102">
        <f t="shared" si="28"/>
        <v>0</v>
      </c>
      <c r="S140" s="102">
        <f t="shared" si="24"/>
        <v>0</v>
      </c>
    </row>
    <row r="141" spans="1:19" s="45" customFormat="1">
      <c r="A141" s="35" t="s">
        <v>134</v>
      </c>
      <c r="B141" s="36" t="s">
        <v>26</v>
      </c>
      <c r="C141" s="37"/>
      <c r="D141" s="38" t="s">
        <v>43</v>
      </c>
      <c r="E141" s="39">
        <f>1+2+1+4+2</f>
        <v>10</v>
      </c>
      <c r="F141" s="40">
        <v>1</v>
      </c>
      <c r="G141" s="41" t="s">
        <v>21</v>
      </c>
      <c r="H141" s="40">
        <v>36</v>
      </c>
      <c r="I141" s="41" t="s">
        <v>43</v>
      </c>
      <c r="J141" s="42">
        <f>2052000/36</f>
        <v>57000</v>
      </c>
      <c r="K141" s="38" t="s">
        <v>43</v>
      </c>
      <c r="L141" s="43"/>
      <c r="M141" s="43">
        <v>0.17</v>
      </c>
      <c r="N141" s="40">
        <f>(72-64)+36+10+4</f>
        <v>58</v>
      </c>
      <c r="O141" s="41" t="s">
        <v>43</v>
      </c>
      <c r="P141" s="37">
        <f t="shared" ref="P141" si="29">(C141+(E141*F141*H141))-N141</f>
        <v>302</v>
      </c>
      <c r="Q141" s="41" t="s">
        <v>43</v>
      </c>
      <c r="R141" s="42">
        <f t="shared" ref="R141" si="30">P141*(J141-(J141*L141)-((J141-(J141*L141))*M141))</f>
        <v>14287620</v>
      </c>
      <c r="S141" s="42">
        <f t="shared" ref="S141" si="31">R141/1.11</f>
        <v>12871729.729729729</v>
      </c>
    </row>
    <row r="142" spans="1:19" s="26" customFormat="1">
      <c r="A142" s="25" t="s">
        <v>135</v>
      </c>
      <c r="B142" s="26" t="s">
        <v>26</v>
      </c>
      <c r="C142" s="27"/>
      <c r="D142" s="28" t="s">
        <v>43</v>
      </c>
      <c r="E142" s="29">
        <v>2</v>
      </c>
      <c r="F142" s="30">
        <v>1</v>
      </c>
      <c r="G142" s="31" t="s">
        <v>21</v>
      </c>
      <c r="H142" s="30">
        <v>36</v>
      </c>
      <c r="I142" s="31" t="s">
        <v>43</v>
      </c>
      <c r="J142" s="32">
        <f>2170800/36</f>
        <v>60300</v>
      </c>
      <c r="K142" s="28" t="s">
        <v>43</v>
      </c>
      <c r="L142" s="33"/>
      <c r="M142" s="33">
        <v>0.17</v>
      </c>
      <c r="N142" s="30"/>
      <c r="O142" s="31" t="s">
        <v>43</v>
      </c>
      <c r="P142" s="27">
        <f t="shared" si="27"/>
        <v>72</v>
      </c>
      <c r="Q142" s="31" t="s">
        <v>43</v>
      </c>
      <c r="R142" s="32">
        <f t="shared" si="28"/>
        <v>3603528</v>
      </c>
      <c r="S142" s="32">
        <f t="shared" si="24"/>
        <v>3246421.6216216213</v>
      </c>
    </row>
    <row r="143" spans="1:19" s="26" customFormat="1">
      <c r="A143" s="25"/>
      <c r="C143" s="27"/>
      <c r="D143" s="28"/>
      <c r="E143" s="29"/>
      <c r="F143" s="30"/>
      <c r="G143" s="31"/>
      <c r="H143" s="30"/>
      <c r="I143" s="31"/>
      <c r="J143" s="32"/>
      <c r="K143" s="28"/>
      <c r="L143" s="33"/>
      <c r="M143" s="33"/>
      <c r="N143" s="30"/>
      <c r="O143" s="31"/>
      <c r="P143" s="27"/>
      <c r="Q143" s="31"/>
      <c r="R143" s="32"/>
      <c r="S143" s="32"/>
    </row>
    <row r="144" spans="1:19">
      <c r="A144" s="15" t="s">
        <v>136</v>
      </c>
      <c r="S144" s="23"/>
    </row>
    <row r="145" spans="1:20" s="26" customFormat="1">
      <c r="A145" s="25" t="s">
        <v>137</v>
      </c>
      <c r="B145" s="26" t="s">
        <v>19</v>
      </c>
      <c r="C145" s="27">
        <v>24</v>
      </c>
      <c r="D145" s="28" t="s">
        <v>43</v>
      </c>
      <c r="E145" s="29">
        <v>1</v>
      </c>
      <c r="F145" s="30">
        <v>60</v>
      </c>
      <c r="G145" s="31" t="s">
        <v>34</v>
      </c>
      <c r="H145" s="30">
        <v>1</v>
      </c>
      <c r="I145" s="31" t="s">
        <v>43</v>
      </c>
      <c r="J145" s="32">
        <f>4600*12</f>
        <v>55200</v>
      </c>
      <c r="K145" s="28" t="s">
        <v>43</v>
      </c>
      <c r="L145" s="33">
        <v>0.125</v>
      </c>
      <c r="M145" s="33">
        <v>0.05</v>
      </c>
      <c r="N145" s="30">
        <f>60+18</f>
        <v>78</v>
      </c>
      <c r="O145" s="31" t="s">
        <v>43</v>
      </c>
      <c r="P145" s="27">
        <f t="shared" ref="P145:P173" si="32">(C145+(E145*F145*H145))-N145</f>
        <v>6</v>
      </c>
      <c r="Q145" s="31" t="s">
        <v>43</v>
      </c>
      <c r="R145" s="32">
        <f t="shared" ref="R145:R173" si="33">P145*(J145-(J145*L145)-((J145-(J145*L145))*M145))</f>
        <v>275310</v>
      </c>
      <c r="S145" s="32">
        <f t="shared" si="24"/>
        <v>248027.02702702701</v>
      </c>
    </row>
    <row r="146" spans="1:20" s="17" customFormat="1">
      <c r="A146" s="16" t="s">
        <v>138</v>
      </c>
      <c r="B146" s="17" t="s">
        <v>19</v>
      </c>
      <c r="C146" s="18"/>
      <c r="D146" s="19" t="s">
        <v>43</v>
      </c>
      <c r="E146" s="20"/>
      <c r="F146" s="21">
        <v>60</v>
      </c>
      <c r="G146" s="22" t="s">
        <v>34</v>
      </c>
      <c r="H146" s="21">
        <v>1</v>
      </c>
      <c r="I146" s="22" t="s">
        <v>43</v>
      </c>
      <c r="J146" s="23">
        <f>4500*12</f>
        <v>54000</v>
      </c>
      <c r="K146" s="19" t="s">
        <v>43</v>
      </c>
      <c r="L146" s="24">
        <v>0.125</v>
      </c>
      <c r="M146" s="24">
        <v>0.05</v>
      </c>
      <c r="N146" s="21"/>
      <c r="O146" s="22" t="s">
        <v>43</v>
      </c>
      <c r="P146" s="18">
        <f t="shared" si="32"/>
        <v>0</v>
      </c>
      <c r="Q146" s="22" t="s">
        <v>43</v>
      </c>
      <c r="R146" s="23">
        <f t="shared" si="33"/>
        <v>0</v>
      </c>
      <c r="S146" s="23">
        <f t="shared" si="24"/>
        <v>0</v>
      </c>
    </row>
    <row r="147" spans="1:20" s="17" customFormat="1">
      <c r="A147" s="16" t="s">
        <v>771</v>
      </c>
      <c r="B147" s="17" t="s">
        <v>19</v>
      </c>
      <c r="C147" s="18"/>
      <c r="D147" s="19" t="s">
        <v>43</v>
      </c>
      <c r="E147" s="20"/>
      <c r="F147" s="21">
        <v>60</v>
      </c>
      <c r="G147" s="22" t="s">
        <v>34</v>
      </c>
      <c r="H147" s="21">
        <v>1</v>
      </c>
      <c r="I147" s="22" t="s">
        <v>43</v>
      </c>
      <c r="J147" s="23">
        <f>4500*12</f>
        <v>54000</v>
      </c>
      <c r="K147" s="19" t="s">
        <v>43</v>
      </c>
      <c r="L147" s="24">
        <v>0.125</v>
      </c>
      <c r="M147" s="24">
        <v>0.05</v>
      </c>
      <c r="N147" s="21"/>
      <c r="O147" s="22" t="s">
        <v>43</v>
      </c>
      <c r="P147" s="18">
        <f t="shared" si="32"/>
        <v>0</v>
      </c>
      <c r="Q147" s="22" t="s">
        <v>43</v>
      </c>
      <c r="R147" s="23">
        <f t="shared" si="33"/>
        <v>0</v>
      </c>
      <c r="S147" s="23">
        <f t="shared" si="24"/>
        <v>0</v>
      </c>
    </row>
    <row r="148" spans="1:20" s="17" customFormat="1">
      <c r="A148" s="16" t="s">
        <v>139</v>
      </c>
      <c r="B148" s="17" t="s">
        <v>19</v>
      </c>
      <c r="C148" s="18"/>
      <c r="D148" s="19" t="s">
        <v>43</v>
      </c>
      <c r="E148" s="20"/>
      <c r="F148" s="21">
        <v>30</v>
      </c>
      <c r="G148" s="22" t="s">
        <v>34</v>
      </c>
      <c r="H148" s="21">
        <v>1</v>
      </c>
      <c r="I148" s="22" t="s">
        <v>43</v>
      </c>
      <c r="J148" s="23">
        <f>5500*12</f>
        <v>66000</v>
      </c>
      <c r="K148" s="19" t="s">
        <v>43</v>
      </c>
      <c r="L148" s="24">
        <v>0.125</v>
      </c>
      <c r="M148" s="24">
        <v>0.05</v>
      </c>
      <c r="N148" s="21"/>
      <c r="O148" s="22" t="s">
        <v>43</v>
      </c>
      <c r="P148" s="18">
        <f t="shared" si="32"/>
        <v>0</v>
      </c>
      <c r="Q148" s="22" t="s">
        <v>43</v>
      </c>
      <c r="R148" s="23">
        <f t="shared" si="33"/>
        <v>0</v>
      </c>
      <c r="S148" s="23">
        <f t="shared" si="24"/>
        <v>0</v>
      </c>
    </row>
    <row r="149" spans="1:20" s="45" customFormat="1">
      <c r="A149" s="44" t="s">
        <v>824</v>
      </c>
      <c r="B149" s="45" t="s">
        <v>19</v>
      </c>
      <c r="C149" s="46">
        <v>6</v>
      </c>
      <c r="D149" s="47" t="s">
        <v>43</v>
      </c>
      <c r="E149" s="48"/>
      <c r="F149" s="49">
        <v>30</v>
      </c>
      <c r="G149" s="50" t="s">
        <v>34</v>
      </c>
      <c r="H149" s="49">
        <v>1</v>
      </c>
      <c r="I149" s="50" t="s">
        <v>43</v>
      </c>
      <c r="J149" s="51">
        <f>10500*12</f>
        <v>126000</v>
      </c>
      <c r="K149" s="47" t="s">
        <v>43</v>
      </c>
      <c r="L149" s="52">
        <v>0.125</v>
      </c>
      <c r="M149" s="52">
        <v>0.05</v>
      </c>
      <c r="N149" s="49"/>
      <c r="O149" s="50" t="s">
        <v>43</v>
      </c>
      <c r="P149" s="46">
        <f t="shared" si="32"/>
        <v>6</v>
      </c>
      <c r="Q149" s="50" t="s">
        <v>43</v>
      </c>
      <c r="R149" s="51">
        <f t="shared" si="33"/>
        <v>628425</v>
      </c>
      <c r="S149" s="51">
        <f t="shared" si="24"/>
        <v>566148.64864864864</v>
      </c>
    </row>
    <row r="150" spans="1:20" s="45" customFormat="1">
      <c r="A150" s="44" t="s">
        <v>140</v>
      </c>
      <c r="B150" s="45" t="s">
        <v>19</v>
      </c>
      <c r="C150" s="46">
        <v>289</v>
      </c>
      <c r="D150" s="47" t="s">
        <v>43</v>
      </c>
      <c r="E150" s="48">
        <v>5</v>
      </c>
      <c r="F150" s="49">
        <v>60</v>
      </c>
      <c r="G150" s="50" t="s">
        <v>34</v>
      </c>
      <c r="H150" s="49">
        <v>1</v>
      </c>
      <c r="I150" s="50" t="s">
        <v>43</v>
      </c>
      <c r="J150" s="51">
        <f>4800*12</f>
        <v>57600</v>
      </c>
      <c r="K150" s="47" t="s">
        <v>43</v>
      </c>
      <c r="L150" s="52">
        <v>0.125</v>
      </c>
      <c r="M150" s="52">
        <v>0.05</v>
      </c>
      <c r="N150" s="49">
        <f>60+60+120+60+60+60+60</f>
        <v>480</v>
      </c>
      <c r="O150" s="50" t="s">
        <v>43</v>
      </c>
      <c r="P150" s="46">
        <f t="shared" si="32"/>
        <v>109</v>
      </c>
      <c r="Q150" s="50" t="s">
        <v>43</v>
      </c>
      <c r="R150" s="51">
        <f t="shared" si="33"/>
        <v>5218920</v>
      </c>
      <c r="S150" s="51">
        <f t="shared" si="24"/>
        <v>4701729.7297297297</v>
      </c>
    </row>
    <row r="151" spans="1:20" s="63" customFormat="1">
      <c r="A151" s="72" t="s">
        <v>141</v>
      </c>
      <c r="B151" s="63" t="s">
        <v>19</v>
      </c>
      <c r="C151" s="64"/>
      <c r="D151" s="65" t="s">
        <v>43</v>
      </c>
      <c r="E151" s="66"/>
      <c r="F151" s="67">
        <v>60</v>
      </c>
      <c r="G151" s="68" t="s">
        <v>34</v>
      </c>
      <c r="H151" s="67">
        <v>1</v>
      </c>
      <c r="I151" s="68" t="s">
        <v>43</v>
      </c>
      <c r="J151" s="69">
        <f>5800*12</f>
        <v>69600</v>
      </c>
      <c r="K151" s="65" t="s">
        <v>43</v>
      </c>
      <c r="L151" s="70">
        <v>0.125</v>
      </c>
      <c r="M151" s="70">
        <v>0.05</v>
      </c>
      <c r="N151" s="67"/>
      <c r="O151" s="68" t="s">
        <v>43</v>
      </c>
      <c r="P151" s="64">
        <f t="shared" si="32"/>
        <v>0</v>
      </c>
      <c r="Q151" s="68" t="s">
        <v>43</v>
      </c>
      <c r="R151" s="69">
        <f t="shared" si="33"/>
        <v>0</v>
      </c>
      <c r="S151" s="23">
        <f t="shared" si="24"/>
        <v>0</v>
      </c>
    </row>
    <row r="152" spans="1:20" s="63" customFormat="1">
      <c r="A152" s="72" t="s">
        <v>142</v>
      </c>
      <c r="B152" s="63" t="s">
        <v>19</v>
      </c>
      <c r="C152" s="64"/>
      <c r="D152" s="65" t="s">
        <v>43</v>
      </c>
      <c r="E152" s="66"/>
      <c r="F152" s="67">
        <v>40</v>
      </c>
      <c r="G152" s="68" t="s">
        <v>34</v>
      </c>
      <c r="H152" s="67">
        <v>1</v>
      </c>
      <c r="I152" s="68" t="s">
        <v>43</v>
      </c>
      <c r="J152" s="69">
        <f>8500*12</f>
        <v>102000</v>
      </c>
      <c r="K152" s="65" t="s">
        <v>43</v>
      </c>
      <c r="L152" s="70">
        <v>0.125</v>
      </c>
      <c r="M152" s="70">
        <v>0.05</v>
      </c>
      <c r="N152" s="67"/>
      <c r="O152" s="68" t="s">
        <v>43</v>
      </c>
      <c r="P152" s="64">
        <f t="shared" si="32"/>
        <v>0</v>
      </c>
      <c r="Q152" s="68" t="s">
        <v>43</v>
      </c>
      <c r="R152" s="69">
        <f t="shared" si="33"/>
        <v>0</v>
      </c>
      <c r="S152" s="23">
        <f t="shared" si="24"/>
        <v>0</v>
      </c>
    </row>
    <row r="153" spans="1:20" s="63" customFormat="1">
      <c r="A153" s="72" t="s">
        <v>143</v>
      </c>
      <c r="B153" s="63" t="s">
        <v>19</v>
      </c>
      <c r="C153" s="64"/>
      <c r="D153" s="65" t="s">
        <v>43</v>
      </c>
      <c r="E153" s="66"/>
      <c r="F153" s="67">
        <v>40</v>
      </c>
      <c r="G153" s="68" t="s">
        <v>34</v>
      </c>
      <c r="H153" s="67">
        <v>1</v>
      </c>
      <c r="I153" s="68" t="s">
        <v>43</v>
      </c>
      <c r="J153" s="69">
        <f>8800*12</f>
        <v>105600</v>
      </c>
      <c r="K153" s="65" t="s">
        <v>43</v>
      </c>
      <c r="L153" s="70">
        <v>0.125</v>
      </c>
      <c r="M153" s="70">
        <v>0.05</v>
      </c>
      <c r="N153" s="67"/>
      <c r="O153" s="68" t="s">
        <v>43</v>
      </c>
      <c r="P153" s="64">
        <f t="shared" si="32"/>
        <v>0</v>
      </c>
      <c r="Q153" s="68" t="s">
        <v>43</v>
      </c>
      <c r="R153" s="69">
        <f t="shared" si="33"/>
        <v>0</v>
      </c>
      <c r="S153" s="23">
        <f t="shared" si="24"/>
        <v>0</v>
      </c>
    </row>
    <row r="154" spans="1:20" s="63" customFormat="1">
      <c r="A154" s="72"/>
      <c r="C154" s="64"/>
      <c r="D154" s="65"/>
      <c r="E154" s="66"/>
      <c r="F154" s="67"/>
      <c r="G154" s="68"/>
      <c r="H154" s="67"/>
      <c r="I154" s="68"/>
      <c r="J154" s="69"/>
      <c r="K154" s="65"/>
      <c r="L154" s="70"/>
      <c r="M154" s="70"/>
      <c r="N154" s="67"/>
      <c r="O154" s="68"/>
      <c r="P154" s="64"/>
      <c r="Q154" s="68"/>
      <c r="R154" s="69"/>
      <c r="S154" s="23"/>
    </row>
    <row r="155" spans="1:20" s="45" customFormat="1">
      <c r="A155" s="44" t="s">
        <v>144</v>
      </c>
      <c r="B155" s="45" t="s">
        <v>26</v>
      </c>
      <c r="C155" s="46"/>
      <c r="D155" s="47" t="s">
        <v>43</v>
      </c>
      <c r="E155" s="48">
        <f>2+1+2</f>
        <v>5</v>
      </c>
      <c r="F155" s="49">
        <v>1</v>
      </c>
      <c r="G155" s="50" t="s">
        <v>21</v>
      </c>
      <c r="H155" s="49">
        <v>36</v>
      </c>
      <c r="I155" s="50" t="s">
        <v>43</v>
      </c>
      <c r="J155" s="51">
        <f>2095200/36</f>
        <v>58200</v>
      </c>
      <c r="K155" s="47" t="s">
        <v>43</v>
      </c>
      <c r="L155" s="52"/>
      <c r="M155" s="52">
        <v>0.17</v>
      </c>
      <c r="N155" s="49">
        <f>15+36</f>
        <v>51</v>
      </c>
      <c r="O155" s="50" t="s">
        <v>43</v>
      </c>
      <c r="P155" s="46">
        <f t="shared" si="32"/>
        <v>129</v>
      </c>
      <c r="Q155" s="50" t="s">
        <v>43</v>
      </c>
      <c r="R155" s="51">
        <f t="shared" si="33"/>
        <v>6231474</v>
      </c>
      <c r="S155" s="51">
        <f t="shared" si="24"/>
        <v>5613940.5405405397</v>
      </c>
    </row>
    <row r="156" spans="1:20" s="45" customFormat="1">
      <c r="A156" s="44" t="s">
        <v>860</v>
      </c>
      <c r="B156" s="45" t="s">
        <v>26</v>
      </c>
      <c r="C156" s="46"/>
      <c r="D156" s="47" t="s">
        <v>43</v>
      </c>
      <c r="E156" s="48">
        <f>2+1</f>
        <v>3</v>
      </c>
      <c r="F156" s="49">
        <v>1</v>
      </c>
      <c r="G156" s="50" t="s">
        <v>21</v>
      </c>
      <c r="H156" s="49">
        <v>36</v>
      </c>
      <c r="I156" s="50" t="s">
        <v>43</v>
      </c>
      <c r="J156" s="51">
        <f>2116800/36</f>
        <v>58800</v>
      </c>
      <c r="K156" s="47" t="s">
        <v>43</v>
      </c>
      <c r="L156" s="52"/>
      <c r="M156" s="52">
        <v>0.17</v>
      </c>
      <c r="N156" s="49">
        <v>15</v>
      </c>
      <c r="O156" s="50" t="s">
        <v>43</v>
      </c>
      <c r="P156" s="46">
        <f t="shared" ref="P156" si="34">(C156+(E156*F156*H156))-N156</f>
        <v>93</v>
      </c>
      <c r="Q156" s="50" t="s">
        <v>43</v>
      </c>
      <c r="R156" s="51">
        <f t="shared" ref="R156" si="35">P156*(J156-(J156*L156)-((J156-(J156*L156))*M156))</f>
        <v>4538772</v>
      </c>
      <c r="S156" s="51">
        <f t="shared" ref="S156" si="36">R156/1.11</f>
        <v>4088983.7837837832</v>
      </c>
    </row>
    <row r="157" spans="1:20" s="26" customFormat="1">
      <c r="A157" s="44" t="s">
        <v>145</v>
      </c>
      <c r="B157" s="45" t="s">
        <v>26</v>
      </c>
      <c r="C157" s="46"/>
      <c r="D157" s="47" t="s">
        <v>43</v>
      </c>
      <c r="E157" s="48">
        <v>1</v>
      </c>
      <c r="F157" s="49">
        <v>1</v>
      </c>
      <c r="G157" s="50" t="s">
        <v>21</v>
      </c>
      <c r="H157" s="49">
        <v>48</v>
      </c>
      <c r="I157" s="50" t="s">
        <v>43</v>
      </c>
      <c r="J157" s="51">
        <f>2995200/48</f>
        <v>62400</v>
      </c>
      <c r="K157" s="47" t="s">
        <v>43</v>
      </c>
      <c r="L157" s="52"/>
      <c r="M157" s="52">
        <v>0.17</v>
      </c>
      <c r="N157" s="49"/>
      <c r="O157" s="50" t="s">
        <v>43</v>
      </c>
      <c r="P157" s="46">
        <f t="shared" si="32"/>
        <v>48</v>
      </c>
      <c r="Q157" s="50" t="s">
        <v>43</v>
      </c>
      <c r="R157" s="51">
        <f t="shared" si="33"/>
        <v>2486016</v>
      </c>
      <c r="S157" s="32">
        <f t="shared" si="24"/>
        <v>2239654.054054054</v>
      </c>
      <c r="T157" s="45"/>
    </row>
    <row r="158" spans="1:20" s="26" customFormat="1">
      <c r="A158" s="44" t="s">
        <v>146</v>
      </c>
      <c r="B158" s="45" t="s">
        <v>26</v>
      </c>
      <c r="C158" s="46"/>
      <c r="D158" s="47" t="s">
        <v>43</v>
      </c>
      <c r="E158" s="48">
        <f>2+2</f>
        <v>4</v>
      </c>
      <c r="F158" s="49">
        <v>1</v>
      </c>
      <c r="G158" s="50" t="s">
        <v>21</v>
      </c>
      <c r="H158" s="49">
        <v>48</v>
      </c>
      <c r="I158" s="50" t="s">
        <v>43</v>
      </c>
      <c r="J158" s="51">
        <f>3916800/48</f>
        <v>81600</v>
      </c>
      <c r="K158" s="47" t="s">
        <v>43</v>
      </c>
      <c r="L158" s="52"/>
      <c r="M158" s="52">
        <v>0.17</v>
      </c>
      <c r="N158" s="49">
        <v>15</v>
      </c>
      <c r="O158" s="50" t="s">
        <v>43</v>
      </c>
      <c r="P158" s="46">
        <f t="shared" si="32"/>
        <v>177</v>
      </c>
      <c r="Q158" s="50" t="s">
        <v>43</v>
      </c>
      <c r="R158" s="51">
        <f t="shared" si="33"/>
        <v>11987856</v>
      </c>
      <c r="S158" s="32">
        <f t="shared" si="24"/>
        <v>10799870.270270269</v>
      </c>
      <c r="T158" s="45"/>
    </row>
    <row r="159" spans="1:20" s="26" customFormat="1">
      <c r="A159" s="44" t="s">
        <v>859</v>
      </c>
      <c r="B159" s="45" t="s">
        <v>26</v>
      </c>
      <c r="C159" s="46"/>
      <c r="D159" s="47" t="s">
        <v>43</v>
      </c>
      <c r="E159" s="48">
        <f>2+2</f>
        <v>4</v>
      </c>
      <c r="F159" s="49">
        <v>1</v>
      </c>
      <c r="G159" s="50" t="s">
        <v>21</v>
      </c>
      <c r="H159" s="49">
        <v>48</v>
      </c>
      <c r="I159" s="50" t="s">
        <v>43</v>
      </c>
      <c r="J159" s="51">
        <f>4032000/48</f>
        <v>84000</v>
      </c>
      <c r="K159" s="47" t="s">
        <v>43</v>
      </c>
      <c r="L159" s="52"/>
      <c r="M159" s="52">
        <v>0.17</v>
      </c>
      <c r="N159" s="49">
        <v>15</v>
      </c>
      <c r="O159" s="50" t="s">
        <v>43</v>
      </c>
      <c r="P159" s="46">
        <f t="shared" ref="P159" si="37">(C159+(E159*F159*H159))-N159</f>
        <v>177</v>
      </c>
      <c r="Q159" s="50" t="s">
        <v>43</v>
      </c>
      <c r="R159" s="51">
        <f t="shared" ref="R159" si="38">P159*(J159-(J159*L159)-((J159-(J159*L159))*M159))</f>
        <v>12340440</v>
      </c>
      <c r="S159" s="32">
        <f t="shared" ref="S159" si="39">R159/1.11</f>
        <v>11117513.513513513</v>
      </c>
      <c r="T159" s="45"/>
    </row>
    <row r="160" spans="1:20" s="26" customFormat="1">
      <c r="A160" s="16" t="s">
        <v>147</v>
      </c>
      <c r="B160" s="17" t="s">
        <v>26</v>
      </c>
      <c r="C160" s="18"/>
      <c r="D160" s="19" t="s">
        <v>43</v>
      </c>
      <c r="E160" s="20"/>
      <c r="F160" s="21">
        <v>1</v>
      </c>
      <c r="G160" s="22" t="s">
        <v>21</v>
      </c>
      <c r="H160" s="21">
        <v>48</v>
      </c>
      <c r="I160" s="22" t="s">
        <v>43</v>
      </c>
      <c r="J160" s="23">
        <f>5100*12</f>
        <v>61200</v>
      </c>
      <c r="K160" s="19" t="s">
        <v>43</v>
      </c>
      <c r="L160" s="24"/>
      <c r="M160" s="24">
        <v>0.17</v>
      </c>
      <c r="N160" s="21"/>
      <c r="O160" s="22" t="s">
        <v>43</v>
      </c>
      <c r="P160" s="18">
        <f t="shared" si="32"/>
        <v>0</v>
      </c>
      <c r="Q160" s="22" t="s">
        <v>43</v>
      </c>
      <c r="R160" s="23">
        <f t="shared" si="33"/>
        <v>0</v>
      </c>
      <c r="S160" s="23">
        <f t="shared" si="24"/>
        <v>0</v>
      </c>
      <c r="T160" s="17"/>
    </row>
    <row r="161" spans="1:20">
      <c r="A161" s="16" t="s">
        <v>148</v>
      </c>
      <c r="B161" s="17" t="s">
        <v>26</v>
      </c>
      <c r="C161" s="18"/>
      <c r="D161" s="19" t="s">
        <v>43</v>
      </c>
      <c r="E161" s="20"/>
      <c r="F161" s="21">
        <v>1</v>
      </c>
      <c r="G161" s="22" t="s">
        <v>21</v>
      </c>
      <c r="H161" s="21">
        <v>48</v>
      </c>
      <c r="I161" s="22" t="s">
        <v>43</v>
      </c>
      <c r="J161" s="23">
        <f>4250*12</f>
        <v>51000</v>
      </c>
      <c r="K161" s="19" t="s">
        <v>43</v>
      </c>
      <c r="L161" s="24"/>
      <c r="M161" s="24">
        <v>0.17</v>
      </c>
      <c r="N161" s="21"/>
      <c r="O161" s="22" t="s">
        <v>43</v>
      </c>
      <c r="P161" s="18">
        <f t="shared" si="32"/>
        <v>0</v>
      </c>
      <c r="Q161" s="22" t="s">
        <v>43</v>
      </c>
      <c r="R161" s="23">
        <f t="shared" si="33"/>
        <v>0</v>
      </c>
      <c r="S161" s="23">
        <f t="shared" si="24"/>
        <v>0</v>
      </c>
      <c r="T161" s="17"/>
    </row>
    <row r="162" spans="1:20" s="45" customFormat="1">
      <c r="A162" s="44" t="s">
        <v>149</v>
      </c>
      <c r="B162" s="45" t="s">
        <v>26</v>
      </c>
      <c r="C162" s="46"/>
      <c r="D162" s="47" t="s">
        <v>43</v>
      </c>
      <c r="E162" s="48">
        <f>1+1+1+1</f>
        <v>4</v>
      </c>
      <c r="F162" s="49">
        <v>1</v>
      </c>
      <c r="G162" s="50" t="s">
        <v>21</v>
      </c>
      <c r="H162" s="49">
        <v>48</v>
      </c>
      <c r="I162" s="50" t="s">
        <v>43</v>
      </c>
      <c r="J162" s="51">
        <f>2592000/48</f>
        <v>54000</v>
      </c>
      <c r="K162" s="47" t="s">
        <v>43</v>
      </c>
      <c r="L162" s="52"/>
      <c r="M162" s="52">
        <v>0.17</v>
      </c>
      <c r="N162" s="49">
        <f>10+24+10+4+48</f>
        <v>96</v>
      </c>
      <c r="O162" s="50" t="s">
        <v>43</v>
      </c>
      <c r="P162" s="46">
        <f t="shared" si="32"/>
        <v>96</v>
      </c>
      <c r="Q162" s="50" t="s">
        <v>43</v>
      </c>
      <c r="R162" s="51">
        <f t="shared" si="33"/>
        <v>4302720</v>
      </c>
      <c r="S162" s="51">
        <f t="shared" si="24"/>
        <v>3876324.3243243238</v>
      </c>
    </row>
    <row r="163" spans="1:20" s="45" customFormat="1">
      <c r="A163" s="25" t="s">
        <v>150</v>
      </c>
      <c r="B163" s="26" t="s">
        <v>26</v>
      </c>
      <c r="C163" s="27">
        <v>18</v>
      </c>
      <c r="D163" s="28" t="s">
        <v>43</v>
      </c>
      <c r="E163" s="29">
        <v>1</v>
      </c>
      <c r="F163" s="30">
        <v>1</v>
      </c>
      <c r="G163" s="31" t="s">
        <v>21</v>
      </c>
      <c r="H163" s="30">
        <v>48</v>
      </c>
      <c r="I163" s="31" t="s">
        <v>43</v>
      </c>
      <c r="J163" s="32">
        <f>2448000/48</f>
        <v>51000</v>
      </c>
      <c r="K163" s="28" t="s">
        <v>43</v>
      </c>
      <c r="L163" s="33"/>
      <c r="M163" s="33">
        <v>0.17</v>
      </c>
      <c r="N163" s="30">
        <f>10+14+10+10+4</f>
        <v>48</v>
      </c>
      <c r="O163" s="31" t="s">
        <v>43</v>
      </c>
      <c r="P163" s="27">
        <f t="shared" si="32"/>
        <v>18</v>
      </c>
      <c r="Q163" s="31" t="s">
        <v>43</v>
      </c>
      <c r="R163" s="32">
        <f t="shared" si="33"/>
        <v>761940</v>
      </c>
      <c r="S163" s="32">
        <f t="shared" si="24"/>
        <v>686432.43243243243</v>
      </c>
      <c r="T163" s="26"/>
    </row>
    <row r="164" spans="1:20" s="17" customFormat="1">
      <c r="A164" s="16" t="s">
        <v>151</v>
      </c>
      <c r="B164" s="17" t="s">
        <v>26</v>
      </c>
      <c r="C164" s="18"/>
      <c r="D164" s="19" t="s">
        <v>43</v>
      </c>
      <c r="E164" s="20"/>
      <c r="F164" s="21">
        <v>1</v>
      </c>
      <c r="G164" s="22" t="s">
        <v>21</v>
      </c>
      <c r="H164" s="21">
        <v>24</v>
      </c>
      <c r="I164" s="22" t="s">
        <v>43</v>
      </c>
      <c r="J164" s="23">
        <f>2491200/24</f>
        <v>103800</v>
      </c>
      <c r="K164" s="19" t="s">
        <v>43</v>
      </c>
      <c r="L164" s="24"/>
      <c r="M164" s="24">
        <v>0.17</v>
      </c>
      <c r="N164" s="21"/>
      <c r="O164" s="22" t="s">
        <v>43</v>
      </c>
      <c r="P164" s="18">
        <f t="shared" si="32"/>
        <v>0</v>
      </c>
      <c r="Q164" s="22" t="s">
        <v>43</v>
      </c>
      <c r="R164" s="23">
        <f t="shared" si="33"/>
        <v>0</v>
      </c>
      <c r="S164" s="23">
        <f t="shared" ref="S164:S248" si="40">R164/1.11</f>
        <v>0</v>
      </c>
    </row>
    <row r="165" spans="1:20" s="17" customFormat="1">
      <c r="A165" s="16" t="s">
        <v>152</v>
      </c>
      <c r="B165" s="17" t="s">
        <v>26</v>
      </c>
      <c r="C165" s="18"/>
      <c r="D165" s="19" t="s">
        <v>43</v>
      </c>
      <c r="E165" s="20"/>
      <c r="F165" s="21">
        <v>1</v>
      </c>
      <c r="G165" s="22" t="s">
        <v>21</v>
      </c>
      <c r="H165" s="21">
        <v>36</v>
      </c>
      <c r="I165" s="22" t="s">
        <v>43</v>
      </c>
      <c r="J165" s="23">
        <f>3736800/36</f>
        <v>103800</v>
      </c>
      <c r="K165" s="19" t="s">
        <v>43</v>
      </c>
      <c r="L165" s="24"/>
      <c r="M165" s="24">
        <v>0.17</v>
      </c>
      <c r="N165" s="21"/>
      <c r="O165" s="22" t="s">
        <v>43</v>
      </c>
      <c r="P165" s="18">
        <f t="shared" si="32"/>
        <v>0</v>
      </c>
      <c r="Q165" s="22" t="s">
        <v>43</v>
      </c>
      <c r="R165" s="23">
        <f t="shared" si="33"/>
        <v>0</v>
      </c>
      <c r="S165" s="23">
        <f t="shared" si="40"/>
        <v>0</v>
      </c>
    </row>
    <row r="166" spans="1:20" s="26" customFormat="1">
      <c r="A166" s="34" t="s">
        <v>153</v>
      </c>
      <c r="B166" s="2" t="s">
        <v>26</v>
      </c>
      <c r="C166" s="3">
        <v>5</v>
      </c>
      <c r="D166" s="4" t="s">
        <v>43</v>
      </c>
      <c r="E166" s="5"/>
      <c r="F166" s="6">
        <v>1</v>
      </c>
      <c r="G166" s="7" t="s">
        <v>21</v>
      </c>
      <c r="H166" s="6">
        <v>48</v>
      </c>
      <c r="I166" s="7" t="s">
        <v>43</v>
      </c>
      <c r="J166" s="8">
        <f>2592000/48</f>
        <v>54000</v>
      </c>
      <c r="K166" s="4" t="s">
        <v>43</v>
      </c>
      <c r="L166" s="9"/>
      <c r="M166" s="9">
        <v>0.17</v>
      </c>
      <c r="N166" s="6"/>
      <c r="O166" s="7" t="s">
        <v>43</v>
      </c>
      <c r="P166" s="3">
        <f t="shared" si="32"/>
        <v>5</v>
      </c>
      <c r="Q166" s="7" t="s">
        <v>43</v>
      </c>
      <c r="R166" s="8">
        <f t="shared" si="33"/>
        <v>224100</v>
      </c>
      <c r="S166" s="32">
        <f t="shared" si="40"/>
        <v>201891.89189189186</v>
      </c>
      <c r="T166" s="2"/>
    </row>
    <row r="167" spans="1:20" s="26" customFormat="1">
      <c r="A167" s="25" t="s">
        <v>154</v>
      </c>
      <c r="B167" s="26" t="s">
        <v>26</v>
      </c>
      <c r="C167" s="27"/>
      <c r="D167" s="28" t="s">
        <v>43</v>
      </c>
      <c r="E167" s="29">
        <f>1+1</f>
        <v>2</v>
      </c>
      <c r="F167" s="30">
        <v>1</v>
      </c>
      <c r="G167" s="31" t="s">
        <v>21</v>
      </c>
      <c r="H167" s="30">
        <v>48</v>
      </c>
      <c r="I167" s="31" t="s">
        <v>43</v>
      </c>
      <c r="J167" s="32">
        <f>2880000/48</f>
        <v>60000</v>
      </c>
      <c r="K167" s="28" t="s">
        <v>43</v>
      </c>
      <c r="L167" s="33"/>
      <c r="M167" s="33">
        <v>0.17</v>
      </c>
      <c r="N167" s="30">
        <v>48</v>
      </c>
      <c r="O167" s="31" t="s">
        <v>43</v>
      </c>
      <c r="P167" s="27">
        <f t="shared" si="32"/>
        <v>48</v>
      </c>
      <c r="Q167" s="31" t="s">
        <v>43</v>
      </c>
      <c r="R167" s="32">
        <f t="shared" si="33"/>
        <v>2390400</v>
      </c>
      <c r="S167" s="32">
        <f t="shared" si="40"/>
        <v>2153513.5135135134</v>
      </c>
    </row>
    <row r="168" spans="1:20" s="63" customFormat="1">
      <c r="A168" s="95" t="s">
        <v>155</v>
      </c>
      <c r="B168" s="96" t="s">
        <v>26</v>
      </c>
      <c r="C168" s="97">
        <v>64</v>
      </c>
      <c r="D168" s="98" t="s">
        <v>43</v>
      </c>
      <c r="E168" s="105"/>
      <c r="F168" s="100">
        <v>1</v>
      </c>
      <c r="G168" s="101" t="s">
        <v>21</v>
      </c>
      <c r="H168" s="100">
        <v>48</v>
      </c>
      <c r="I168" s="101" t="s">
        <v>43</v>
      </c>
      <c r="J168" s="102">
        <f>2736000/48</f>
        <v>57000</v>
      </c>
      <c r="K168" s="98" t="s">
        <v>43</v>
      </c>
      <c r="L168" s="103"/>
      <c r="M168" s="103">
        <v>0.17</v>
      </c>
      <c r="N168" s="100">
        <f>10+14+10+10+4+48-32</f>
        <v>64</v>
      </c>
      <c r="O168" s="101" t="s">
        <v>43</v>
      </c>
      <c r="P168" s="97">
        <f t="shared" si="32"/>
        <v>0</v>
      </c>
      <c r="Q168" s="101" t="s">
        <v>43</v>
      </c>
      <c r="R168" s="102">
        <f t="shared" si="33"/>
        <v>0</v>
      </c>
      <c r="S168" s="102">
        <f t="shared" si="40"/>
        <v>0</v>
      </c>
    </row>
    <row r="169" spans="1:20" s="45" customFormat="1">
      <c r="A169" s="35" t="s">
        <v>155</v>
      </c>
      <c r="B169" s="36" t="s">
        <v>26</v>
      </c>
      <c r="C169" s="37"/>
      <c r="D169" s="38" t="s">
        <v>43</v>
      </c>
      <c r="E169" s="39">
        <f>1+1</f>
        <v>2</v>
      </c>
      <c r="F169" s="40">
        <v>1</v>
      </c>
      <c r="G169" s="41" t="s">
        <v>21</v>
      </c>
      <c r="H169" s="40">
        <v>48</v>
      </c>
      <c r="I169" s="41" t="s">
        <v>43</v>
      </c>
      <c r="J169" s="42">
        <f>2880000/48</f>
        <v>60000</v>
      </c>
      <c r="K169" s="38" t="s">
        <v>43</v>
      </c>
      <c r="L169" s="43"/>
      <c r="M169" s="43">
        <v>0.17</v>
      </c>
      <c r="N169" s="40">
        <f>(48-16)</f>
        <v>32</v>
      </c>
      <c r="O169" s="41" t="s">
        <v>43</v>
      </c>
      <c r="P169" s="37">
        <f t="shared" ref="P169" si="41">(C169+(E169*F169*H169))-N169</f>
        <v>64</v>
      </c>
      <c r="Q169" s="41" t="s">
        <v>43</v>
      </c>
      <c r="R169" s="42">
        <f t="shared" ref="R169" si="42">P169*(J169-(J169*L169)-((J169-(J169*L169))*M169))</f>
        <v>3187200</v>
      </c>
      <c r="S169" s="42">
        <f t="shared" ref="S169" si="43">R169/1.11</f>
        <v>2871351.351351351</v>
      </c>
    </row>
    <row r="170" spans="1:20" s="17" customFormat="1">
      <c r="A170" s="16" t="s">
        <v>156</v>
      </c>
      <c r="B170" s="17" t="s">
        <v>26</v>
      </c>
      <c r="C170" s="18"/>
      <c r="D170" s="19" t="s">
        <v>43</v>
      </c>
      <c r="E170" s="20"/>
      <c r="F170" s="21">
        <v>1</v>
      </c>
      <c r="G170" s="22" t="s">
        <v>21</v>
      </c>
      <c r="H170" s="21">
        <v>48</v>
      </c>
      <c r="I170" s="22" t="s">
        <v>43</v>
      </c>
      <c r="J170" s="23">
        <f>2736000/48</f>
        <v>57000</v>
      </c>
      <c r="K170" s="19" t="s">
        <v>43</v>
      </c>
      <c r="L170" s="24"/>
      <c r="M170" s="24">
        <v>0.17</v>
      </c>
      <c r="N170" s="21"/>
      <c r="O170" s="22" t="s">
        <v>43</v>
      </c>
      <c r="P170" s="18">
        <f t="shared" si="32"/>
        <v>0</v>
      </c>
      <c r="Q170" s="22" t="s">
        <v>43</v>
      </c>
      <c r="R170" s="23">
        <f t="shared" si="33"/>
        <v>0</v>
      </c>
      <c r="S170" s="23">
        <f t="shared" si="40"/>
        <v>0</v>
      </c>
    </row>
    <row r="171" spans="1:20" s="17" customFormat="1">
      <c r="A171" s="16" t="s">
        <v>157</v>
      </c>
      <c r="B171" s="17" t="s">
        <v>26</v>
      </c>
      <c r="C171" s="18"/>
      <c r="D171" s="19" t="s">
        <v>43</v>
      </c>
      <c r="E171" s="20"/>
      <c r="F171" s="21">
        <v>1</v>
      </c>
      <c r="G171" s="22" t="s">
        <v>21</v>
      </c>
      <c r="H171" s="21">
        <v>48</v>
      </c>
      <c r="I171" s="22" t="s">
        <v>43</v>
      </c>
      <c r="J171" s="23">
        <f>3024000/48</f>
        <v>63000</v>
      </c>
      <c r="K171" s="19" t="s">
        <v>43</v>
      </c>
      <c r="L171" s="24"/>
      <c r="M171" s="24">
        <v>0.17</v>
      </c>
      <c r="N171" s="21"/>
      <c r="O171" s="22" t="s">
        <v>43</v>
      </c>
      <c r="P171" s="18">
        <f t="shared" si="32"/>
        <v>0</v>
      </c>
      <c r="Q171" s="22" t="s">
        <v>43</v>
      </c>
      <c r="R171" s="23">
        <f t="shared" si="33"/>
        <v>0</v>
      </c>
      <c r="S171" s="23">
        <f t="shared" si="40"/>
        <v>0</v>
      </c>
    </row>
    <row r="172" spans="1:20" s="17" customFormat="1">
      <c r="A172" s="16" t="s">
        <v>158</v>
      </c>
      <c r="B172" s="17" t="s">
        <v>26</v>
      </c>
      <c r="C172" s="18"/>
      <c r="D172" s="19" t="s">
        <v>43</v>
      </c>
      <c r="E172" s="20"/>
      <c r="F172" s="21">
        <v>1</v>
      </c>
      <c r="G172" s="22" t="s">
        <v>21</v>
      </c>
      <c r="H172" s="21">
        <v>48</v>
      </c>
      <c r="I172" s="22" t="s">
        <v>43</v>
      </c>
      <c r="J172" s="23">
        <f>2995200/48</f>
        <v>62400</v>
      </c>
      <c r="K172" s="19" t="s">
        <v>43</v>
      </c>
      <c r="L172" s="24"/>
      <c r="M172" s="24">
        <v>0.17</v>
      </c>
      <c r="N172" s="21"/>
      <c r="O172" s="22" t="s">
        <v>43</v>
      </c>
      <c r="P172" s="18">
        <f t="shared" si="32"/>
        <v>0</v>
      </c>
      <c r="Q172" s="22" t="s">
        <v>43</v>
      </c>
      <c r="R172" s="23">
        <f t="shared" si="33"/>
        <v>0</v>
      </c>
      <c r="S172" s="23">
        <f t="shared" si="40"/>
        <v>0</v>
      </c>
    </row>
    <row r="173" spans="1:20" s="17" customFormat="1">
      <c r="A173" s="16" t="s">
        <v>159</v>
      </c>
      <c r="B173" s="17" t="s">
        <v>26</v>
      </c>
      <c r="C173" s="18"/>
      <c r="D173" s="19" t="s">
        <v>43</v>
      </c>
      <c r="E173" s="20"/>
      <c r="F173" s="21">
        <v>1</v>
      </c>
      <c r="G173" s="22" t="s">
        <v>21</v>
      </c>
      <c r="H173" s="21">
        <v>48</v>
      </c>
      <c r="I173" s="22" t="s">
        <v>43</v>
      </c>
      <c r="J173" s="23">
        <f>2995200/48</f>
        <v>62400</v>
      </c>
      <c r="K173" s="19" t="s">
        <v>43</v>
      </c>
      <c r="L173" s="24"/>
      <c r="M173" s="24">
        <v>0.17</v>
      </c>
      <c r="N173" s="21"/>
      <c r="O173" s="22" t="s">
        <v>43</v>
      </c>
      <c r="P173" s="18">
        <f t="shared" si="32"/>
        <v>0</v>
      </c>
      <c r="Q173" s="22" t="s">
        <v>43</v>
      </c>
      <c r="R173" s="23">
        <f t="shared" si="33"/>
        <v>0</v>
      </c>
      <c r="S173" s="23">
        <f t="shared" si="40"/>
        <v>0</v>
      </c>
    </row>
    <row r="174" spans="1:20" s="17" customFormat="1">
      <c r="A174" s="16" t="s">
        <v>832</v>
      </c>
      <c r="B174" s="17" t="s">
        <v>26</v>
      </c>
      <c r="C174" s="18"/>
      <c r="D174" s="19" t="s">
        <v>43</v>
      </c>
      <c r="E174" s="20"/>
      <c r="F174" s="21">
        <v>1</v>
      </c>
      <c r="G174" s="22" t="s">
        <v>21</v>
      </c>
      <c r="H174" s="21">
        <v>36</v>
      </c>
      <c r="I174" s="22" t="s">
        <v>43</v>
      </c>
      <c r="J174" s="23">
        <f>3240000/36</f>
        <v>90000</v>
      </c>
      <c r="K174" s="19" t="s">
        <v>43</v>
      </c>
      <c r="L174" s="24"/>
      <c r="M174" s="24">
        <v>0.17</v>
      </c>
      <c r="N174" s="21"/>
      <c r="O174" s="22" t="s">
        <v>43</v>
      </c>
      <c r="P174" s="18">
        <f>(C174+(E174*F174*H174))-N174</f>
        <v>0</v>
      </c>
      <c r="Q174" s="22" t="s">
        <v>43</v>
      </c>
      <c r="R174" s="23">
        <f>P174*(J174-(J174*L174)-((J174-(J174*L174))*M174))</f>
        <v>0</v>
      </c>
      <c r="S174" s="23">
        <f>R174/1.11</f>
        <v>0</v>
      </c>
    </row>
    <row r="175" spans="1:20">
      <c r="S175" s="23"/>
    </row>
    <row r="176" spans="1:20" ht="15.75">
      <c r="A176" s="14" t="s">
        <v>160</v>
      </c>
      <c r="S176" s="23"/>
    </row>
    <row r="177" spans="1:19" s="63" customFormat="1">
      <c r="A177" s="93" t="s">
        <v>781</v>
      </c>
      <c r="B177" s="63" t="s">
        <v>19</v>
      </c>
      <c r="C177" s="64"/>
      <c r="D177" s="65" t="s">
        <v>162</v>
      </c>
      <c r="E177" s="66"/>
      <c r="F177" s="67">
        <v>12</v>
      </c>
      <c r="G177" s="68" t="s">
        <v>34</v>
      </c>
      <c r="H177" s="67">
        <v>12</v>
      </c>
      <c r="I177" s="68" t="s">
        <v>162</v>
      </c>
      <c r="J177" s="69">
        <v>11000</v>
      </c>
      <c r="K177" s="65" t="s">
        <v>162</v>
      </c>
      <c r="L177" s="70">
        <v>0.125</v>
      </c>
      <c r="M177" s="70">
        <v>0.05</v>
      </c>
      <c r="N177" s="67"/>
      <c r="O177" s="68" t="s">
        <v>162</v>
      </c>
      <c r="P177" s="64">
        <f t="shared" ref="P177:P198" si="44">(C177+(E177*F177*H177))-N177</f>
        <v>0</v>
      </c>
      <c r="Q177" s="68" t="s">
        <v>162</v>
      </c>
      <c r="R177" s="69">
        <f t="shared" ref="R177:R198" si="45">P177*(J177-(J177*L177)-((J177-(J177*L177))*M177))</f>
        <v>0</v>
      </c>
      <c r="S177" s="23">
        <f t="shared" si="40"/>
        <v>0</v>
      </c>
    </row>
    <row r="178" spans="1:19" s="63" customFormat="1">
      <c r="A178" s="93" t="s">
        <v>161</v>
      </c>
      <c r="B178" s="63" t="s">
        <v>19</v>
      </c>
      <c r="C178" s="64">
        <v>144</v>
      </c>
      <c r="D178" s="65" t="s">
        <v>162</v>
      </c>
      <c r="E178" s="66">
        <v>2</v>
      </c>
      <c r="F178" s="67">
        <v>12</v>
      </c>
      <c r="G178" s="68" t="s">
        <v>34</v>
      </c>
      <c r="H178" s="67">
        <v>12</v>
      </c>
      <c r="I178" s="68" t="s">
        <v>162</v>
      </c>
      <c r="J178" s="69">
        <v>11600</v>
      </c>
      <c r="K178" s="65" t="s">
        <v>162</v>
      </c>
      <c r="L178" s="70">
        <v>0.125</v>
      </c>
      <c r="M178" s="70">
        <v>0.05</v>
      </c>
      <c r="N178" s="67">
        <f>288+144</f>
        <v>432</v>
      </c>
      <c r="O178" s="68" t="s">
        <v>162</v>
      </c>
      <c r="P178" s="64">
        <f t="shared" si="44"/>
        <v>0</v>
      </c>
      <c r="Q178" s="68" t="s">
        <v>162</v>
      </c>
      <c r="R178" s="69">
        <f t="shared" si="45"/>
        <v>0</v>
      </c>
      <c r="S178" s="23">
        <f t="shared" si="40"/>
        <v>0</v>
      </c>
    </row>
    <row r="179" spans="1:19" s="45" customFormat="1">
      <c r="A179" s="94" t="s">
        <v>163</v>
      </c>
      <c r="B179" s="45" t="s">
        <v>19</v>
      </c>
      <c r="C179" s="46"/>
      <c r="D179" s="47" t="s">
        <v>162</v>
      </c>
      <c r="E179" s="48">
        <v>7</v>
      </c>
      <c r="F179" s="49">
        <v>6</v>
      </c>
      <c r="G179" s="50" t="s">
        <v>34</v>
      </c>
      <c r="H179" s="49">
        <v>24</v>
      </c>
      <c r="I179" s="50" t="s">
        <v>162</v>
      </c>
      <c r="J179" s="51">
        <v>9000</v>
      </c>
      <c r="K179" s="47" t="s">
        <v>162</v>
      </c>
      <c r="L179" s="52">
        <v>0.125</v>
      </c>
      <c r="M179" s="52">
        <v>0.05</v>
      </c>
      <c r="N179" s="49"/>
      <c r="O179" s="50" t="s">
        <v>162</v>
      </c>
      <c r="P179" s="46">
        <f t="shared" si="44"/>
        <v>1008</v>
      </c>
      <c r="Q179" s="50" t="s">
        <v>162</v>
      </c>
      <c r="R179" s="51">
        <f t="shared" si="45"/>
        <v>7541100</v>
      </c>
      <c r="S179" s="32">
        <f t="shared" si="40"/>
        <v>6793783.7837837832</v>
      </c>
    </row>
    <row r="180" spans="1:19" s="45" customFormat="1">
      <c r="A180" s="44" t="s">
        <v>164</v>
      </c>
      <c r="B180" s="45" t="s">
        <v>19</v>
      </c>
      <c r="C180" s="46">
        <v>1585</v>
      </c>
      <c r="D180" s="47" t="s">
        <v>162</v>
      </c>
      <c r="E180" s="48">
        <f>5+15+15+10</f>
        <v>45</v>
      </c>
      <c r="F180" s="49">
        <v>1</v>
      </c>
      <c r="G180" s="50" t="s">
        <v>21</v>
      </c>
      <c r="H180" s="49">
        <v>144</v>
      </c>
      <c r="I180" s="50" t="s">
        <v>162</v>
      </c>
      <c r="J180" s="51">
        <v>11900</v>
      </c>
      <c r="K180" s="47" t="s">
        <v>162</v>
      </c>
      <c r="L180" s="52">
        <v>0.125</v>
      </c>
      <c r="M180" s="52">
        <v>0.05</v>
      </c>
      <c r="N180" s="49">
        <f>720+288+720+432+432+288</f>
        <v>2880</v>
      </c>
      <c r="O180" s="50" t="s">
        <v>162</v>
      </c>
      <c r="P180" s="46">
        <f t="shared" si="44"/>
        <v>5185</v>
      </c>
      <c r="Q180" s="50" t="s">
        <v>162</v>
      </c>
      <c r="R180" s="51">
        <f t="shared" si="45"/>
        <v>51289371.875</v>
      </c>
      <c r="S180" s="51">
        <f t="shared" si="40"/>
        <v>46206641.328828827</v>
      </c>
    </row>
    <row r="181" spans="1:19" s="45" customFormat="1">
      <c r="A181" s="44" t="s">
        <v>165</v>
      </c>
      <c r="B181" s="45" t="s">
        <v>19</v>
      </c>
      <c r="C181" s="46"/>
      <c r="D181" s="47" t="s">
        <v>162</v>
      </c>
      <c r="E181" s="48">
        <f>5+10+10+5</f>
        <v>30</v>
      </c>
      <c r="F181" s="49">
        <v>6</v>
      </c>
      <c r="G181" s="50" t="s">
        <v>34</v>
      </c>
      <c r="H181" s="49">
        <v>12</v>
      </c>
      <c r="I181" s="50" t="s">
        <v>162</v>
      </c>
      <c r="J181" s="51">
        <v>23000</v>
      </c>
      <c r="K181" s="47" t="s">
        <v>162</v>
      </c>
      <c r="L181" s="52">
        <v>0.125</v>
      </c>
      <c r="M181" s="52">
        <v>0.05</v>
      </c>
      <c r="N181" s="49">
        <f>360+216+288+72+216+72+144</f>
        <v>1368</v>
      </c>
      <c r="O181" s="50" t="s">
        <v>162</v>
      </c>
      <c r="P181" s="46">
        <f t="shared" si="44"/>
        <v>792</v>
      </c>
      <c r="Q181" s="50" t="s">
        <v>162</v>
      </c>
      <c r="R181" s="51">
        <f t="shared" si="45"/>
        <v>15142050</v>
      </c>
      <c r="S181" s="51">
        <f t="shared" si="40"/>
        <v>13641486.486486485</v>
      </c>
    </row>
    <row r="182" spans="1:19" s="45" customFormat="1">
      <c r="A182" s="44" t="s">
        <v>166</v>
      </c>
      <c r="B182" s="45" t="s">
        <v>19</v>
      </c>
      <c r="C182" s="46"/>
      <c r="D182" s="47" t="s">
        <v>162</v>
      </c>
      <c r="E182" s="48">
        <f>3+10+10+5+1</f>
        <v>29</v>
      </c>
      <c r="F182" s="49">
        <v>8</v>
      </c>
      <c r="G182" s="50" t="s">
        <v>34</v>
      </c>
      <c r="H182" s="49">
        <v>6</v>
      </c>
      <c r="I182" s="50" t="s">
        <v>162</v>
      </c>
      <c r="J182" s="51">
        <v>28700</v>
      </c>
      <c r="K182" s="47" t="s">
        <v>162</v>
      </c>
      <c r="L182" s="52">
        <v>0.125</v>
      </c>
      <c r="M182" s="52">
        <v>0.05</v>
      </c>
      <c r="N182" s="49">
        <f>96+48+48+48</f>
        <v>240</v>
      </c>
      <c r="O182" s="50" t="s">
        <v>162</v>
      </c>
      <c r="P182" s="46">
        <f>(C182+(E182*F182*H182))-N182</f>
        <v>1152</v>
      </c>
      <c r="Q182" s="50" t="s">
        <v>162</v>
      </c>
      <c r="R182" s="51">
        <f>P182*(J182-(J182*L182)-((J182-(J182*L182))*M182))</f>
        <v>27483120</v>
      </c>
      <c r="S182" s="51">
        <f t="shared" si="40"/>
        <v>24759567.567567565</v>
      </c>
    </row>
    <row r="183" spans="1:19" s="45" customFormat="1">
      <c r="A183" s="44" t="s">
        <v>167</v>
      </c>
      <c r="B183" s="45" t="s">
        <v>19</v>
      </c>
      <c r="C183" s="46">
        <v>146</v>
      </c>
      <c r="D183" s="47" t="s">
        <v>162</v>
      </c>
      <c r="E183" s="48">
        <f>3+5</f>
        <v>8</v>
      </c>
      <c r="F183" s="49">
        <v>6</v>
      </c>
      <c r="G183" s="50" t="s">
        <v>34</v>
      </c>
      <c r="H183" s="49">
        <v>6</v>
      </c>
      <c r="I183" s="50" t="s">
        <v>162</v>
      </c>
      <c r="J183" s="51">
        <v>41500</v>
      </c>
      <c r="K183" s="47" t="s">
        <v>162</v>
      </c>
      <c r="L183" s="52">
        <v>0.125</v>
      </c>
      <c r="M183" s="52">
        <v>0.05</v>
      </c>
      <c r="N183" s="49">
        <f>72+36</f>
        <v>108</v>
      </c>
      <c r="O183" s="50" t="s">
        <v>162</v>
      </c>
      <c r="P183" s="46">
        <f t="shared" si="44"/>
        <v>326</v>
      </c>
      <c r="Q183" s="50" t="s">
        <v>162</v>
      </c>
      <c r="R183" s="51">
        <f t="shared" si="45"/>
        <v>11245981.25</v>
      </c>
      <c r="S183" s="51">
        <f>R183/1.11</f>
        <v>10131514.639639638</v>
      </c>
    </row>
    <row r="184" spans="1:19" s="45" customFormat="1">
      <c r="A184" s="44" t="s">
        <v>168</v>
      </c>
      <c r="B184" s="45" t="s">
        <v>19</v>
      </c>
      <c r="C184" s="46">
        <v>120</v>
      </c>
      <c r="D184" s="47" t="s">
        <v>162</v>
      </c>
      <c r="E184" s="48">
        <f>2+2+1</f>
        <v>5</v>
      </c>
      <c r="F184" s="49">
        <v>4</v>
      </c>
      <c r="G184" s="50" t="s">
        <v>34</v>
      </c>
      <c r="H184" s="49">
        <v>6</v>
      </c>
      <c r="I184" s="50" t="s">
        <v>162</v>
      </c>
      <c r="J184" s="51">
        <v>58900</v>
      </c>
      <c r="K184" s="47" t="s">
        <v>162</v>
      </c>
      <c r="L184" s="52">
        <v>0.125</v>
      </c>
      <c r="M184" s="52">
        <v>0.05</v>
      </c>
      <c r="N184" s="49">
        <f>24+24</f>
        <v>48</v>
      </c>
      <c r="O184" s="50" t="s">
        <v>162</v>
      </c>
      <c r="P184" s="46">
        <f t="shared" si="44"/>
        <v>192</v>
      </c>
      <c r="Q184" s="50" t="s">
        <v>162</v>
      </c>
      <c r="R184" s="51">
        <f t="shared" si="45"/>
        <v>9400440</v>
      </c>
      <c r="S184" s="51">
        <f t="shared" si="40"/>
        <v>8468864.8648648635</v>
      </c>
    </row>
    <row r="185" spans="1:19" s="45" customFormat="1">
      <c r="A185" s="44" t="s">
        <v>169</v>
      </c>
      <c r="B185" s="45" t="s">
        <v>19</v>
      </c>
      <c r="C185" s="46">
        <v>164</v>
      </c>
      <c r="D185" s="47" t="s">
        <v>162</v>
      </c>
      <c r="E185" s="48">
        <f>2+3</f>
        <v>5</v>
      </c>
      <c r="F185" s="49">
        <v>4</v>
      </c>
      <c r="G185" s="50" t="s">
        <v>34</v>
      </c>
      <c r="H185" s="49">
        <v>6</v>
      </c>
      <c r="I185" s="50" t="s">
        <v>162</v>
      </c>
      <c r="J185" s="51">
        <v>66900</v>
      </c>
      <c r="K185" s="47" t="s">
        <v>162</v>
      </c>
      <c r="L185" s="52">
        <v>0.125</v>
      </c>
      <c r="M185" s="52">
        <v>0.05</v>
      </c>
      <c r="N185" s="49">
        <v>48</v>
      </c>
      <c r="O185" s="50" t="s">
        <v>162</v>
      </c>
      <c r="P185" s="46">
        <f t="shared" si="44"/>
        <v>236</v>
      </c>
      <c r="Q185" s="50" t="s">
        <v>162</v>
      </c>
      <c r="R185" s="51">
        <f t="shared" si="45"/>
        <v>13124107.5</v>
      </c>
      <c r="S185" s="51">
        <f t="shared" si="40"/>
        <v>11823520.270270269</v>
      </c>
    </row>
    <row r="186" spans="1:19" s="63" customFormat="1">
      <c r="A186" s="72" t="s">
        <v>775</v>
      </c>
      <c r="B186" s="63" t="s">
        <v>19</v>
      </c>
      <c r="C186" s="64"/>
      <c r="D186" s="65" t="s">
        <v>162</v>
      </c>
      <c r="E186" s="66"/>
      <c r="F186" s="67">
        <v>1</v>
      </c>
      <c r="G186" s="68" t="s">
        <v>21</v>
      </c>
      <c r="H186" s="67">
        <v>24</v>
      </c>
      <c r="I186" s="68" t="s">
        <v>162</v>
      </c>
      <c r="J186" s="69">
        <v>96000</v>
      </c>
      <c r="K186" s="65" t="s">
        <v>162</v>
      </c>
      <c r="L186" s="70">
        <v>0.125</v>
      </c>
      <c r="M186" s="70">
        <v>0.05</v>
      </c>
      <c r="N186" s="67"/>
      <c r="O186" s="68" t="s">
        <v>162</v>
      </c>
      <c r="P186" s="64">
        <f t="shared" si="44"/>
        <v>0</v>
      </c>
      <c r="Q186" s="68" t="s">
        <v>162</v>
      </c>
      <c r="R186" s="69">
        <f t="shared" si="45"/>
        <v>0</v>
      </c>
      <c r="S186" s="69">
        <f t="shared" si="40"/>
        <v>0</v>
      </c>
    </row>
    <row r="187" spans="1:19" s="63" customFormat="1">
      <c r="A187" s="72"/>
      <c r="C187" s="64"/>
      <c r="D187" s="65"/>
      <c r="E187" s="66"/>
      <c r="F187" s="67"/>
      <c r="G187" s="68"/>
      <c r="H187" s="67"/>
      <c r="I187" s="68"/>
      <c r="J187" s="69"/>
      <c r="K187" s="65"/>
      <c r="L187" s="70"/>
      <c r="M187" s="70"/>
      <c r="N187" s="67"/>
      <c r="O187" s="68"/>
      <c r="P187" s="64"/>
      <c r="Q187" s="68"/>
      <c r="R187" s="69"/>
      <c r="S187" s="69"/>
    </row>
    <row r="188" spans="1:19" s="17" customFormat="1">
      <c r="A188" s="93" t="s">
        <v>170</v>
      </c>
      <c r="B188" s="17" t="s">
        <v>26</v>
      </c>
      <c r="C188" s="18"/>
      <c r="D188" s="19" t="s">
        <v>162</v>
      </c>
      <c r="E188" s="20">
        <v>1</v>
      </c>
      <c r="F188" s="21">
        <v>12</v>
      </c>
      <c r="G188" s="22" t="s">
        <v>43</v>
      </c>
      <c r="H188" s="21">
        <v>12</v>
      </c>
      <c r="I188" s="22" t="s">
        <v>162</v>
      </c>
      <c r="J188" s="23">
        <f>1728000/12/12</f>
        <v>12000</v>
      </c>
      <c r="K188" s="19" t="s">
        <v>162</v>
      </c>
      <c r="L188" s="24"/>
      <c r="M188" s="24">
        <v>0.17</v>
      </c>
      <c r="N188" s="21">
        <v>144</v>
      </c>
      <c r="O188" s="22" t="s">
        <v>162</v>
      </c>
      <c r="P188" s="18">
        <f t="shared" si="44"/>
        <v>0</v>
      </c>
      <c r="Q188" s="22" t="s">
        <v>162</v>
      </c>
      <c r="R188" s="23">
        <f t="shared" si="45"/>
        <v>0</v>
      </c>
      <c r="S188" s="23">
        <f t="shared" si="40"/>
        <v>0</v>
      </c>
    </row>
    <row r="189" spans="1:19" s="26" customFormat="1">
      <c r="A189" s="94" t="s">
        <v>171</v>
      </c>
      <c r="B189" s="26" t="s">
        <v>26</v>
      </c>
      <c r="C189" s="27">
        <v>132</v>
      </c>
      <c r="D189" s="28" t="s">
        <v>162</v>
      </c>
      <c r="E189" s="29">
        <f>1+1</f>
        <v>2</v>
      </c>
      <c r="F189" s="30">
        <v>6</v>
      </c>
      <c r="G189" s="31" t="s">
        <v>43</v>
      </c>
      <c r="H189" s="30">
        <v>12</v>
      </c>
      <c r="I189" s="31" t="s">
        <v>162</v>
      </c>
      <c r="J189" s="32">
        <f>1548000/6/12</f>
        <v>21500</v>
      </c>
      <c r="K189" s="28" t="s">
        <v>162</v>
      </c>
      <c r="L189" s="33"/>
      <c r="M189" s="33">
        <v>0.17</v>
      </c>
      <c r="N189" s="30">
        <v>72</v>
      </c>
      <c r="O189" s="31" t="s">
        <v>162</v>
      </c>
      <c r="P189" s="27">
        <f t="shared" si="44"/>
        <v>204</v>
      </c>
      <c r="Q189" s="31" t="s">
        <v>162</v>
      </c>
      <c r="R189" s="32">
        <f t="shared" si="45"/>
        <v>3640380</v>
      </c>
      <c r="S189" s="32">
        <f t="shared" si="40"/>
        <v>3279621.6216216213</v>
      </c>
    </row>
    <row r="190" spans="1:19" s="26" customFormat="1">
      <c r="A190" s="94"/>
      <c r="C190" s="27"/>
      <c r="D190" s="28"/>
      <c r="E190" s="29"/>
      <c r="F190" s="30"/>
      <c r="G190" s="31"/>
      <c r="H190" s="30"/>
      <c r="I190" s="31"/>
      <c r="J190" s="32"/>
      <c r="K190" s="28"/>
      <c r="L190" s="33"/>
      <c r="M190" s="33"/>
      <c r="N190" s="30"/>
      <c r="O190" s="31"/>
      <c r="P190" s="27"/>
      <c r="Q190" s="31"/>
      <c r="R190" s="32"/>
      <c r="S190" s="32"/>
    </row>
    <row r="191" spans="1:19" s="17" customFormat="1">
      <c r="A191" s="93" t="s">
        <v>172</v>
      </c>
      <c r="B191" s="17" t="s">
        <v>26</v>
      </c>
      <c r="C191" s="18"/>
      <c r="D191" s="19" t="s">
        <v>162</v>
      </c>
      <c r="E191" s="20"/>
      <c r="F191" s="21">
        <v>8</v>
      </c>
      <c r="G191" s="22" t="s">
        <v>34</v>
      </c>
      <c r="H191" s="21">
        <v>12</v>
      </c>
      <c r="I191" s="22" t="s">
        <v>162</v>
      </c>
      <c r="J191" s="23">
        <v>12500</v>
      </c>
      <c r="K191" s="19" t="s">
        <v>162</v>
      </c>
      <c r="L191" s="24">
        <v>0.125</v>
      </c>
      <c r="M191" s="24">
        <v>0.05</v>
      </c>
      <c r="N191" s="21"/>
      <c r="O191" s="22" t="s">
        <v>162</v>
      </c>
      <c r="P191" s="18">
        <f t="shared" si="44"/>
        <v>0</v>
      </c>
      <c r="Q191" s="22" t="s">
        <v>162</v>
      </c>
      <c r="R191" s="23">
        <f t="shared" si="45"/>
        <v>0</v>
      </c>
      <c r="S191" s="23">
        <f t="shared" si="40"/>
        <v>0</v>
      </c>
    </row>
    <row r="192" spans="1:19" s="63" customFormat="1">
      <c r="A192" s="93" t="s">
        <v>173</v>
      </c>
      <c r="B192" s="17" t="s">
        <v>26</v>
      </c>
      <c r="C192" s="64"/>
      <c r="D192" s="65" t="s">
        <v>162</v>
      </c>
      <c r="E192" s="66"/>
      <c r="F192" s="67">
        <v>1</v>
      </c>
      <c r="G192" s="68" t="s">
        <v>21</v>
      </c>
      <c r="H192" s="67">
        <v>144</v>
      </c>
      <c r="I192" s="68" t="s">
        <v>162</v>
      </c>
      <c r="J192" s="69">
        <v>11600</v>
      </c>
      <c r="K192" s="65" t="s">
        <v>162</v>
      </c>
      <c r="L192" s="70">
        <v>0.125</v>
      </c>
      <c r="M192" s="70">
        <v>0.05</v>
      </c>
      <c r="N192" s="67"/>
      <c r="O192" s="68" t="s">
        <v>162</v>
      </c>
      <c r="P192" s="64">
        <f t="shared" si="44"/>
        <v>0</v>
      </c>
      <c r="Q192" s="68" t="s">
        <v>162</v>
      </c>
      <c r="R192" s="69">
        <f t="shared" si="45"/>
        <v>0</v>
      </c>
      <c r="S192" s="69">
        <f t="shared" si="40"/>
        <v>0</v>
      </c>
    </row>
    <row r="193" spans="1:19" s="63" customFormat="1">
      <c r="A193" s="72" t="s">
        <v>174</v>
      </c>
      <c r="B193" s="63" t="s">
        <v>26</v>
      </c>
      <c r="C193" s="64"/>
      <c r="D193" s="65" t="s">
        <v>162</v>
      </c>
      <c r="E193" s="66">
        <f>3+1</f>
        <v>4</v>
      </c>
      <c r="F193" s="67">
        <v>12</v>
      </c>
      <c r="G193" s="68" t="s">
        <v>43</v>
      </c>
      <c r="H193" s="67">
        <v>12</v>
      </c>
      <c r="I193" s="68" t="s">
        <v>162</v>
      </c>
      <c r="J193" s="69">
        <f>2088000/144</f>
        <v>14500</v>
      </c>
      <c r="K193" s="65" t="s">
        <v>162</v>
      </c>
      <c r="L193" s="70">
        <v>2.5000000000000001E-2</v>
      </c>
      <c r="M193" s="70">
        <v>0.17</v>
      </c>
      <c r="N193" s="67">
        <f>432+144</f>
        <v>576</v>
      </c>
      <c r="O193" s="68" t="s">
        <v>162</v>
      </c>
      <c r="P193" s="64">
        <f t="shared" si="44"/>
        <v>0</v>
      </c>
      <c r="Q193" s="68" t="s">
        <v>162</v>
      </c>
      <c r="R193" s="69">
        <f t="shared" si="45"/>
        <v>0</v>
      </c>
      <c r="S193" s="69">
        <f t="shared" si="40"/>
        <v>0</v>
      </c>
    </row>
    <row r="194" spans="1:19" s="63" customFormat="1">
      <c r="A194" s="72" t="s">
        <v>175</v>
      </c>
      <c r="B194" s="63" t="s">
        <v>26</v>
      </c>
      <c r="C194" s="64"/>
      <c r="D194" s="65" t="s">
        <v>162</v>
      </c>
      <c r="E194" s="66">
        <v>2</v>
      </c>
      <c r="F194" s="67">
        <v>6</v>
      </c>
      <c r="G194" s="68" t="s">
        <v>43</v>
      </c>
      <c r="H194" s="67">
        <v>12</v>
      </c>
      <c r="I194" s="68" t="s">
        <v>162</v>
      </c>
      <c r="J194" s="69">
        <f>1944000/72</f>
        <v>27000</v>
      </c>
      <c r="K194" s="65" t="s">
        <v>162</v>
      </c>
      <c r="L194" s="70">
        <v>2.5000000000000001E-2</v>
      </c>
      <c r="M194" s="70">
        <v>0.17</v>
      </c>
      <c r="N194" s="67">
        <v>144</v>
      </c>
      <c r="O194" s="68" t="s">
        <v>162</v>
      </c>
      <c r="P194" s="64">
        <f t="shared" si="44"/>
        <v>0</v>
      </c>
      <c r="Q194" s="68" t="s">
        <v>162</v>
      </c>
      <c r="R194" s="69">
        <f t="shared" si="45"/>
        <v>0</v>
      </c>
      <c r="S194" s="69">
        <f t="shared" si="40"/>
        <v>0</v>
      </c>
    </row>
    <row r="195" spans="1:19" s="63" customFormat="1">
      <c r="A195" s="72" t="s">
        <v>176</v>
      </c>
      <c r="B195" s="63" t="s">
        <v>26</v>
      </c>
      <c r="C195" s="64"/>
      <c r="D195" s="65" t="s">
        <v>162</v>
      </c>
      <c r="E195" s="66">
        <v>1</v>
      </c>
      <c r="F195" s="67">
        <v>8</v>
      </c>
      <c r="G195" s="68" t="s">
        <v>34</v>
      </c>
      <c r="H195" s="67">
        <v>6</v>
      </c>
      <c r="I195" s="68" t="s">
        <v>162</v>
      </c>
      <c r="J195" s="69">
        <f>1632000/8/6</f>
        <v>34000</v>
      </c>
      <c r="K195" s="65" t="s">
        <v>162</v>
      </c>
      <c r="L195" s="70">
        <v>2.5000000000000001E-2</v>
      </c>
      <c r="M195" s="70">
        <v>0.17</v>
      </c>
      <c r="N195" s="67">
        <v>48</v>
      </c>
      <c r="O195" s="68" t="s">
        <v>162</v>
      </c>
      <c r="P195" s="64">
        <f t="shared" si="44"/>
        <v>0</v>
      </c>
      <c r="Q195" s="68" t="s">
        <v>162</v>
      </c>
      <c r="R195" s="69">
        <f t="shared" si="45"/>
        <v>0</v>
      </c>
      <c r="S195" s="69">
        <f t="shared" si="40"/>
        <v>0</v>
      </c>
    </row>
    <row r="196" spans="1:19" s="63" customFormat="1">
      <c r="A196" s="72" t="s">
        <v>177</v>
      </c>
      <c r="B196" s="63" t="s">
        <v>26</v>
      </c>
      <c r="C196" s="64"/>
      <c r="D196" s="65" t="s">
        <v>162</v>
      </c>
      <c r="E196" s="66">
        <v>1</v>
      </c>
      <c r="F196" s="67">
        <v>6</v>
      </c>
      <c r="G196" s="68" t="s">
        <v>34</v>
      </c>
      <c r="H196" s="67">
        <v>6</v>
      </c>
      <c r="I196" s="68" t="s">
        <v>162</v>
      </c>
      <c r="J196" s="69">
        <f>1710000/6/6</f>
        <v>47500</v>
      </c>
      <c r="K196" s="65" t="s">
        <v>162</v>
      </c>
      <c r="L196" s="70">
        <v>2.5000000000000001E-2</v>
      </c>
      <c r="M196" s="70">
        <v>0.17</v>
      </c>
      <c r="N196" s="67">
        <v>36</v>
      </c>
      <c r="O196" s="68" t="s">
        <v>162</v>
      </c>
      <c r="P196" s="64">
        <f t="shared" si="44"/>
        <v>0</v>
      </c>
      <c r="Q196" s="68" t="s">
        <v>162</v>
      </c>
      <c r="R196" s="69">
        <f t="shared" si="45"/>
        <v>0</v>
      </c>
      <c r="S196" s="69">
        <f t="shared" si="40"/>
        <v>0</v>
      </c>
    </row>
    <row r="197" spans="1:19" s="63" customFormat="1">
      <c r="A197" s="72" t="s">
        <v>178</v>
      </c>
      <c r="B197" s="63" t="s">
        <v>26</v>
      </c>
      <c r="C197" s="64">
        <v>12</v>
      </c>
      <c r="D197" s="65" t="s">
        <v>162</v>
      </c>
      <c r="E197" s="66"/>
      <c r="F197" s="67">
        <v>4</v>
      </c>
      <c r="G197" s="68" t="s">
        <v>34</v>
      </c>
      <c r="H197" s="67">
        <v>6</v>
      </c>
      <c r="I197" s="68" t="s">
        <v>162</v>
      </c>
      <c r="J197" s="69">
        <f>1656000/4/6</f>
        <v>69000</v>
      </c>
      <c r="K197" s="65" t="s">
        <v>162</v>
      </c>
      <c r="L197" s="70">
        <v>2.5000000000000001E-2</v>
      </c>
      <c r="M197" s="70">
        <v>0.17</v>
      </c>
      <c r="N197" s="67">
        <v>12</v>
      </c>
      <c r="O197" s="68" t="s">
        <v>162</v>
      </c>
      <c r="P197" s="64">
        <f t="shared" si="44"/>
        <v>0</v>
      </c>
      <c r="Q197" s="68" t="s">
        <v>162</v>
      </c>
      <c r="R197" s="69">
        <f t="shared" si="45"/>
        <v>0</v>
      </c>
      <c r="S197" s="69">
        <f t="shared" si="40"/>
        <v>0</v>
      </c>
    </row>
    <row r="198" spans="1:19" s="63" customFormat="1">
      <c r="A198" s="72" t="s">
        <v>179</v>
      </c>
      <c r="B198" s="63" t="s">
        <v>26</v>
      </c>
      <c r="C198" s="64">
        <v>12</v>
      </c>
      <c r="D198" s="65" t="s">
        <v>162</v>
      </c>
      <c r="E198" s="66"/>
      <c r="F198" s="67">
        <v>4</v>
      </c>
      <c r="G198" s="68" t="s">
        <v>34</v>
      </c>
      <c r="H198" s="67">
        <v>6</v>
      </c>
      <c r="I198" s="68" t="s">
        <v>162</v>
      </c>
      <c r="J198" s="69">
        <f>1824000/4/6</f>
        <v>76000</v>
      </c>
      <c r="K198" s="65" t="s">
        <v>162</v>
      </c>
      <c r="L198" s="70">
        <v>2.5000000000000001E-2</v>
      </c>
      <c r="M198" s="70">
        <v>0.17</v>
      </c>
      <c r="N198" s="67">
        <v>12</v>
      </c>
      <c r="O198" s="68" t="s">
        <v>162</v>
      </c>
      <c r="P198" s="64">
        <f t="shared" si="44"/>
        <v>0</v>
      </c>
      <c r="Q198" s="68" t="s">
        <v>162</v>
      </c>
      <c r="R198" s="69">
        <f t="shared" si="45"/>
        <v>0</v>
      </c>
      <c r="S198" s="69">
        <f t="shared" si="40"/>
        <v>0</v>
      </c>
    </row>
    <row r="199" spans="1:19" s="63" customFormat="1">
      <c r="A199" s="72"/>
      <c r="C199" s="64"/>
      <c r="D199" s="65"/>
      <c r="E199" s="66"/>
      <c r="F199" s="67"/>
      <c r="G199" s="68"/>
      <c r="H199" s="67"/>
      <c r="I199" s="68"/>
      <c r="J199" s="69"/>
      <c r="K199" s="65"/>
      <c r="L199" s="70"/>
      <c r="M199" s="70"/>
      <c r="N199" s="67"/>
      <c r="O199" s="68"/>
      <c r="P199" s="64"/>
      <c r="Q199" s="68"/>
      <c r="R199" s="69"/>
      <c r="S199" s="69"/>
    </row>
    <row r="200" spans="1:19">
      <c r="A200" s="15" t="s">
        <v>180</v>
      </c>
      <c r="S200" s="23"/>
    </row>
    <row r="201" spans="1:19" s="63" customFormat="1">
      <c r="A201" s="72" t="s">
        <v>181</v>
      </c>
      <c r="B201" s="63" t="s">
        <v>182</v>
      </c>
      <c r="C201" s="64"/>
      <c r="D201" s="65" t="s">
        <v>162</v>
      </c>
      <c r="E201" s="66"/>
      <c r="F201" s="67">
        <v>1</v>
      </c>
      <c r="G201" s="68" t="s">
        <v>21</v>
      </c>
      <c r="H201" s="67">
        <v>144</v>
      </c>
      <c r="I201" s="68" t="s">
        <v>162</v>
      </c>
      <c r="J201" s="69">
        <v>14000</v>
      </c>
      <c r="K201" s="65" t="s">
        <v>162</v>
      </c>
      <c r="L201" s="70">
        <v>0.05</v>
      </c>
      <c r="M201" s="70">
        <v>0.03</v>
      </c>
      <c r="N201" s="67"/>
      <c r="O201" s="68" t="s">
        <v>162</v>
      </c>
      <c r="P201" s="64">
        <f t="shared" ref="P201:P210" si="46">(C201+(E201*F201*H201))-N201</f>
        <v>0</v>
      </c>
      <c r="Q201" s="68" t="s">
        <v>162</v>
      </c>
      <c r="R201" s="69">
        <f t="shared" ref="R201:R210" si="47">P201*(J201-(J201*L201)-((J201-(J201*L201))*M201))</f>
        <v>0</v>
      </c>
      <c r="S201" s="23">
        <f t="shared" si="40"/>
        <v>0</v>
      </c>
    </row>
    <row r="202" spans="1:19" s="63" customFormat="1">
      <c r="A202" s="72"/>
      <c r="C202" s="64"/>
      <c r="D202" s="65"/>
      <c r="E202" s="66"/>
      <c r="F202" s="67"/>
      <c r="G202" s="68"/>
      <c r="H202" s="67"/>
      <c r="I202" s="68"/>
      <c r="J202" s="69"/>
      <c r="K202" s="65"/>
      <c r="L202" s="70"/>
      <c r="M202" s="70"/>
      <c r="N202" s="67"/>
      <c r="O202" s="68"/>
      <c r="P202" s="64"/>
      <c r="Q202" s="68"/>
      <c r="R202" s="69"/>
      <c r="S202" s="23"/>
    </row>
    <row r="203" spans="1:19" s="45" customFormat="1">
      <c r="A203" s="44" t="s">
        <v>183</v>
      </c>
      <c r="B203" s="45" t="s">
        <v>19</v>
      </c>
      <c r="C203" s="46">
        <v>720</v>
      </c>
      <c r="D203" s="47" t="s">
        <v>162</v>
      </c>
      <c r="E203" s="48"/>
      <c r="F203" s="49">
        <v>12</v>
      </c>
      <c r="G203" s="50" t="s">
        <v>34</v>
      </c>
      <c r="H203" s="49">
        <v>12</v>
      </c>
      <c r="I203" s="50" t="s">
        <v>162</v>
      </c>
      <c r="J203" s="51">
        <v>18000</v>
      </c>
      <c r="K203" s="47" t="s">
        <v>162</v>
      </c>
      <c r="L203" s="52">
        <v>0.125</v>
      </c>
      <c r="M203" s="52">
        <v>0.05</v>
      </c>
      <c r="N203" s="49">
        <v>144</v>
      </c>
      <c r="O203" s="50" t="s">
        <v>162</v>
      </c>
      <c r="P203" s="46">
        <f t="shared" si="46"/>
        <v>576</v>
      </c>
      <c r="Q203" s="50" t="s">
        <v>162</v>
      </c>
      <c r="R203" s="51">
        <f t="shared" si="47"/>
        <v>8618400</v>
      </c>
      <c r="S203" s="32">
        <f t="shared" si="40"/>
        <v>7764324.3243243238</v>
      </c>
    </row>
    <row r="204" spans="1:19" s="63" customFormat="1">
      <c r="A204" s="72" t="s">
        <v>184</v>
      </c>
      <c r="B204" s="63" t="s">
        <v>19</v>
      </c>
      <c r="C204" s="64"/>
      <c r="D204" s="65" t="s">
        <v>162</v>
      </c>
      <c r="E204" s="66"/>
      <c r="F204" s="67">
        <v>12</v>
      </c>
      <c r="G204" s="68" t="s">
        <v>34</v>
      </c>
      <c r="H204" s="67">
        <v>12</v>
      </c>
      <c r="I204" s="68" t="s">
        <v>162</v>
      </c>
      <c r="J204" s="69">
        <v>22750</v>
      </c>
      <c r="K204" s="65" t="s">
        <v>162</v>
      </c>
      <c r="L204" s="70">
        <v>0.125</v>
      </c>
      <c r="M204" s="70">
        <v>0.05</v>
      </c>
      <c r="N204" s="67">
        <f>(1*12)</f>
        <v>12</v>
      </c>
      <c r="O204" s="68" t="s">
        <v>162</v>
      </c>
      <c r="P204" s="64">
        <f t="shared" si="46"/>
        <v>-12</v>
      </c>
      <c r="Q204" s="68" t="s">
        <v>162</v>
      </c>
      <c r="R204" s="69">
        <f t="shared" si="47"/>
        <v>-226931.25</v>
      </c>
      <c r="S204" s="69">
        <f t="shared" si="40"/>
        <v>-204442.56756756754</v>
      </c>
    </row>
    <row r="205" spans="1:19" s="17" customFormat="1">
      <c r="A205" s="16" t="s">
        <v>185</v>
      </c>
      <c r="B205" s="17" t="s">
        <v>19</v>
      </c>
      <c r="C205" s="18"/>
      <c r="D205" s="19" t="s">
        <v>162</v>
      </c>
      <c r="E205" s="20"/>
      <c r="F205" s="21">
        <v>12</v>
      </c>
      <c r="G205" s="22" t="s">
        <v>34</v>
      </c>
      <c r="H205" s="21">
        <v>6</v>
      </c>
      <c r="I205" s="22" t="s">
        <v>162</v>
      </c>
      <c r="J205" s="23">
        <v>48000</v>
      </c>
      <c r="K205" s="19" t="s">
        <v>162</v>
      </c>
      <c r="L205" s="24">
        <v>0.125</v>
      </c>
      <c r="M205" s="24">
        <v>0.05</v>
      </c>
      <c r="N205" s="21"/>
      <c r="O205" s="22" t="s">
        <v>162</v>
      </c>
      <c r="P205" s="18">
        <f t="shared" si="46"/>
        <v>0</v>
      </c>
      <c r="Q205" s="22" t="s">
        <v>162</v>
      </c>
      <c r="R205" s="23">
        <f t="shared" si="47"/>
        <v>0</v>
      </c>
      <c r="S205" s="23">
        <f t="shared" si="40"/>
        <v>0</v>
      </c>
    </row>
    <row r="206" spans="1:19" s="17" customFormat="1">
      <c r="A206" s="16"/>
      <c r="C206" s="18"/>
      <c r="D206" s="19"/>
      <c r="E206" s="20"/>
      <c r="F206" s="21"/>
      <c r="G206" s="22"/>
      <c r="H206" s="21"/>
      <c r="I206" s="22"/>
      <c r="J206" s="23"/>
      <c r="K206" s="19"/>
      <c r="L206" s="24"/>
      <c r="M206" s="24"/>
      <c r="N206" s="21"/>
      <c r="O206" s="22"/>
      <c r="P206" s="18"/>
      <c r="Q206" s="22"/>
      <c r="R206" s="23"/>
      <c r="S206" s="23"/>
    </row>
    <row r="207" spans="1:19" s="17" customFormat="1">
      <c r="A207" s="16" t="s">
        <v>186</v>
      </c>
      <c r="B207" s="17" t="s">
        <v>26</v>
      </c>
      <c r="C207" s="18"/>
      <c r="D207" s="19" t="s">
        <v>162</v>
      </c>
      <c r="E207" s="20"/>
      <c r="F207" s="21">
        <v>12</v>
      </c>
      <c r="G207" s="22" t="s">
        <v>43</v>
      </c>
      <c r="H207" s="21">
        <v>12</v>
      </c>
      <c r="I207" s="22" t="s">
        <v>162</v>
      </c>
      <c r="J207" s="23">
        <f>2592000/12/12</f>
        <v>18000</v>
      </c>
      <c r="K207" s="19" t="s">
        <v>162</v>
      </c>
      <c r="L207" s="24"/>
      <c r="M207" s="24">
        <v>0.17</v>
      </c>
      <c r="N207" s="21"/>
      <c r="O207" s="22" t="s">
        <v>162</v>
      </c>
      <c r="P207" s="18">
        <f t="shared" si="46"/>
        <v>0</v>
      </c>
      <c r="Q207" s="22" t="s">
        <v>162</v>
      </c>
      <c r="R207" s="23">
        <f t="shared" si="47"/>
        <v>0</v>
      </c>
      <c r="S207" s="23">
        <f t="shared" si="40"/>
        <v>0</v>
      </c>
    </row>
    <row r="208" spans="1:19" s="17" customFormat="1">
      <c r="A208" s="16" t="s">
        <v>187</v>
      </c>
      <c r="B208" s="17" t="s">
        <v>26</v>
      </c>
      <c r="C208" s="18"/>
      <c r="D208" s="19" t="s">
        <v>162</v>
      </c>
      <c r="E208" s="20"/>
      <c r="F208" s="21">
        <v>8</v>
      </c>
      <c r="G208" s="22" t="s">
        <v>43</v>
      </c>
      <c r="H208" s="21">
        <v>12</v>
      </c>
      <c r="I208" s="22" t="s">
        <v>162</v>
      </c>
      <c r="J208" s="23">
        <v>24500</v>
      </c>
      <c r="K208" s="19" t="s">
        <v>162</v>
      </c>
      <c r="L208" s="24"/>
      <c r="M208" s="24">
        <v>0.17</v>
      </c>
      <c r="N208" s="21"/>
      <c r="O208" s="22" t="s">
        <v>162</v>
      </c>
      <c r="P208" s="18">
        <f t="shared" si="46"/>
        <v>0</v>
      </c>
      <c r="Q208" s="22" t="s">
        <v>162</v>
      </c>
      <c r="R208" s="23">
        <f t="shared" si="47"/>
        <v>0</v>
      </c>
      <c r="S208" s="23">
        <f t="shared" si="40"/>
        <v>0</v>
      </c>
    </row>
    <row r="209" spans="1:19" s="17" customFormat="1">
      <c r="A209" s="16" t="s">
        <v>188</v>
      </c>
      <c r="B209" s="17" t="s">
        <v>26</v>
      </c>
      <c r="C209" s="18"/>
      <c r="D209" s="19" t="s">
        <v>162</v>
      </c>
      <c r="E209" s="20"/>
      <c r="F209" s="21">
        <v>12</v>
      </c>
      <c r="G209" s="22" t="s">
        <v>43</v>
      </c>
      <c r="H209" s="21">
        <v>12</v>
      </c>
      <c r="I209" s="22" t="s">
        <v>162</v>
      </c>
      <c r="J209" s="23">
        <f>3528000/144</f>
        <v>24500</v>
      </c>
      <c r="K209" s="19" t="s">
        <v>162</v>
      </c>
      <c r="L209" s="24">
        <v>0.05</v>
      </c>
      <c r="M209" s="24">
        <v>0.17</v>
      </c>
      <c r="N209" s="21"/>
      <c r="O209" s="22" t="s">
        <v>162</v>
      </c>
      <c r="P209" s="18">
        <f t="shared" si="46"/>
        <v>0</v>
      </c>
      <c r="Q209" s="22" t="s">
        <v>162</v>
      </c>
      <c r="R209" s="23">
        <f t="shared" si="47"/>
        <v>0</v>
      </c>
      <c r="S209" s="23">
        <f t="shared" si="40"/>
        <v>0</v>
      </c>
    </row>
    <row r="210" spans="1:19" s="17" customFormat="1">
      <c r="A210" s="16" t="s">
        <v>189</v>
      </c>
      <c r="B210" s="17" t="s">
        <v>26</v>
      </c>
      <c r="C210" s="18"/>
      <c r="D210" s="19" t="s">
        <v>162</v>
      </c>
      <c r="E210" s="20"/>
      <c r="F210" s="21">
        <v>6</v>
      </c>
      <c r="G210" s="22" t="s">
        <v>43</v>
      </c>
      <c r="H210" s="21">
        <v>12</v>
      </c>
      <c r="I210" s="22" t="s">
        <v>162</v>
      </c>
      <c r="J210" s="23">
        <v>36000</v>
      </c>
      <c r="K210" s="19" t="s">
        <v>162</v>
      </c>
      <c r="L210" s="24">
        <v>0.05</v>
      </c>
      <c r="M210" s="24">
        <v>0.17</v>
      </c>
      <c r="N210" s="21"/>
      <c r="O210" s="22" t="s">
        <v>162</v>
      </c>
      <c r="P210" s="18">
        <f t="shared" si="46"/>
        <v>0</v>
      </c>
      <c r="Q210" s="22" t="s">
        <v>162</v>
      </c>
      <c r="R210" s="23">
        <f t="shared" si="47"/>
        <v>0</v>
      </c>
      <c r="S210" s="23">
        <f t="shared" si="40"/>
        <v>0</v>
      </c>
    </row>
    <row r="211" spans="1:19" s="17" customFormat="1">
      <c r="A211" s="16"/>
      <c r="C211" s="18"/>
      <c r="D211" s="19"/>
      <c r="E211" s="20"/>
      <c r="F211" s="21"/>
      <c r="G211" s="22"/>
      <c r="H211" s="21"/>
      <c r="I211" s="22"/>
      <c r="J211" s="23"/>
      <c r="K211" s="19"/>
      <c r="L211" s="24"/>
      <c r="M211" s="24"/>
      <c r="N211" s="21"/>
      <c r="O211" s="22"/>
      <c r="P211" s="18"/>
      <c r="Q211" s="22"/>
      <c r="R211" s="23"/>
      <c r="S211" s="23"/>
    </row>
    <row r="212" spans="1:19">
      <c r="A212" s="15" t="s">
        <v>190</v>
      </c>
      <c r="S212" s="23"/>
    </row>
    <row r="213" spans="1:19" s="17" customFormat="1">
      <c r="A213" s="16" t="s">
        <v>191</v>
      </c>
      <c r="B213" s="17" t="s">
        <v>192</v>
      </c>
      <c r="C213" s="18"/>
      <c r="D213" s="19" t="s">
        <v>43</v>
      </c>
      <c r="E213" s="20"/>
      <c r="F213" s="21">
        <v>1</v>
      </c>
      <c r="G213" s="22" t="s">
        <v>21</v>
      </c>
      <c r="H213" s="21">
        <v>5</v>
      </c>
      <c r="I213" s="22" t="s">
        <v>43</v>
      </c>
      <c r="J213" s="23">
        <v>475000</v>
      </c>
      <c r="K213" s="19" t="s">
        <v>43</v>
      </c>
      <c r="L213" s="24"/>
      <c r="M213" s="24"/>
      <c r="N213" s="21"/>
      <c r="O213" s="22" t="s">
        <v>43</v>
      </c>
      <c r="P213" s="18">
        <f>(C213+(E213*F213*H213))-N213</f>
        <v>0</v>
      </c>
      <c r="Q213" s="22" t="s">
        <v>43</v>
      </c>
      <c r="R213" s="23">
        <f>P213*(J213-(J213*L213)-((J213-(J213*L213))*M213))</f>
        <v>0</v>
      </c>
      <c r="S213" s="23">
        <f t="shared" si="40"/>
        <v>0</v>
      </c>
    </row>
    <row r="214" spans="1:19" s="17" customFormat="1">
      <c r="A214" s="16"/>
      <c r="C214" s="18"/>
      <c r="D214" s="19"/>
      <c r="E214" s="20"/>
      <c r="F214" s="21"/>
      <c r="G214" s="22"/>
      <c r="H214" s="21"/>
      <c r="I214" s="22"/>
      <c r="J214" s="23"/>
      <c r="K214" s="19"/>
      <c r="L214" s="24"/>
      <c r="M214" s="24"/>
      <c r="N214" s="21"/>
      <c r="O214" s="22"/>
      <c r="P214" s="18"/>
      <c r="Q214" s="22"/>
      <c r="R214" s="23"/>
      <c r="S214" s="23"/>
    </row>
    <row r="215" spans="1:19" s="63" customFormat="1">
      <c r="A215" s="72" t="s">
        <v>796</v>
      </c>
      <c r="B215" s="63" t="s">
        <v>19</v>
      </c>
      <c r="C215" s="64"/>
      <c r="D215" s="65" t="s">
        <v>162</v>
      </c>
      <c r="E215" s="66"/>
      <c r="F215" s="67">
        <v>8</v>
      </c>
      <c r="G215" s="68" t="s">
        <v>34</v>
      </c>
      <c r="H215" s="67">
        <v>12</v>
      </c>
      <c r="I215" s="68" t="s">
        <v>162</v>
      </c>
      <c r="J215" s="69">
        <v>25700</v>
      </c>
      <c r="K215" s="65" t="s">
        <v>162</v>
      </c>
      <c r="L215" s="70">
        <v>0.125</v>
      </c>
      <c r="M215" s="70">
        <v>0.05</v>
      </c>
      <c r="N215" s="67"/>
      <c r="O215" s="68" t="s">
        <v>162</v>
      </c>
      <c r="P215" s="64">
        <f>(C215+(E215*F215*H215))-N215</f>
        <v>0</v>
      </c>
      <c r="Q215" s="68" t="s">
        <v>162</v>
      </c>
      <c r="R215" s="69">
        <f>P215*(J215-(J215*L215)-((J215-(J215*L215))*M215))</f>
        <v>0</v>
      </c>
      <c r="S215" s="23">
        <f t="shared" si="40"/>
        <v>0</v>
      </c>
    </row>
    <row r="216" spans="1:19" s="63" customFormat="1">
      <c r="A216" s="72" t="s">
        <v>194</v>
      </c>
      <c r="B216" s="63" t="s">
        <v>19</v>
      </c>
      <c r="C216" s="64"/>
      <c r="D216" s="65" t="s">
        <v>162</v>
      </c>
      <c r="E216" s="66"/>
      <c r="F216" s="67">
        <v>6</v>
      </c>
      <c r="G216" s="68" t="s">
        <v>34</v>
      </c>
      <c r="H216" s="67">
        <v>12</v>
      </c>
      <c r="I216" s="68" t="s">
        <v>162</v>
      </c>
      <c r="J216" s="69">
        <v>41500</v>
      </c>
      <c r="K216" s="65" t="s">
        <v>162</v>
      </c>
      <c r="L216" s="70">
        <v>0.125</v>
      </c>
      <c r="M216" s="70">
        <v>0.05</v>
      </c>
      <c r="N216" s="67"/>
      <c r="O216" s="68" t="s">
        <v>162</v>
      </c>
      <c r="P216" s="64">
        <f>(C216+(E216*F216*H216))-N216</f>
        <v>0</v>
      </c>
      <c r="Q216" s="68" t="s">
        <v>162</v>
      </c>
      <c r="R216" s="69">
        <f>P216*(J216-(J216*L216)-((J216-(J216*L216))*M216))</f>
        <v>0</v>
      </c>
      <c r="S216" s="23">
        <f t="shared" si="40"/>
        <v>0</v>
      </c>
    </row>
    <row r="217" spans="1:19">
      <c r="S217" s="23"/>
    </row>
    <row r="218" spans="1:19" ht="15.75">
      <c r="A218" s="14" t="s">
        <v>195</v>
      </c>
      <c r="S218" s="23"/>
    </row>
    <row r="219" spans="1:19">
      <c r="A219" s="15" t="s">
        <v>196</v>
      </c>
      <c r="S219" s="23"/>
    </row>
    <row r="220" spans="1:19" s="17" customFormat="1">
      <c r="A220" s="16" t="s">
        <v>769</v>
      </c>
      <c r="B220" s="17" t="s">
        <v>19</v>
      </c>
      <c r="C220" s="18"/>
      <c r="D220" s="19" t="s">
        <v>43</v>
      </c>
      <c r="E220" s="20"/>
      <c r="F220" s="21">
        <v>1</v>
      </c>
      <c r="G220" s="22" t="s">
        <v>21</v>
      </c>
      <c r="H220" s="21">
        <v>24</v>
      </c>
      <c r="I220" s="22" t="s">
        <v>43</v>
      </c>
      <c r="J220" s="23">
        <v>27600</v>
      </c>
      <c r="K220" s="19" t="s">
        <v>43</v>
      </c>
      <c r="L220" s="24">
        <v>0.125</v>
      </c>
      <c r="M220" s="24">
        <v>0.05</v>
      </c>
      <c r="N220" s="21"/>
      <c r="O220" s="22" t="s">
        <v>43</v>
      </c>
      <c r="P220" s="18">
        <f t="shared" ref="P220:P231" si="48">(C220+(E220*F220*H220))-N220</f>
        <v>0</v>
      </c>
      <c r="Q220" s="22" t="s">
        <v>43</v>
      </c>
      <c r="R220" s="23">
        <f t="shared" ref="R220:R231" si="49">P220*(J220-(J220*L220)-((J220-(J220*L220))*M220))</f>
        <v>0</v>
      </c>
      <c r="S220" s="23">
        <f t="shared" ref="S220" si="50">R220/1.11</f>
        <v>0</v>
      </c>
    </row>
    <row r="221" spans="1:19" s="17" customFormat="1">
      <c r="A221" s="16" t="s">
        <v>197</v>
      </c>
      <c r="B221" s="17" t="s">
        <v>19</v>
      </c>
      <c r="C221" s="18"/>
      <c r="D221" s="19" t="s">
        <v>43</v>
      </c>
      <c r="E221" s="20"/>
      <c r="F221" s="21">
        <v>1</v>
      </c>
      <c r="G221" s="22" t="s">
        <v>21</v>
      </c>
      <c r="H221" s="21">
        <v>24</v>
      </c>
      <c r="I221" s="22" t="s">
        <v>43</v>
      </c>
      <c r="J221" s="23">
        <v>73200</v>
      </c>
      <c r="K221" s="19" t="s">
        <v>43</v>
      </c>
      <c r="L221" s="24">
        <v>0.125</v>
      </c>
      <c r="M221" s="24">
        <v>0.05</v>
      </c>
      <c r="N221" s="21"/>
      <c r="O221" s="22" t="s">
        <v>43</v>
      </c>
      <c r="P221" s="18">
        <f t="shared" si="48"/>
        <v>0</v>
      </c>
      <c r="Q221" s="22" t="s">
        <v>43</v>
      </c>
      <c r="R221" s="23">
        <f t="shared" si="49"/>
        <v>0</v>
      </c>
      <c r="S221" s="23">
        <f t="shared" si="40"/>
        <v>0</v>
      </c>
    </row>
    <row r="222" spans="1:19" s="26" customFormat="1">
      <c r="A222" s="25" t="s">
        <v>198</v>
      </c>
      <c r="B222" s="26" t="s">
        <v>19</v>
      </c>
      <c r="C222" s="27"/>
      <c r="D222" s="28" t="s">
        <v>43</v>
      </c>
      <c r="E222" s="29">
        <v>1</v>
      </c>
      <c r="F222" s="30">
        <v>1</v>
      </c>
      <c r="G222" s="31" t="s">
        <v>21</v>
      </c>
      <c r="H222" s="30">
        <v>48</v>
      </c>
      <c r="I222" s="31" t="s">
        <v>43</v>
      </c>
      <c r="J222" s="32">
        <v>51600</v>
      </c>
      <c r="K222" s="28" t="s">
        <v>43</v>
      </c>
      <c r="L222" s="33">
        <v>0.125</v>
      </c>
      <c r="M222" s="33">
        <v>0.05</v>
      </c>
      <c r="N222" s="30">
        <v>12</v>
      </c>
      <c r="O222" s="31" t="s">
        <v>43</v>
      </c>
      <c r="P222" s="27">
        <f t="shared" si="48"/>
        <v>36</v>
      </c>
      <c r="Q222" s="31" t="s">
        <v>43</v>
      </c>
      <c r="R222" s="32">
        <f t="shared" si="49"/>
        <v>1544130</v>
      </c>
      <c r="S222" s="32">
        <f t="shared" si="40"/>
        <v>1391108.1081081079</v>
      </c>
    </row>
    <row r="223" spans="1:19" s="26" customFormat="1">
      <c r="A223" s="25" t="s">
        <v>199</v>
      </c>
      <c r="B223" s="26" t="s">
        <v>19</v>
      </c>
      <c r="C223" s="27">
        <v>16</v>
      </c>
      <c r="D223" s="28" t="s">
        <v>43</v>
      </c>
      <c r="E223" s="29">
        <v>1</v>
      </c>
      <c r="F223" s="30">
        <v>1</v>
      </c>
      <c r="G223" s="31" t="s">
        <v>21</v>
      </c>
      <c r="H223" s="30">
        <v>48</v>
      </c>
      <c r="I223" s="31" t="s">
        <v>43</v>
      </c>
      <c r="J223" s="32">
        <v>55800</v>
      </c>
      <c r="K223" s="28" t="s">
        <v>43</v>
      </c>
      <c r="L223" s="33">
        <v>0.125</v>
      </c>
      <c r="M223" s="33">
        <v>0.05</v>
      </c>
      <c r="N223" s="30">
        <v>12</v>
      </c>
      <c r="O223" s="31" t="s">
        <v>43</v>
      </c>
      <c r="P223" s="27">
        <f t="shared" si="48"/>
        <v>52</v>
      </c>
      <c r="Q223" s="31" t="s">
        <v>43</v>
      </c>
      <c r="R223" s="32">
        <f t="shared" si="49"/>
        <v>2411955</v>
      </c>
      <c r="S223" s="32">
        <f t="shared" si="40"/>
        <v>2172932.4324324322</v>
      </c>
    </row>
    <row r="224" spans="1:19" s="63" customFormat="1">
      <c r="A224" s="72" t="s">
        <v>795</v>
      </c>
      <c r="B224" s="63" t="s">
        <v>19</v>
      </c>
      <c r="C224" s="64"/>
      <c r="D224" s="65" t="s">
        <v>43</v>
      </c>
      <c r="E224" s="66">
        <v>1</v>
      </c>
      <c r="F224" s="67">
        <v>1</v>
      </c>
      <c r="G224" s="68" t="s">
        <v>21</v>
      </c>
      <c r="H224" s="67">
        <f>288/12</f>
        <v>24</v>
      </c>
      <c r="I224" s="68" t="s">
        <v>43</v>
      </c>
      <c r="J224" s="69">
        <f>10600*12</f>
        <v>127200</v>
      </c>
      <c r="K224" s="65" t="s">
        <v>43</v>
      </c>
      <c r="L224" s="70">
        <v>0.125</v>
      </c>
      <c r="M224" s="70">
        <v>0.05</v>
      </c>
      <c r="N224" s="67">
        <f>(288/12)</f>
        <v>24</v>
      </c>
      <c r="O224" s="68" t="s">
        <v>43</v>
      </c>
      <c r="P224" s="64">
        <f t="shared" si="48"/>
        <v>0</v>
      </c>
      <c r="Q224" s="68" t="s">
        <v>43</v>
      </c>
      <c r="R224" s="69">
        <f t="shared" si="49"/>
        <v>0</v>
      </c>
      <c r="S224" s="69">
        <f t="shared" si="40"/>
        <v>0</v>
      </c>
    </row>
    <row r="225" spans="1:19" s="45" customFormat="1">
      <c r="A225" s="44" t="s">
        <v>200</v>
      </c>
      <c r="B225" s="45" t="s">
        <v>19</v>
      </c>
      <c r="C225" s="46"/>
      <c r="D225" s="47" t="s">
        <v>43</v>
      </c>
      <c r="E225" s="48">
        <f>1+3+3+2</f>
        <v>9</v>
      </c>
      <c r="F225" s="49">
        <v>1</v>
      </c>
      <c r="G225" s="50" t="s">
        <v>21</v>
      </c>
      <c r="H225" s="49">
        <v>24</v>
      </c>
      <c r="I225" s="50" t="s">
        <v>43</v>
      </c>
      <c r="J225" s="51">
        <v>162000</v>
      </c>
      <c r="K225" s="47" t="s">
        <v>43</v>
      </c>
      <c r="L225" s="52">
        <v>0.125</v>
      </c>
      <c r="M225" s="52">
        <v>0.05</v>
      </c>
      <c r="N225" s="49">
        <f>24+72+24</f>
        <v>120</v>
      </c>
      <c r="O225" s="50" t="s">
        <v>43</v>
      </c>
      <c r="P225" s="46">
        <f t="shared" si="48"/>
        <v>96</v>
      </c>
      <c r="Q225" s="50" t="s">
        <v>43</v>
      </c>
      <c r="R225" s="51">
        <f t="shared" si="49"/>
        <v>12927600</v>
      </c>
      <c r="S225" s="51">
        <f t="shared" si="40"/>
        <v>11646486.486486485</v>
      </c>
    </row>
    <row r="226" spans="1:19" s="63" customFormat="1">
      <c r="A226" s="72"/>
      <c r="C226" s="64"/>
      <c r="D226" s="65"/>
      <c r="E226" s="66"/>
      <c r="F226" s="67"/>
      <c r="G226" s="68"/>
      <c r="H226" s="67"/>
      <c r="I226" s="68"/>
      <c r="J226" s="69"/>
      <c r="K226" s="65"/>
      <c r="L226" s="70"/>
      <c r="M226" s="70"/>
      <c r="N226" s="67"/>
      <c r="O226" s="68"/>
      <c r="P226" s="64"/>
      <c r="Q226" s="68"/>
      <c r="R226" s="69"/>
      <c r="S226" s="69"/>
    </row>
    <row r="227" spans="1:19" s="63" customFormat="1">
      <c r="A227" s="72" t="s">
        <v>201</v>
      </c>
      <c r="B227" s="63" t="s">
        <v>26</v>
      </c>
      <c r="C227" s="64"/>
      <c r="D227" s="65" t="s">
        <v>43</v>
      </c>
      <c r="E227" s="66"/>
      <c r="F227" s="67">
        <v>1</v>
      </c>
      <c r="G227" s="68" t="s">
        <v>21</v>
      </c>
      <c r="H227" s="67">
        <v>30</v>
      </c>
      <c r="I227" s="68" t="s">
        <v>43</v>
      </c>
      <c r="J227" s="69">
        <f>1566000/30</f>
        <v>52200</v>
      </c>
      <c r="K227" s="65" t="s">
        <v>43</v>
      </c>
      <c r="L227" s="70"/>
      <c r="M227" s="70">
        <v>0.17</v>
      </c>
      <c r="N227" s="67"/>
      <c r="O227" s="68" t="s">
        <v>43</v>
      </c>
      <c r="P227" s="64">
        <f t="shared" si="48"/>
        <v>0</v>
      </c>
      <c r="Q227" s="68" t="s">
        <v>43</v>
      </c>
      <c r="R227" s="69">
        <f t="shared" si="49"/>
        <v>0</v>
      </c>
      <c r="S227" s="23">
        <f t="shared" si="40"/>
        <v>0</v>
      </c>
    </row>
    <row r="228" spans="1:19" s="26" customFormat="1">
      <c r="A228" s="25" t="s">
        <v>202</v>
      </c>
      <c r="B228" s="26" t="s">
        <v>26</v>
      </c>
      <c r="C228" s="27"/>
      <c r="D228" s="28" t="s">
        <v>43</v>
      </c>
      <c r="E228" s="29">
        <f>3+2+5+2</f>
        <v>12</v>
      </c>
      <c r="F228" s="30">
        <v>1</v>
      </c>
      <c r="G228" s="31" t="s">
        <v>21</v>
      </c>
      <c r="H228" s="30">
        <v>30</v>
      </c>
      <c r="I228" s="31" t="s">
        <v>43</v>
      </c>
      <c r="J228" s="32">
        <f>1710000/30</f>
        <v>57000</v>
      </c>
      <c r="K228" s="28" t="s">
        <v>43</v>
      </c>
      <c r="L228" s="33"/>
      <c r="M228" s="33">
        <v>0.17</v>
      </c>
      <c r="N228" s="30">
        <f>3+30+30+5+6+6+1+30+5+30+2+30+30+60</f>
        <v>268</v>
      </c>
      <c r="O228" s="31" t="s">
        <v>43</v>
      </c>
      <c r="P228" s="27">
        <f t="shared" si="48"/>
        <v>92</v>
      </c>
      <c r="Q228" s="31" t="s">
        <v>43</v>
      </c>
      <c r="R228" s="32">
        <f t="shared" si="49"/>
        <v>4352520</v>
      </c>
      <c r="S228" s="32">
        <f t="shared" si="40"/>
        <v>3921189.1891891886</v>
      </c>
    </row>
    <row r="229" spans="1:19" s="45" customFormat="1">
      <c r="A229" s="44" t="s">
        <v>203</v>
      </c>
      <c r="B229" s="45" t="s">
        <v>26</v>
      </c>
      <c r="C229" s="46">
        <v>23</v>
      </c>
      <c r="D229" s="47" t="s">
        <v>43</v>
      </c>
      <c r="E229" s="48">
        <f>3+3</f>
        <v>6</v>
      </c>
      <c r="F229" s="49">
        <v>1</v>
      </c>
      <c r="G229" s="50" t="s">
        <v>21</v>
      </c>
      <c r="H229" s="49">
        <v>20</v>
      </c>
      <c r="I229" s="50" t="s">
        <v>43</v>
      </c>
      <c r="J229" s="51">
        <f>2952000/20</f>
        <v>147600</v>
      </c>
      <c r="K229" s="47" t="s">
        <v>43</v>
      </c>
      <c r="L229" s="52"/>
      <c r="M229" s="52">
        <v>0.17</v>
      </c>
      <c r="N229" s="49">
        <v>20</v>
      </c>
      <c r="O229" s="50" t="s">
        <v>43</v>
      </c>
      <c r="P229" s="46">
        <f t="shared" si="48"/>
        <v>123</v>
      </c>
      <c r="Q229" s="50" t="s">
        <v>43</v>
      </c>
      <c r="R229" s="51">
        <f t="shared" si="49"/>
        <v>15068484</v>
      </c>
      <c r="S229" s="51">
        <f t="shared" si="40"/>
        <v>13575210.81081081</v>
      </c>
    </row>
    <row r="230" spans="1:19" s="45" customFormat="1">
      <c r="A230" s="44"/>
      <c r="C230" s="46"/>
      <c r="D230" s="47"/>
      <c r="E230" s="48"/>
      <c r="F230" s="49"/>
      <c r="G230" s="50"/>
      <c r="H230" s="49"/>
      <c r="I230" s="50"/>
      <c r="J230" s="51"/>
      <c r="K230" s="47"/>
      <c r="L230" s="52"/>
      <c r="M230" s="52"/>
      <c r="N230" s="49"/>
      <c r="O230" s="50"/>
      <c r="P230" s="46"/>
      <c r="Q230" s="50"/>
      <c r="R230" s="51"/>
      <c r="S230" s="51"/>
    </row>
    <row r="231" spans="1:19" s="26" customFormat="1">
      <c r="A231" s="25" t="s">
        <v>737</v>
      </c>
      <c r="B231" s="26" t="s">
        <v>659</v>
      </c>
      <c r="C231" s="27">
        <v>26</v>
      </c>
      <c r="D231" s="28" t="s">
        <v>43</v>
      </c>
      <c r="E231" s="29"/>
      <c r="F231" s="30">
        <v>1</v>
      </c>
      <c r="G231" s="31" t="s">
        <v>21</v>
      </c>
      <c r="H231" s="30">
        <v>48</v>
      </c>
      <c r="I231" s="31" t="s">
        <v>43</v>
      </c>
      <c r="J231" s="32">
        <v>60600</v>
      </c>
      <c r="K231" s="28" t="s">
        <v>43</v>
      </c>
      <c r="L231" s="33">
        <v>0.15</v>
      </c>
      <c r="M231" s="33">
        <v>0.03</v>
      </c>
      <c r="N231" s="30"/>
      <c r="O231" s="31" t="s">
        <v>43</v>
      </c>
      <c r="P231" s="27">
        <f t="shared" si="48"/>
        <v>26</v>
      </c>
      <c r="Q231" s="31" t="s">
        <v>43</v>
      </c>
      <c r="R231" s="32">
        <f t="shared" si="49"/>
        <v>1299082.2</v>
      </c>
      <c r="S231" s="32">
        <f t="shared" si="40"/>
        <v>1170344.3243243243</v>
      </c>
    </row>
    <row r="232" spans="1:19" s="26" customFormat="1">
      <c r="A232" s="25"/>
      <c r="C232" s="27"/>
      <c r="D232" s="28"/>
      <c r="E232" s="29"/>
      <c r="F232" s="30"/>
      <c r="G232" s="31"/>
      <c r="H232" s="30"/>
      <c r="I232" s="31"/>
      <c r="J232" s="32"/>
      <c r="K232" s="28"/>
      <c r="L232" s="33"/>
      <c r="M232" s="33"/>
      <c r="N232" s="30"/>
      <c r="O232" s="31"/>
      <c r="P232" s="27"/>
      <c r="Q232" s="31"/>
      <c r="R232" s="32"/>
      <c r="S232" s="32"/>
    </row>
    <row r="233" spans="1:19">
      <c r="A233" s="15" t="s">
        <v>204</v>
      </c>
      <c r="S233" s="23"/>
    </row>
    <row r="234" spans="1:19" s="45" customFormat="1">
      <c r="A234" s="44" t="s">
        <v>205</v>
      </c>
      <c r="B234" s="45" t="s">
        <v>19</v>
      </c>
      <c r="C234" s="46">
        <v>480</v>
      </c>
      <c r="D234" s="47" t="s">
        <v>43</v>
      </c>
      <c r="E234" s="48"/>
      <c r="F234" s="49">
        <v>1</v>
      </c>
      <c r="G234" s="50" t="s">
        <v>21</v>
      </c>
      <c r="H234" s="49">
        <v>120</v>
      </c>
      <c r="I234" s="50" t="s">
        <v>43</v>
      </c>
      <c r="J234" s="51">
        <v>24600</v>
      </c>
      <c r="K234" s="47" t="s">
        <v>43</v>
      </c>
      <c r="L234" s="52">
        <v>0.125</v>
      </c>
      <c r="M234" s="52">
        <v>0.05</v>
      </c>
      <c r="N234" s="49">
        <v>50</v>
      </c>
      <c r="O234" s="50" t="s">
        <v>43</v>
      </c>
      <c r="P234" s="46">
        <f t="shared" ref="P234:P240" si="51">(C234+(E234*F234*H234))-N234</f>
        <v>430</v>
      </c>
      <c r="Q234" s="50" t="s">
        <v>43</v>
      </c>
      <c r="R234" s="51">
        <f t="shared" ref="R234:R240" si="52">P234*(J234-(J234*L234)-((J234-(J234*L234))*M234))</f>
        <v>8792962.5</v>
      </c>
      <c r="S234" s="32">
        <f t="shared" si="40"/>
        <v>7921587.8378378367</v>
      </c>
    </row>
    <row r="235" spans="1:19" s="45" customFormat="1">
      <c r="A235" s="35" t="s">
        <v>836</v>
      </c>
      <c r="B235" s="36" t="s">
        <v>19</v>
      </c>
      <c r="C235" s="37">
        <v>440</v>
      </c>
      <c r="D235" s="38" t="s">
        <v>43</v>
      </c>
      <c r="E235" s="39"/>
      <c r="F235" s="40">
        <v>1</v>
      </c>
      <c r="G235" s="41" t="s">
        <v>21</v>
      </c>
      <c r="H235" s="40">
        <v>40</v>
      </c>
      <c r="I235" s="41" t="s">
        <v>43</v>
      </c>
      <c r="J235" s="42">
        <v>49200</v>
      </c>
      <c r="K235" s="38" t="s">
        <v>43</v>
      </c>
      <c r="L235" s="43">
        <v>0.125</v>
      </c>
      <c r="M235" s="43">
        <v>0.05</v>
      </c>
      <c r="N235" s="40">
        <f>80+120+40</f>
        <v>240</v>
      </c>
      <c r="O235" s="41" t="s">
        <v>43</v>
      </c>
      <c r="P235" s="37">
        <f t="shared" si="51"/>
        <v>200</v>
      </c>
      <c r="Q235" s="41" t="s">
        <v>43</v>
      </c>
      <c r="R235" s="42">
        <f t="shared" si="52"/>
        <v>8179500</v>
      </c>
      <c r="S235" s="42">
        <f t="shared" si="40"/>
        <v>7368918.9189189179</v>
      </c>
    </row>
    <row r="236" spans="1:19" s="45" customFormat="1">
      <c r="A236" s="35" t="s">
        <v>773</v>
      </c>
      <c r="B236" s="36" t="s">
        <v>19</v>
      </c>
      <c r="C236" s="37">
        <f>7+(24+72+72+48)</f>
        <v>223</v>
      </c>
      <c r="D236" s="38" t="s">
        <v>43</v>
      </c>
      <c r="E236" s="39"/>
      <c r="F236" s="40">
        <v>1</v>
      </c>
      <c r="G236" s="41" t="s">
        <v>21</v>
      </c>
      <c r="H236" s="40">
        <v>40</v>
      </c>
      <c r="I236" s="41" t="s">
        <v>43</v>
      </c>
      <c r="J236" s="42">
        <v>0</v>
      </c>
      <c r="K236" s="38" t="s">
        <v>43</v>
      </c>
      <c r="L236" s="43">
        <v>0</v>
      </c>
      <c r="M236" s="43">
        <v>0</v>
      </c>
      <c r="N236" s="40">
        <f>96+24</f>
        <v>120</v>
      </c>
      <c r="O236" s="41" t="s">
        <v>43</v>
      </c>
      <c r="P236" s="37">
        <f t="shared" si="51"/>
        <v>103</v>
      </c>
      <c r="Q236" s="41" t="s">
        <v>43</v>
      </c>
      <c r="R236" s="42">
        <f t="shared" si="52"/>
        <v>0</v>
      </c>
      <c r="S236" s="42">
        <f t="shared" si="40"/>
        <v>0</v>
      </c>
    </row>
    <row r="237" spans="1:19" s="45" customFormat="1">
      <c r="A237" s="44"/>
      <c r="C237" s="46"/>
      <c r="D237" s="47"/>
      <c r="E237" s="48"/>
      <c r="F237" s="49"/>
      <c r="G237" s="50"/>
      <c r="H237" s="49"/>
      <c r="I237" s="50"/>
      <c r="J237" s="51"/>
      <c r="K237" s="47"/>
      <c r="L237" s="52"/>
      <c r="M237" s="52"/>
      <c r="N237" s="49"/>
      <c r="O237" s="50"/>
      <c r="P237" s="46"/>
      <c r="Q237" s="50"/>
      <c r="R237" s="51"/>
      <c r="S237" s="51"/>
    </row>
    <row r="238" spans="1:19" s="45" customFormat="1">
      <c r="A238" s="35" t="s">
        <v>208</v>
      </c>
      <c r="B238" s="36" t="s">
        <v>26</v>
      </c>
      <c r="C238" s="37">
        <v>428</v>
      </c>
      <c r="D238" s="38" t="s">
        <v>43</v>
      </c>
      <c r="E238" s="39"/>
      <c r="F238" s="40">
        <v>1</v>
      </c>
      <c r="G238" s="41" t="s">
        <v>21</v>
      </c>
      <c r="H238" s="40">
        <v>120</v>
      </c>
      <c r="I238" s="41" t="s">
        <v>43</v>
      </c>
      <c r="J238" s="42">
        <f>3744000/120</f>
        <v>31200</v>
      </c>
      <c r="K238" s="38" t="s">
        <v>43</v>
      </c>
      <c r="L238" s="43"/>
      <c r="M238" s="43">
        <v>0.17</v>
      </c>
      <c r="N238" s="40">
        <f>2+120+120+12</f>
        <v>254</v>
      </c>
      <c r="O238" s="41" t="s">
        <v>43</v>
      </c>
      <c r="P238" s="37">
        <f t="shared" si="51"/>
        <v>174</v>
      </c>
      <c r="Q238" s="41" t="s">
        <v>43</v>
      </c>
      <c r="R238" s="42">
        <f t="shared" si="52"/>
        <v>4505904</v>
      </c>
      <c r="S238" s="42">
        <f t="shared" si="40"/>
        <v>4059372.9729729728</v>
      </c>
    </row>
    <row r="239" spans="1:19" s="45" customFormat="1">
      <c r="A239" s="35" t="s">
        <v>208</v>
      </c>
      <c r="B239" s="36" t="s">
        <v>26</v>
      </c>
      <c r="C239" s="37"/>
      <c r="D239" s="38" t="s">
        <v>43</v>
      </c>
      <c r="E239" s="39">
        <f>2+5</f>
        <v>7</v>
      </c>
      <c r="F239" s="40">
        <v>1</v>
      </c>
      <c r="G239" s="41" t="s">
        <v>21</v>
      </c>
      <c r="H239" s="40">
        <v>120</v>
      </c>
      <c r="I239" s="41" t="s">
        <v>43</v>
      </c>
      <c r="J239" s="42">
        <f>3888000/120</f>
        <v>32400</v>
      </c>
      <c r="K239" s="38" t="s">
        <v>43</v>
      </c>
      <c r="L239" s="43"/>
      <c r="M239" s="43">
        <v>0.17</v>
      </c>
      <c r="N239" s="40"/>
      <c r="O239" s="41" t="s">
        <v>43</v>
      </c>
      <c r="P239" s="37">
        <f t="shared" ref="P239" si="53">(C239+(E239*F239*H239))-N239</f>
        <v>840</v>
      </c>
      <c r="Q239" s="41" t="s">
        <v>43</v>
      </c>
      <c r="R239" s="42">
        <f t="shared" ref="R239" si="54">P239*(J239-(J239*L239)-((J239-(J239*L239))*M239))</f>
        <v>22589280</v>
      </c>
      <c r="S239" s="42">
        <f t="shared" ref="S239" si="55">R239/1.11</f>
        <v>20350702.702702701</v>
      </c>
    </row>
    <row r="240" spans="1:19" s="45" customFormat="1">
      <c r="A240" s="44" t="s">
        <v>209</v>
      </c>
      <c r="B240" s="45" t="s">
        <v>26</v>
      </c>
      <c r="C240" s="46">
        <v>50</v>
      </c>
      <c r="D240" s="47" t="s">
        <v>43</v>
      </c>
      <c r="E240" s="48">
        <f>5+3+2+10+2+3</f>
        <v>25</v>
      </c>
      <c r="F240" s="49">
        <v>1</v>
      </c>
      <c r="G240" s="50" t="s">
        <v>21</v>
      </c>
      <c r="H240" s="49">
        <v>60</v>
      </c>
      <c r="I240" s="50" t="s">
        <v>43</v>
      </c>
      <c r="J240" s="51">
        <f>3888000/60</f>
        <v>64800</v>
      </c>
      <c r="K240" s="47" t="s">
        <v>43</v>
      </c>
      <c r="L240" s="52"/>
      <c r="M240" s="52">
        <v>0.17</v>
      </c>
      <c r="N240" s="49">
        <f>120+12+300+10+5+60+60+60+60+120+12</f>
        <v>819</v>
      </c>
      <c r="O240" s="50" t="s">
        <v>43</v>
      </c>
      <c r="P240" s="46">
        <f t="shared" si="51"/>
        <v>731</v>
      </c>
      <c r="Q240" s="50" t="s">
        <v>43</v>
      </c>
      <c r="R240" s="51">
        <f t="shared" si="52"/>
        <v>39316104</v>
      </c>
      <c r="S240" s="51">
        <f t="shared" si="40"/>
        <v>35419913.513513513</v>
      </c>
    </row>
    <row r="241" spans="1:19" s="45" customFormat="1">
      <c r="A241" s="44"/>
      <c r="C241" s="46"/>
      <c r="D241" s="47"/>
      <c r="E241" s="48"/>
      <c r="F241" s="49"/>
      <c r="G241" s="50"/>
      <c r="H241" s="49"/>
      <c r="I241" s="50"/>
      <c r="J241" s="51"/>
      <c r="K241" s="47"/>
      <c r="L241" s="52"/>
      <c r="M241" s="52"/>
      <c r="N241" s="49"/>
      <c r="O241" s="50"/>
      <c r="P241" s="46"/>
      <c r="Q241" s="50"/>
      <c r="R241" s="51"/>
      <c r="S241" s="51"/>
    </row>
    <row r="242" spans="1:19">
      <c r="A242" s="15" t="s">
        <v>210</v>
      </c>
      <c r="S242" s="23"/>
    </row>
    <row r="243" spans="1:19" s="17" customFormat="1">
      <c r="A243" s="16" t="s">
        <v>211</v>
      </c>
      <c r="B243" s="17" t="s">
        <v>19</v>
      </c>
      <c r="C243" s="18"/>
      <c r="D243" s="19" t="s">
        <v>20</v>
      </c>
      <c r="E243" s="20"/>
      <c r="F243" s="21">
        <v>1</v>
      </c>
      <c r="G243" s="22" t="s">
        <v>21</v>
      </c>
      <c r="H243" s="21">
        <v>5</v>
      </c>
      <c r="I243" s="22" t="s">
        <v>20</v>
      </c>
      <c r="J243" s="23">
        <v>214000</v>
      </c>
      <c r="K243" s="19" t="s">
        <v>20</v>
      </c>
      <c r="L243" s="24">
        <v>0.125</v>
      </c>
      <c r="M243" s="24">
        <v>0.05</v>
      </c>
      <c r="N243" s="21"/>
      <c r="O243" s="22" t="s">
        <v>20</v>
      </c>
      <c r="P243" s="18">
        <f>(C243+(E243*F243*H243))-N243</f>
        <v>0</v>
      </c>
      <c r="Q243" s="22" t="s">
        <v>20</v>
      </c>
      <c r="R243" s="23">
        <f>P243*(J243-(J243*L243)-((J243-(J243*L243))*M243))</f>
        <v>0</v>
      </c>
      <c r="S243" s="23">
        <f t="shared" si="40"/>
        <v>0</v>
      </c>
    </row>
    <row r="244" spans="1:19" s="26" customFormat="1">
      <c r="A244" s="25" t="s">
        <v>212</v>
      </c>
      <c r="B244" s="26" t="s">
        <v>19</v>
      </c>
      <c r="C244" s="27">
        <v>5</v>
      </c>
      <c r="D244" s="28" t="s">
        <v>20</v>
      </c>
      <c r="E244" s="29"/>
      <c r="F244" s="30">
        <v>1</v>
      </c>
      <c r="G244" s="31" t="s">
        <v>21</v>
      </c>
      <c r="H244" s="30">
        <v>5</v>
      </c>
      <c r="I244" s="31" t="s">
        <v>20</v>
      </c>
      <c r="J244" s="32">
        <v>219000</v>
      </c>
      <c r="K244" s="28" t="s">
        <v>20</v>
      </c>
      <c r="L244" s="33">
        <v>0.125</v>
      </c>
      <c r="M244" s="33">
        <v>0.05</v>
      </c>
      <c r="N244" s="30"/>
      <c r="O244" s="31" t="s">
        <v>20</v>
      </c>
      <c r="P244" s="27">
        <f>(C244+(E244*F244*H244))-N244</f>
        <v>5</v>
      </c>
      <c r="Q244" s="31" t="s">
        <v>20</v>
      </c>
      <c r="R244" s="32">
        <f>P244*(J244-(J244*L244)-((J244-(J244*L244))*M244))</f>
        <v>910218.75</v>
      </c>
      <c r="S244" s="32">
        <f t="shared" si="40"/>
        <v>820016.89189189184</v>
      </c>
    </row>
    <row r="245" spans="1:19" s="17" customFormat="1">
      <c r="A245" s="16" t="s">
        <v>213</v>
      </c>
      <c r="B245" s="17" t="s">
        <v>19</v>
      </c>
      <c r="C245" s="18"/>
      <c r="D245" s="19" t="s">
        <v>20</v>
      </c>
      <c r="E245" s="20"/>
      <c r="F245" s="21">
        <v>1</v>
      </c>
      <c r="G245" s="22" t="s">
        <v>21</v>
      </c>
      <c r="H245" s="21">
        <v>4</v>
      </c>
      <c r="I245" s="22" t="s">
        <v>20</v>
      </c>
      <c r="J245" s="23">
        <v>291000</v>
      </c>
      <c r="K245" s="19" t="s">
        <v>20</v>
      </c>
      <c r="L245" s="24">
        <v>0.125</v>
      </c>
      <c r="M245" s="24">
        <v>0.05</v>
      </c>
      <c r="N245" s="21"/>
      <c r="O245" s="22" t="s">
        <v>20</v>
      </c>
      <c r="P245" s="18">
        <f>(C245+(E245*F245*H245))-N245</f>
        <v>0</v>
      </c>
      <c r="Q245" s="22" t="s">
        <v>20</v>
      </c>
      <c r="R245" s="23">
        <f>P245*(J245-(J245*L245)-((J245-(J245*L245))*M245))</f>
        <v>0</v>
      </c>
      <c r="S245" s="23">
        <f t="shared" si="40"/>
        <v>0</v>
      </c>
    </row>
    <row r="246" spans="1:19" s="17" customFormat="1">
      <c r="A246" s="16"/>
      <c r="C246" s="18"/>
      <c r="D246" s="19"/>
      <c r="E246" s="20"/>
      <c r="F246" s="21"/>
      <c r="G246" s="22"/>
      <c r="H246" s="21"/>
      <c r="I246" s="22"/>
      <c r="J246" s="23"/>
      <c r="K246" s="19"/>
      <c r="L246" s="24"/>
      <c r="M246" s="24"/>
      <c r="N246" s="21"/>
      <c r="O246" s="22"/>
      <c r="P246" s="18"/>
      <c r="Q246" s="22"/>
      <c r="R246" s="23"/>
      <c r="S246" s="23"/>
    </row>
    <row r="247" spans="1:19" s="17" customFormat="1">
      <c r="A247" s="16" t="s">
        <v>214</v>
      </c>
      <c r="B247" s="17" t="s">
        <v>26</v>
      </c>
      <c r="C247" s="18"/>
      <c r="D247" s="19" t="s">
        <v>20</v>
      </c>
      <c r="E247" s="20"/>
      <c r="F247" s="21">
        <v>1</v>
      </c>
      <c r="G247" s="22" t="s">
        <v>21</v>
      </c>
      <c r="H247" s="21">
        <v>5</v>
      </c>
      <c r="I247" s="22" t="s">
        <v>20</v>
      </c>
      <c r="J247" s="23">
        <f>1075000/5</f>
        <v>215000</v>
      </c>
      <c r="K247" s="19" t="s">
        <v>20</v>
      </c>
      <c r="L247" s="24"/>
      <c r="M247" s="24">
        <v>0.17</v>
      </c>
      <c r="N247" s="21"/>
      <c r="O247" s="22" t="s">
        <v>20</v>
      </c>
      <c r="P247" s="18">
        <f>(C247+(E247*F247*H247))-N247</f>
        <v>0</v>
      </c>
      <c r="Q247" s="22" t="s">
        <v>20</v>
      </c>
      <c r="R247" s="23">
        <f>P247*(J247-(J247*L247)-((J247-(J247*L247))*M247))</f>
        <v>0</v>
      </c>
      <c r="S247" s="23">
        <f t="shared" si="40"/>
        <v>0</v>
      </c>
    </row>
    <row r="248" spans="1:19" s="17" customFormat="1">
      <c r="A248" s="16" t="s">
        <v>215</v>
      </c>
      <c r="B248" s="17" t="s">
        <v>26</v>
      </c>
      <c r="C248" s="18"/>
      <c r="D248" s="19" t="s">
        <v>20</v>
      </c>
      <c r="E248" s="20"/>
      <c r="F248" s="21">
        <v>1</v>
      </c>
      <c r="G248" s="22" t="s">
        <v>21</v>
      </c>
      <c r="H248" s="21">
        <v>5</v>
      </c>
      <c r="I248" s="22" t="s">
        <v>20</v>
      </c>
      <c r="J248" s="23">
        <f>1125000/5</f>
        <v>225000</v>
      </c>
      <c r="K248" s="19" t="s">
        <v>20</v>
      </c>
      <c r="L248" s="24"/>
      <c r="M248" s="24">
        <v>0.17</v>
      </c>
      <c r="N248" s="21"/>
      <c r="O248" s="22" t="s">
        <v>20</v>
      </c>
      <c r="P248" s="18">
        <f t="shared" ref="P248:P249" si="56">(C248+(E248*F248*H248))-N248</f>
        <v>0</v>
      </c>
      <c r="Q248" s="22" t="s">
        <v>20</v>
      </c>
      <c r="R248" s="23">
        <f t="shared" ref="R248:R249" si="57">P248*(J248-(J248*L248)-((J248-(J248*L248))*M248))</f>
        <v>0</v>
      </c>
      <c r="S248" s="23">
        <f t="shared" si="40"/>
        <v>0</v>
      </c>
    </row>
    <row r="249" spans="1:19" s="17" customFormat="1">
      <c r="A249" s="16" t="s">
        <v>216</v>
      </c>
      <c r="B249" s="17" t="s">
        <v>26</v>
      </c>
      <c r="C249" s="18"/>
      <c r="D249" s="19" t="s">
        <v>20</v>
      </c>
      <c r="E249" s="20"/>
      <c r="F249" s="21">
        <v>1</v>
      </c>
      <c r="G249" s="22" t="s">
        <v>21</v>
      </c>
      <c r="H249" s="21">
        <v>4</v>
      </c>
      <c r="I249" s="22" t="s">
        <v>20</v>
      </c>
      <c r="J249" s="23">
        <f>1100000/4</f>
        <v>275000</v>
      </c>
      <c r="K249" s="19" t="s">
        <v>20</v>
      </c>
      <c r="L249" s="24"/>
      <c r="M249" s="24">
        <v>0.17</v>
      </c>
      <c r="N249" s="21"/>
      <c r="O249" s="22" t="s">
        <v>20</v>
      </c>
      <c r="P249" s="18">
        <f t="shared" si="56"/>
        <v>0</v>
      </c>
      <c r="Q249" s="22" t="s">
        <v>20</v>
      </c>
      <c r="R249" s="23">
        <f t="shared" si="57"/>
        <v>0</v>
      </c>
      <c r="S249" s="23">
        <f t="shared" ref="S249:S328" si="58">R249/1.11</f>
        <v>0</v>
      </c>
    </row>
    <row r="250" spans="1:19" s="45" customFormat="1">
      <c r="A250" s="44"/>
      <c r="C250" s="46"/>
      <c r="D250" s="47"/>
      <c r="E250" s="48"/>
      <c r="F250" s="49"/>
      <c r="G250" s="50"/>
      <c r="H250" s="49"/>
      <c r="I250" s="50"/>
      <c r="J250" s="51"/>
      <c r="K250" s="47"/>
      <c r="L250" s="52"/>
      <c r="M250" s="52"/>
      <c r="N250" s="49"/>
      <c r="O250" s="50"/>
      <c r="P250" s="46"/>
      <c r="Q250" s="50"/>
      <c r="R250" s="51"/>
      <c r="S250" s="51"/>
    </row>
    <row r="251" spans="1:19" ht="15.75">
      <c r="A251" s="14" t="s">
        <v>847</v>
      </c>
      <c r="S251" s="23"/>
    </row>
    <row r="252" spans="1:19" s="26" customFormat="1">
      <c r="A252" s="25" t="s">
        <v>848</v>
      </c>
      <c r="B252" s="26" t="s">
        <v>659</v>
      </c>
      <c r="C252" s="27">
        <v>48</v>
      </c>
      <c r="D252" s="28" t="s">
        <v>20</v>
      </c>
      <c r="E252" s="29"/>
      <c r="F252" s="30">
        <v>1</v>
      </c>
      <c r="G252" s="31" t="s">
        <v>21</v>
      </c>
      <c r="H252" s="30">
        <v>48</v>
      </c>
      <c r="I252" s="31" t="s">
        <v>20</v>
      </c>
      <c r="J252" s="32">
        <v>53000</v>
      </c>
      <c r="K252" s="28" t="s">
        <v>20</v>
      </c>
      <c r="L252" s="33">
        <v>0.17499999999999999</v>
      </c>
      <c r="M252" s="33">
        <v>1.0999999999999999E-2</v>
      </c>
      <c r="N252" s="30"/>
      <c r="O252" s="31" t="s">
        <v>43</v>
      </c>
      <c r="P252" s="27">
        <f t="shared" ref="P252" si="59">(C252+(E252*F252*H252))-N252</f>
        <v>48</v>
      </c>
      <c r="Q252" s="31" t="s">
        <v>43</v>
      </c>
      <c r="R252" s="32">
        <f t="shared" ref="R252" si="60">P252*(J252-(J252*L252)-((J252-(J252*L252))*M252))</f>
        <v>2075713.2000000002</v>
      </c>
      <c r="S252" s="32">
        <f t="shared" ref="S252" si="61">R252/1.11</f>
        <v>1870011.8918918918</v>
      </c>
    </row>
    <row r="253" spans="1:19">
      <c r="S253" s="23"/>
    </row>
    <row r="254" spans="1:19" ht="15.75">
      <c r="A254" s="14" t="s">
        <v>217</v>
      </c>
      <c r="S254" s="23"/>
    </row>
    <row r="255" spans="1:19" s="26" customFormat="1">
      <c r="A255" s="25" t="s">
        <v>218</v>
      </c>
      <c r="B255" s="26" t="s">
        <v>19</v>
      </c>
      <c r="C255" s="27">
        <v>90</v>
      </c>
      <c r="D255" s="28" t="s">
        <v>20</v>
      </c>
      <c r="E255" s="29"/>
      <c r="F255" s="30">
        <v>1</v>
      </c>
      <c r="G255" s="31" t="s">
        <v>21</v>
      </c>
      <c r="H255" s="30">
        <v>90</v>
      </c>
      <c r="I255" s="31" t="s">
        <v>20</v>
      </c>
      <c r="J255" s="32">
        <v>24000</v>
      </c>
      <c r="K255" s="28" t="s">
        <v>20</v>
      </c>
      <c r="L255" s="33">
        <v>0.125</v>
      </c>
      <c r="M255" s="33">
        <v>0.05</v>
      </c>
      <c r="N255" s="30"/>
      <c r="O255" s="31" t="s">
        <v>20</v>
      </c>
      <c r="P255" s="27">
        <f>(C255+(E255*F255*H255))-N255</f>
        <v>90</v>
      </c>
      <c r="Q255" s="31" t="s">
        <v>20</v>
      </c>
      <c r="R255" s="32">
        <f>P255*(J255-(J255*L255)-((J255-(J255*L255))*M255))</f>
        <v>1795500</v>
      </c>
      <c r="S255" s="32">
        <f t="shared" si="58"/>
        <v>1617567.5675675673</v>
      </c>
    </row>
    <row r="256" spans="1:19" s="17" customFormat="1">
      <c r="A256" s="16" t="s">
        <v>219</v>
      </c>
      <c r="B256" s="17" t="s">
        <v>19</v>
      </c>
      <c r="C256" s="18"/>
      <c r="D256" s="19" t="s">
        <v>20</v>
      </c>
      <c r="E256" s="20"/>
      <c r="F256" s="21">
        <v>1</v>
      </c>
      <c r="G256" s="22" t="s">
        <v>21</v>
      </c>
      <c r="H256" s="21">
        <v>48</v>
      </c>
      <c r="I256" s="22" t="s">
        <v>20</v>
      </c>
      <c r="J256" s="23">
        <v>24900</v>
      </c>
      <c r="K256" s="19" t="s">
        <v>20</v>
      </c>
      <c r="L256" s="24">
        <v>0.125</v>
      </c>
      <c r="M256" s="24">
        <v>0.05</v>
      </c>
      <c r="N256" s="21"/>
      <c r="O256" s="22" t="s">
        <v>20</v>
      </c>
      <c r="P256" s="18">
        <f>(C256+(E256*F256*H256))-N256</f>
        <v>0</v>
      </c>
      <c r="Q256" s="22" t="s">
        <v>20</v>
      </c>
      <c r="R256" s="23">
        <f>P256*(J256-(J256*L256)-((J256-(J256*L256))*M256))</f>
        <v>0</v>
      </c>
      <c r="S256" s="23">
        <f t="shared" si="58"/>
        <v>0</v>
      </c>
    </row>
    <row r="257" spans="1:19" s="17" customFormat="1">
      <c r="A257" s="16"/>
      <c r="C257" s="18"/>
      <c r="D257" s="19"/>
      <c r="E257" s="20"/>
      <c r="F257" s="21"/>
      <c r="G257" s="22"/>
      <c r="H257" s="21"/>
      <c r="I257" s="22"/>
      <c r="J257" s="23"/>
      <c r="K257" s="19"/>
      <c r="L257" s="24"/>
      <c r="M257" s="24"/>
      <c r="N257" s="21"/>
      <c r="O257" s="22"/>
      <c r="P257" s="18"/>
      <c r="Q257" s="22"/>
      <c r="R257" s="23"/>
      <c r="S257" s="23"/>
    </row>
    <row r="258" spans="1:19" s="17" customFormat="1">
      <c r="A258" s="16" t="s">
        <v>220</v>
      </c>
      <c r="B258" s="17" t="s">
        <v>26</v>
      </c>
      <c r="C258" s="18"/>
      <c r="D258" s="19" t="s">
        <v>20</v>
      </c>
      <c r="E258" s="20"/>
      <c r="F258" s="21">
        <v>1</v>
      </c>
      <c r="G258" s="22" t="s">
        <v>21</v>
      </c>
      <c r="H258" s="21">
        <v>24</v>
      </c>
      <c r="I258" s="22" t="s">
        <v>20</v>
      </c>
      <c r="J258" s="23">
        <f>720000/24</f>
        <v>30000</v>
      </c>
      <c r="K258" s="19" t="s">
        <v>20</v>
      </c>
      <c r="L258" s="24"/>
      <c r="M258" s="24">
        <v>0.17</v>
      </c>
      <c r="N258" s="21"/>
      <c r="O258" s="22" t="s">
        <v>20</v>
      </c>
      <c r="P258" s="18">
        <f>(C258+(E258*F258*H258))-N258</f>
        <v>0</v>
      </c>
      <c r="Q258" s="22" t="s">
        <v>20</v>
      </c>
      <c r="R258" s="23">
        <f>P258*(J258-(J258*L258)-((J258-(J258*L258))*M258))</f>
        <v>0</v>
      </c>
      <c r="S258" s="23">
        <f t="shared" si="58"/>
        <v>0</v>
      </c>
    </row>
    <row r="259" spans="1:19" s="85" customFormat="1">
      <c r="A259" s="84" t="s">
        <v>221</v>
      </c>
      <c r="B259" s="85" t="s">
        <v>26</v>
      </c>
      <c r="C259" s="86">
        <v>201</v>
      </c>
      <c r="D259" s="87" t="s">
        <v>20</v>
      </c>
      <c r="E259" s="92"/>
      <c r="F259" s="88">
        <v>1</v>
      </c>
      <c r="G259" s="89" t="s">
        <v>21</v>
      </c>
      <c r="H259" s="88">
        <v>48</v>
      </c>
      <c r="I259" s="89" t="s">
        <v>20</v>
      </c>
      <c r="J259" s="90">
        <f>1152000/48</f>
        <v>24000</v>
      </c>
      <c r="K259" s="87" t="s">
        <v>20</v>
      </c>
      <c r="L259" s="91"/>
      <c r="M259" s="91">
        <v>0.17</v>
      </c>
      <c r="N259" s="88">
        <f>(1*12)+6+3+12+3+2</f>
        <v>38</v>
      </c>
      <c r="O259" s="89" t="s">
        <v>20</v>
      </c>
      <c r="P259" s="86">
        <f>(C259+(E259*F259*H259))-N259</f>
        <v>163</v>
      </c>
      <c r="Q259" s="89" t="s">
        <v>20</v>
      </c>
      <c r="R259" s="90">
        <f>P259*(J259-(J259*L259)-((J259-(J259*L259))*M259))</f>
        <v>3246960</v>
      </c>
      <c r="S259" s="51">
        <f t="shared" si="58"/>
        <v>2925189.1891891891</v>
      </c>
    </row>
    <row r="260" spans="1:19">
      <c r="S260" s="23"/>
    </row>
    <row r="261" spans="1:19" ht="15.75">
      <c r="A261" s="14" t="s">
        <v>222</v>
      </c>
      <c r="S261" s="23"/>
    </row>
    <row r="262" spans="1:19">
      <c r="A262" s="15" t="s">
        <v>223</v>
      </c>
      <c r="S262" s="23"/>
    </row>
    <row r="263" spans="1:19" s="17" customFormat="1">
      <c r="A263" s="16" t="s">
        <v>224</v>
      </c>
      <c r="B263" s="17" t="s">
        <v>19</v>
      </c>
      <c r="C263" s="18"/>
      <c r="D263" s="19" t="s">
        <v>20</v>
      </c>
      <c r="E263" s="20"/>
      <c r="F263" s="21">
        <v>1</v>
      </c>
      <c r="G263" s="22" t="s">
        <v>21</v>
      </c>
      <c r="H263" s="21">
        <v>40</v>
      </c>
      <c r="I263" s="22" t="s">
        <v>20</v>
      </c>
      <c r="J263" s="23">
        <v>38500</v>
      </c>
      <c r="K263" s="19" t="s">
        <v>20</v>
      </c>
      <c r="L263" s="24">
        <v>0.125</v>
      </c>
      <c r="M263" s="24">
        <v>0.05</v>
      </c>
      <c r="N263" s="21">
        <f>12+12</f>
        <v>24</v>
      </c>
      <c r="O263" s="22" t="s">
        <v>20</v>
      </c>
      <c r="P263" s="18">
        <f>(C263+(E263*F263*H263))-N263</f>
        <v>-24</v>
      </c>
      <c r="Q263" s="22" t="s">
        <v>20</v>
      </c>
      <c r="R263" s="23">
        <f>P263*(J263-(J263*L263)-((J263-(J263*L263))*M263))</f>
        <v>-768075</v>
      </c>
      <c r="S263" s="23">
        <f t="shared" si="58"/>
        <v>-691959.45945945941</v>
      </c>
    </row>
    <row r="264" spans="1:19" s="17" customFormat="1">
      <c r="A264" s="16"/>
      <c r="C264" s="18"/>
      <c r="D264" s="19"/>
      <c r="E264" s="20"/>
      <c r="F264" s="21"/>
      <c r="G264" s="22"/>
      <c r="H264" s="21"/>
      <c r="I264" s="22"/>
      <c r="J264" s="23"/>
      <c r="K264" s="19"/>
      <c r="L264" s="24"/>
      <c r="M264" s="24"/>
      <c r="N264" s="21"/>
      <c r="O264" s="22"/>
      <c r="P264" s="18"/>
      <c r="Q264" s="22"/>
      <c r="R264" s="23"/>
      <c r="S264" s="23"/>
    </row>
    <row r="265" spans="1:19">
      <c r="A265" s="15" t="s">
        <v>225</v>
      </c>
      <c r="S265" s="23"/>
    </row>
    <row r="266" spans="1:19" s="45" customFormat="1">
      <c r="A266" s="44" t="s">
        <v>837</v>
      </c>
      <c r="B266" s="45" t="s">
        <v>19</v>
      </c>
      <c r="C266" s="46">
        <v>48</v>
      </c>
      <c r="D266" s="47" t="s">
        <v>20</v>
      </c>
      <c r="E266" s="48"/>
      <c r="F266" s="49">
        <v>1</v>
      </c>
      <c r="G266" s="50" t="s">
        <v>21</v>
      </c>
      <c r="H266" s="49">
        <v>48</v>
      </c>
      <c r="I266" s="50" t="s">
        <v>20</v>
      </c>
      <c r="J266" s="51">
        <v>17600</v>
      </c>
      <c r="K266" s="47" t="s">
        <v>20</v>
      </c>
      <c r="L266" s="52">
        <v>0.125</v>
      </c>
      <c r="M266" s="52">
        <v>0.05</v>
      </c>
      <c r="N266" s="49"/>
      <c r="O266" s="50" t="s">
        <v>20</v>
      </c>
      <c r="P266" s="46">
        <f>(C266+(E266*F266*H266))-N266</f>
        <v>48</v>
      </c>
      <c r="Q266" s="50" t="s">
        <v>20</v>
      </c>
      <c r="R266" s="51">
        <f>P266*(J266-(J266*L266)-((J266-(J266*L266))*M266))</f>
        <v>702240</v>
      </c>
      <c r="S266" s="51">
        <f t="shared" si="58"/>
        <v>632648.64864864864</v>
      </c>
    </row>
    <row r="267" spans="1:19">
      <c r="S267" s="23"/>
    </row>
    <row r="268" spans="1:19" ht="15.75">
      <c r="A268" s="14" t="s">
        <v>227</v>
      </c>
      <c r="S268" s="23"/>
    </row>
    <row r="269" spans="1:19">
      <c r="A269" s="15" t="s">
        <v>228</v>
      </c>
      <c r="S269" s="23"/>
    </row>
    <row r="270" spans="1:19" s="45" customFormat="1">
      <c r="A270" s="44" t="s">
        <v>229</v>
      </c>
      <c r="B270" s="45" t="s">
        <v>26</v>
      </c>
      <c r="C270" s="46">
        <v>28</v>
      </c>
      <c r="D270" s="47" t="s">
        <v>43</v>
      </c>
      <c r="E270" s="48"/>
      <c r="F270" s="49">
        <v>1</v>
      </c>
      <c r="G270" s="50" t="s">
        <v>21</v>
      </c>
      <c r="H270" s="49">
        <v>50</v>
      </c>
      <c r="I270" s="50" t="s">
        <v>43</v>
      </c>
      <c r="J270" s="51">
        <f>1800000/50</f>
        <v>36000</v>
      </c>
      <c r="K270" s="47" t="s">
        <v>43</v>
      </c>
      <c r="L270" s="52"/>
      <c r="M270" s="52">
        <v>0.17</v>
      </c>
      <c r="N270" s="49">
        <f>16+3</f>
        <v>19</v>
      </c>
      <c r="O270" s="50" t="s">
        <v>43</v>
      </c>
      <c r="P270" s="46">
        <f t="shared" ref="P270:P278" si="62">(C270+(E270*F270*H270))-N270</f>
        <v>9</v>
      </c>
      <c r="Q270" s="50" t="s">
        <v>43</v>
      </c>
      <c r="R270" s="51">
        <f t="shared" ref="R270:R278" si="63">P270*(J270-(J270*L270)-((J270-(J270*L270))*M270))</f>
        <v>268920</v>
      </c>
      <c r="S270" s="32">
        <f t="shared" si="58"/>
        <v>242270.27027027024</v>
      </c>
    </row>
    <row r="271" spans="1:19" s="85" customFormat="1">
      <c r="A271" s="84" t="s">
        <v>858</v>
      </c>
      <c r="B271" s="85" t="s">
        <v>26</v>
      </c>
      <c r="C271" s="86"/>
      <c r="D271" s="87" t="s">
        <v>43</v>
      </c>
      <c r="E271" s="92">
        <v>1</v>
      </c>
      <c r="F271" s="88">
        <v>1</v>
      </c>
      <c r="G271" s="89" t="s">
        <v>21</v>
      </c>
      <c r="H271" s="88">
        <v>25</v>
      </c>
      <c r="I271" s="89" t="s">
        <v>43</v>
      </c>
      <c r="J271" s="90">
        <f>1672500/25</f>
        <v>66900</v>
      </c>
      <c r="K271" s="87" t="s">
        <v>43</v>
      </c>
      <c r="L271" s="91"/>
      <c r="M271" s="91">
        <v>0.17</v>
      </c>
      <c r="N271" s="88"/>
      <c r="O271" s="89" t="s">
        <v>43</v>
      </c>
      <c r="P271" s="86">
        <f t="shared" ref="P271" si="64">(C271+(E271*F271*H271))-N271</f>
        <v>25</v>
      </c>
      <c r="Q271" s="89" t="s">
        <v>43</v>
      </c>
      <c r="R271" s="90">
        <f t="shared" ref="R271" si="65">P271*(J271-(J271*L271)-((J271-(J271*L271))*M271))</f>
        <v>1388175</v>
      </c>
      <c r="S271" s="32">
        <f t="shared" ref="S271" si="66">R271/1.11</f>
        <v>1250608.1081081079</v>
      </c>
    </row>
    <row r="272" spans="1:19" s="85" customFormat="1">
      <c r="A272" s="159" t="s">
        <v>230</v>
      </c>
      <c r="B272" s="160" t="s">
        <v>26</v>
      </c>
      <c r="C272" s="161">
        <v>28</v>
      </c>
      <c r="D272" s="162" t="s">
        <v>43</v>
      </c>
      <c r="E272" s="163"/>
      <c r="F272" s="164">
        <v>1</v>
      </c>
      <c r="G272" s="165" t="s">
        <v>21</v>
      </c>
      <c r="H272" s="164">
        <v>25</v>
      </c>
      <c r="I272" s="165" t="s">
        <v>43</v>
      </c>
      <c r="J272" s="166">
        <f>1860000/25</f>
        <v>74400</v>
      </c>
      <c r="K272" s="162" t="s">
        <v>43</v>
      </c>
      <c r="L272" s="167"/>
      <c r="M272" s="167">
        <v>0.17</v>
      </c>
      <c r="N272" s="164"/>
      <c r="O272" s="165" t="s">
        <v>43</v>
      </c>
      <c r="P272" s="161">
        <f t="shared" si="62"/>
        <v>28</v>
      </c>
      <c r="Q272" s="165" t="s">
        <v>43</v>
      </c>
      <c r="R272" s="166">
        <f t="shared" si="63"/>
        <v>1729056</v>
      </c>
      <c r="S272" s="42">
        <f t="shared" si="58"/>
        <v>1557708.1081081079</v>
      </c>
    </row>
    <row r="273" spans="1:19" s="85" customFormat="1">
      <c r="A273" s="159" t="s">
        <v>230</v>
      </c>
      <c r="B273" s="160" t="s">
        <v>26</v>
      </c>
      <c r="C273" s="161"/>
      <c r="D273" s="162" t="s">
        <v>43</v>
      </c>
      <c r="E273" s="163">
        <v>3</v>
      </c>
      <c r="F273" s="164">
        <v>1</v>
      </c>
      <c r="G273" s="165" t="s">
        <v>21</v>
      </c>
      <c r="H273" s="164">
        <v>25</v>
      </c>
      <c r="I273" s="165" t="s">
        <v>43</v>
      </c>
      <c r="J273" s="166">
        <f>1995000/25</f>
        <v>79800</v>
      </c>
      <c r="K273" s="162" t="s">
        <v>43</v>
      </c>
      <c r="L273" s="167"/>
      <c r="M273" s="167">
        <v>0.17</v>
      </c>
      <c r="N273" s="164"/>
      <c r="O273" s="165" t="s">
        <v>43</v>
      </c>
      <c r="P273" s="161">
        <f t="shared" ref="P273" si="67">(C273+(E273*F273*H273))-N273</f>
        <v>75</v>
      </c>
      <c r="Q273" s="165" t="s">
        <v>43</v>
      </c>
      <c r="R273" s="166">
        <f t="shared" ref="R273" si="68">P273*(J273-(J273*L273)-((J273-(J273*L273))*M273))</f>
        <v>4967550</v>
      </c>
      <c r="S273" s="42">
        <f t="shared" ref="S273" si="69">R273/1.11</f>
        <v>4475270.2702702703</v>
      </c>
    </row>
    <row r="274" spans="1:19" s="17" customFormat="1">
      <c r="A274" s="16" t="s">
        <v>231</v>
      </c>
      <c r="B274" s="17" t="s">
        <v>26</v>
      </c>
      <c r="C274" s="18"/>
      <c r="D274" s="19" t="s">
        <v>43</v>
      </c>
      <c r="E274" s="20">
        <v>1</v>
      </c>
      <c r="F274" s="21">
        <v>1</v>
      </c>
      <c r="G274" s="22" t="s">
        <v>21</v>
      </c>
      <c r="H274" s="21">
        <v>10</v>
      </c>
      <c r="I274" s="22" t="s">
        <v>43</v>
      </c>
      <c r="J274" s="23">
        <f>1530000/10</f>
        <v>153000</v>
      </c>
      <c r="K274" s="19" t="s">
        <v>43</v>
      </c>
      <c r="L274" s="24"/>
      <c r="M274" s="24">
        <v>0.17</v>
      </c>
      <c r="N274" s="21">
        <v>10</v>
      </c>
      <c r="O274" s="22" t="s">
        <v>43</v>
      </c>
      <c r="P274" s="18">
        <f t="shared" si="62"/>
        <v>0</v>
      </c>
      <c r="Q274" s="22" t="s">
        <v>43</v>
      </c>
      <c r="R274" s="23">
        <f t="shared" si="63"/>
        <v>0</v>
      </c>
      <c r="S274" s="23">
        <f t="shared" si="58"/>
        <v>0</v>
      </c>
    </row>
    <row r="275" spans="1:19" s="45" customFormat="1">
      <c r="A275" s="44" t="s">
        <v>232</v>
      </c>
      <c r="B275" s="45" t="s">
        <v>26</v>
      </c>
      <c r="C275" s="46">
        <v>3</v>
      </c>
      <c r="D275" s="47" t="s">
        <v>43</v>
      </c>
      <c r="E275" s="48">
        <f>1+1</f>
        <v>2</v>
      </c>
      <c r="F275" s="49">
        <v>1</v>
      </c>
      <c r="G275" s="50" t="s">
        <v>21</v>
      </c>
      <c r="H275" s="49">
        <v>10</v>
      </c>
      <c r="I275" s="50" t="s">
        <v>43</v>
      </c>
      <c r="J275" s="51">
        <f>2028000/10</f>
        <v>202800</v>
      </c>
      <c r="K275" s="47" t="s">
        <v>43</v>
      </c>
      <c r="L275" s="52"/>
      <c r="M275" s="52">
        <v>0.17</v>
      </c>
      <c r="N275" s="49"/>
      <c r="O275" s="50" t="s">
        <v>43</v>
      </c>
      <c r="P275" s="46">
        <f t="shared" si="62"/>
        <v>23</v>
      </c>
      <c r="Q275" s="50" t="s">
        <v>43</v>
      </c>
      <c r="R275" s="51">
        <f t="shared" si="63"/>
        <v>3871452</v>
      </c>
      <c r="S275" s="51">
        <f t="shared" si="58"/>
        <v>3487794.5945945941</v>
      </c>
    </row>
    <row r="276" spans="1:19" s="63" customFormat="1">
      <c r="A276" s="95" t="s">
        <v>233</v>
      </c>
      <c r="B276" s="96" t="s">
        <v>26</v>
      </c>
      <c r="C276" s="97">
        <v>2</v>
      </c>
      <c r="D276" s="98" t="s">
        <v>43</v>
      </c>
      <c r="E276" s="105"/>
      <c r="F276" s="100">
        <v>1</v>
      </c>
      <c r="G276" s="101" t="s">
        <v>21</v>
      </c>
      <c r="H276" s="100">
        <v>10</v>
      </c>
      <c r="I276" s="101" t="s">
        <v>43</v>
      </c>
      <c r="J276" s="102">
        <f>2208000/10</f>
        <v>220800</v>
      </c>
      <c r="K276" s="98" t="s">
        <v>43</v>
      </c>
      <c r="L276" s="103"/>
      <c r="M276" s="103">
        <v>0.17</v>
      </c>
      <c r="N276" s="100">
        <v>2</v>
      </c>
      <c r="O276" s="101" t="s">
        <v>43</v>
      </c>
      <c r="P276" s="97">
        <f t="shared" si="62"/>
        <v>0</v>
      </c>
      <c r="Q276" s="101" t="s">
        <v>43</v>
      </c>
      <c r="R276" s="102">
        <f t="shared" si="63"/>
        <v>0</v>
      </c>
      <c r="S276" s="102">
        <f t="shared" si="58"/>
        <v>0</v>
      </c>
    </row>
    <row r="277" spans="1:19" s="45" customFormat="1">
      <c r="A277" s="35" t="s">
        <v>233</v>
      </c>
      <c r="B277" s="36" t="s">
        <v>26</v>
      </c>
      <c r="C277" s="37"/>
      <c r="D277" s="38" t="s">
        <v>43</v>
      </c>
      <c r="E277" s="39">
        <f>1+1</f>
        <v>2</v>
      </c>
      <c r="F277" s="40">
        <v>1</v>
      </c>
      <c r="G277" s="41" t="s">
        <v>21</v>
      </c>
      <c r="H277" s="40">
        <v>10</v>
      </c>
      <c r="I277" s="41" t="s">
        <v>43</v>
      </c>
      <c r="J277" s="42">
        <f>2340000/10</f>
        <v>234000</v>
      </c>
      <c r="K277" s="38" t="s">
        <v>43</v>
      </c>
      <c r="L277" s="43"/>
      <c r="M277" s="43">
        <v>0.17</v>
      </c>
      <c r="N277" s="40">
        <f>1+10</f>
        <v>11</v>
      </c>
      <c r="O277" s="41" t="s">
        <v>43</v>
      </c>
      <c r="P277" s="37">
        <f t="shared" ref="P277" si="70">(C277+(E277*F277*H277))-N277</f>
        <v>9</v>
      </c>
      <c r="Q277" s="41" t="s">
        <v>43</v>
      </c>
      <c r="R277" s="42">
        <f t="shared" ref="R277" si="71">P277*(J277-(J277*L277)-((J277-(J277*L277))*M277))</f>
        <v>1747980</v>
      </c>
      <c r="S277" s="42">
        <f t="shared" ref="S277" si="72">R277/1.11</f>
        <v>1574756.7567567567</v>
      </c>
    </row>
    <row r="278" spans="1:19" s="45" customFormat="1">
      <c r="A278" s="44" t="s">
        <v>234</v>
      </c>
      <c r="B278" s="45" t="s">
        <v>26</v>
      </c>
      <c r="C278" s="46">
        <v>108</v>
      </c>
      <c r="D278" s="47" t="s">
        <v>20</v>
      </c>
      <c r="E278" s="48"/>
      <c r="F278" s="49">
        <v>10</v>
      </c>
      <c r="G278" s="50" t="s">
        <v>43</v>
      </c>
      <c r="H278" s="49">
        <v>12</v>
      </c>
      <c r="I278" s="50" t="s">
        <v>20</v>
      </c>
      <c r="J278" s="51">
        <f>4920000/10/12</f>
        <v>41000</v>
      </c>
      <c r="K278" s="47" t="s">
        <v>20</v>
      </c>
      <c r="L278" s="52"/>
      <c r="M278" s="52">
        <v>0.17</v>
      </c>
      <c r="N278" s="49">
        <f>9+(3*12)</f>
        <v>45</v>
      </c>
      <c r="O278" s="50" t="s">
        <v>20</v>
      </c>
      <c r="P278" s="46">
        <f t="shared" si="62"/>
        <v>63</v>
      </c>
      <c r="Q278" s="50" t="s">
        <v>20</v>
      </c>
      <c r="R278" s="51">
        <f t="shared" si="63"/>
        <v>2143890</v>
      </c>
      <c r="S278" s="51">
        <f t="shared" si="58"/>
        <v>1931432.4324324322</v>
      </c>
    </row>
    <row r="279" spans="1:19" s="45" customFormat="1">
      <c r="A279" s="44"/>
      <c r="C279" s="46"/>
      <c r="D279" s="47"/>
      <c r="E279" s="48"/>
      <c r="F279" s="49"/>
      <c r="G279" s="50"/>
      <c r="H279" s="49"/>
      <c r="I279" s="50"/>
      <c r="J279" s="51"/>
      <c r="K279" s="47"/>
      <c r="L279" s="52"/>
      <c r="M279" s="52"/>
      <c r="N279" s="49"/>
      <c r="O279" s="50"/>
      <c r="P279" s="46"/>
      <c r="Q279" s="50"/>
      <c r="R279" s="51"/>
      <c r="S279" s="51"/>
    </row>
    <row r="280" spans="1:19">
      <c r="A280" s="15" t="s">
        <v>739</v>
      </c>
      <c r="S280" s="23"/>
    </row>
    <row r="281" spans="1:19" s="45" customFormat="1">
      <c r="A281" s="44" t="s">
        <v>740</v>
      </c>
      <c r="B281" s="45" t="s">
        <v>182</v>
      </c>
      <c r="C281" s="46">
        <v>582</v>
      </c>
      <c r="D281" s="47" t="s">
        <v>43</v>
      </c>
      <c r="E281" s="48"/>
      <c r="F281" s="49">
        <v>20</v>
      </c>
      <c r="G281" s="50" t="s">
        <v>34</v>
      </c>
      <c r="H281" s="49">
        <v>4</v>
      </c>
      <c r="I281" s="50" t="s">
        <v>43</v>
      </c>
      <c r="J281" s="51">
        <f>1400*12</f>
        <v>16800</v>
      </c>
      <c r="K281" s="47" t="s">
        <v>43</v>
      </c>
      <c r="L281" s="52">
        <v>0.05</v>
      </c>
      <c r="M281" s="52"/>
      <c r="N281" s="49">
        <f>12+4</f>
        <v>16</v>
      </c>
      <c r="O281" s="50" t="s">
        <v>43</v>
      </c>
      <c r="P281" s="46">
        <f t="shared" ref="P281" si="73">(C281+(E281*F281*H281))-N281</f>
        <v>566</v>
      </c>
      <c r="Q281" s="50" t="s">
        <v>43</v>
      </c>
      <c r="R281" s="51">
        <f t="shared" ref="R281" si="74">P281*(J281-(J281*L281)-((J281-(J281*L281))*M281))</f>
        <v>9033360</v>
      </c>
      <c r="S281" s="32">
        <f t="shared" ref="S281" si="75">R281/1.11</f>
        <v>8138162.1621621614</v>
      </c>
    </row>
    <row r="282" spans="1:19" ht="15.75">
      <c r="A282" s="106"/>
      <c r="S282" s="23"/>
    </row>
    <row r="283" spans="1:19" ht="15.75">
      <c r="A283" s="14" t="s">
        <v>235</v>
      </c>
      <c r="S283" s="23"/>
    </row>
    <row r="284" spans="1:19" s="17" customFormat="1">
      <c r="A284" s="16" t="s">
        <v>236</v>
      </c>
      <c r="B284" s="17" t="s">
        <v>19</v>
      </c>
      <c r="C284" s="18"/>
      <c r="D284" s="19" t="s">
        <v>20</v>
      </c>
      <c r="E284" s="20"/>
      <c r="F284" s="21">
        <v>12</v>
      </c>
      <c r="G284" s="22" t="s">
        <v>34</v>
      </c>
      <c r="H284" s="21">
        <v>12</v>
      </c>
      <c r="I284" s="22" t="s">
        <v>20</v>
      </c>
      <c r="J284" s="23">
        <f>52500/12</f>
        <v>4375</v>
      </c>
      <c r="K284" s="19" t="s">
        <v>20</v>
      </c>
      <c r="L284" s="24">
        <v>0.125</v>
      </c>
      <c r="M284" s="24">
        <v>0.05</v>
      </c>
      <c r="N284" s="21"/>
      <c r="O284" s="22" t="s">
        <v>20</v>
      </c>
      <c r="P284" s="18">
        <f>(C284+(E284*F284*H284))-N284</f>
        <v>0</v>
      </c>
      <c r="Q284" s="22" t="s">
        <v>20</v>
      </c>
      <c r="R284" s="23">
        <f>P284*(J284-(J284*L284)-((J284-(J284*L284))*M284))</f>
        <v>0</v>
      </c>
      <c r="S284" s="23">
        <f t="shared" ref="S284" si="76">R284/1.11</f>
        <v>0</v>
      </c>
    </row>
    <row r="285" spans="1:19" s="26" customFormat="1">
      <c r="A285" s="25" t="s">
        <v>237</v>
      </c>
      <c r="B285" s="26" t="s">
        <v>19</v>
      </c>
      <c r="C285" s="27">
        <v>144</v>
      </c>
      <c r="D285" s="28" t="s">
        <v>20</v>
      </c>
      <c r="E285" s="29">
        <f>1+1</f>
        <v>2</v>
      </c>
      <c r="F285" s="30">
        <v>12</v>
      </c>
      <c r="G285" s="31" t="s">
        <v>34</v>
      </c>
      <c r="H285" s="30">
        <v>12</v>
      </c>
      <c r="I285" s="31" t="s">
        <v>20</v>
      </c>
      <c r="J285" s="32">
        <v>20500</v>
      </c>
      <c r="K285" s="28" t="s">
        <v>20</v>
      </c>
      <c r="L285" s="33">
        <v>0.125</v>
      </c>
      <c r="M285" s="33">
        <v>0.05</v>
      </c>
      <c r="N285" s="30"/>
      <c r="O285" s="31" t="s">
        <v>20</v>
      </c>
      <c r="P285" s="27">
        <f>(C285+(E285*F285*H285))-N285</f>
        <v>432</v>
      </c>
      <c r="Q285" s="31" t="s">
        <v>20</v>
      </c>
      <c r="R285" s="32">
        <f>P285*(J285-(J285*L285)-((J285-(J285*L285))*M285))</f>
        <v>7361550</v>
      </c>
      <c r="S285" s="32">
        <f t="shared" si="58"/>
        <v>6632027.0270270268</v>
      </c>
    </row>
    <row r="286" spans="1:19" s="26" customFormat="1">
      <c r="A286" s="25" t="s">
        <v>238</v>
      </c>
      <c r="B286" s="26" t="s">
        <v>19</v>
      </c>
      <c r="C286" s="27">
        <v>144</v>
      </c>
      <c r="D286" s="28" t="s">
        <v>20</v>
      </c>
      <c r="E286" s="29">
        <f>1+1</f>
        <v>2</v>
      </c>
      <c r="F286" s="30">
        <v>12</v>
      </c>
      <c r="G286" s="31" t="s">
        <v>34</v>
      </c>
      <c r="H286" s="30">
        <v>12</v>
      </c>
      <c r="I286" s="31" t="s">
        <v>20</v>
      </c>
      <c r="J286" s="32">
        <v>22000</v>
      </c>
      <c r="K286" s="28" t="s">
        <v>20</v>
      </c>
      <c r="L286" s="33">
        <v>0.125</v>
      </c>
      <c r="M286" s="33">
        <v>0.05</v>
      </c>
      <c r="N286" s="30">
        <v>144</v>
      </c>
      <c r="O286" s="31" t="s">
        <v>20</v>
      </c>
      <c r="P286" s="27">
        <f>(C286+(E286*F286*H286))-N286</f>
        <v>288</v>
      </c>
      <c r="Q286" s="31" t="s">
        <v>20</v>
      </c>
      <c r="R286" s="32">
        <f>P286*(J286-(J286*L286)-((J286-(J286*L286))*M286))</f>
        <v>5266800</v>
      </c>
      <c r="S286" s="32">
        <f t="shared" si="58"/>
        <v>4744864.8648648644</v>
      </c>
    </row>
    <row r="287" spans="1:19" s="45" customFormat="1">
      <c r="A287" s="44" t="s">
        <v>239</v>
      </c>
      <c r="B287" s="45" t="s">
        <v>19</v>
      </c>
      <c r="C287" s="46">
        <v>576</v>
      </c>
      <c r="D287" s="47" t="s">
        <v>20</v>
      </c>
      <c r="E287" s="48">
        <f>1+10+2</f>
        <v>13</v>
      </c>
      <c r="F287" s="49">
        <v>12</v>
      </c>
      <c r="G287" s="50" t="s">
        <v>34</v>
      </c>
      <c r="H287" s="49">
        <v>12</v>
      </c>
      <c r="I287" s="50" t="s">
        <v>20</v>
      </c>
      <c r="J287" s="51">
        <v>4100</v>
      </c>
      <c r="K287" s="47" t="s">
        <v>20</v>
      </c>
      <c r="L287" s="52">
        <v>0.125</v>
      </c>
      <c r="M287" s="52">
        <v>0.05</v>
      </c>
      <c r="N287" s="49">
        <f>144+288+(48*12)+576+144+144</f>
        <v>1872</v>
      </c>
      <c r="O287" s="50" t="s">
        <v>20</v>
      </c>
      <c r="P287" s="46">
        <f>(C287+(E287*F287*H287))-N287</f>
        <v>576</v>
      </c>
      <c r="Q287" s="50" t="s">
        <v>20</v>
      </c>
      <c r="R287" s="51">
        <f>P287*(J287-(J287*L287)-((J287-(J287*L287))*M287))</f>
        <v>1963080</v>
      </c>
      <c r="S287" s="51">
        <f t="shared" si="58"/>
        <v>1768540.5405405404</v>
      </c>
    </row>
    <row r="288" spans="1:19" s="45" customFormat="1">
      <c r="A288" s="44" t="s">
        <v>240</v>
      </c>
      <c r="B288" s="45" t="s">
        <v>19</v>
      </c>
      <c r="C288" s="46">
        <v>576</v>
      </c>
      <c r="D288" s="47" t="s">
        <v>20</v>
      </c>
      <c r="E288" s="48"/>
      <c r="F288" s="49">
        <v>12</v>
      </c>
      <c r="G288" s="50" t="s">
        <v>34</v>
      </c>
      <c r="H288" s="49">
        <v>12</v>
      </c>
      <c r="I288" s="50" t="s">
        <v>20</v>
      </c>
      <c r="J288" s="51">
        <v>6300</v>
      </c>
      <c r="K288" s="47" t="s">
        <v>20</v>
      </c>
      <c r="L288" s="52">
        <v>0.125</v>
      </c>
      <c r="M288" s="52">
        <v>0.05</v>
      </c>
      <c r="N288" s="49">
        <f>(24*12)</f>
        <v>288</v>
      </c>
      <c r="O288" s="50" t="s">
        <v>20</v>
      </c>
      <c r="P288" s="46">
        <f t="shared" ref="P288:P295" si="77">(C288+(E288*F288*H288))-N288</f>
        <v>288</v>
      </c>
      <c r="Q288" s="50" t="s">
        <v>20</v>
      </c>
      <c r="R288" s="51">
        <f t="shared" ref="R288:R295" si="78">P288*(J288-(J288*L288)-((J288-(J288*L288))*M288))</f>
        <v>1508220</v>
      </c>
      <c r="S288" s="51">
        <f t="shared" si="58"/>
        <v>1358756.7567567567</v>
      </c>
    </row>
    <row r="289" spans="1:19" s="45" customFormat="1">
      <c r="A289" s="44" t="s">
        <v>241</v>
      </c>
      <c r="B289" s="45" t="s">
        <v>19</v>
      </c>
      <c r="C289" s="46">
        <v>324</v>
      </c>
      <c r="D289" s="47" t="s">
        <v>20</v>
      </c>
      <c r="E289" s="48"/>
      <c r="F289" s="49">
        <v>12</v>
      </c>
      <c r="G289" s="50" t="s">
        <v>34</v>
      </c>
      <c r="H289" s="49">
        <v>12</v>
      </c>
      <c r="I289" s="50" t="s">
        <v>20</v>
      </c>
      <c r="J289" s="51">
        <v>9500</v>
      </c>
      <c r="K289" s="47" t="s">
        <v>20</v>
      </c>
      <c r="L289" s="52">
        <v>0.125</v>
      </c>
      <c r="M289" s="52">
        <v>0.05</v>
      </c>
      <c r="N289" s="49">
        <f>12+(4*12)</f>
        <v>60</v>
      </c>
      <c r="O289" s="50" t="s">
        <v>20</v>
      </c>
      <c r="P289" s="46">
        <f t="shared" si="77"/>
        <v>264</v>
      </c>
      <c r="Q289" s="50" t="s">
        <v>20</v>
      </c>
      <c r="R289" s="51">
        <f t="shared" si="78"/>
        <v>2084775</v>
      </c>
      <c r="S289" s="32">
        <f t="shared" si="58"/>
        <v>1878175.6756756755</v>
      </c>
    </row>
    <row r="290" spans="1:19" s="63" customFormat="1">
      <c r="A290" s="72" t="s">
        <v>242</v>
      </c>
      <c r="B290" s="63" t="s">
        <v>19</v>
      </c>
      <c r="C290" s="64"/>
      <c r="D290" s="65" t="s">
        <v>20</v>
      </c>
      <c r="E290" s="66"/>
      <c r="F290" s="67">
        <v>6</v>
      </c>
      <c r="G290" s="68" t="s">
        <v>34</v>
      </c>
      <c r="H290" s="67">
        <v>12</v>
      </c>
      <c r="I290" s="68" t="s">
        <v>20</v>
      </c>
      <c r="J290" s="69">
        <v>19200</v>
      </c>
      <c r="K290" s="65" t="s">
        <v>20</v>
      </c>
      <c r="L290" s="70">
        <v>0.125</v>
      </c>
      <c r="M290" s="70">
        <v>0.05</v>
      </c>
      <c r="N290" s="67"/>
      <c r="O290" s="68" t="s">
        <v>20</v>
      </c>
      <c r="P290" s="64">
        <f t="shared" si="77"/>
        <v>0</v>
      </c>
      <c r="Q290" s="68" t="s">
        <v>20</v>
      </c>
      <c r="R290" s="69">
        <f t="shared" si="78"/>
        <v>0</v>
      </c>
      <c r="S290" s="23">
        <f t="shared" si="58"/>
        <v>0</v>
      </c>
    </row>
    <row r="291" spans="1:19" s="17" customFormat="1">
      <c r="A291" s="16" t="s">
        <v>243</v>
      </c>
      <c r="B291" s="17" t="s">
        <v>19</v>
      </c>
      <c r="C291" s="18"/>
      <c r="D291" s="19" t="s">
        <v>20</v>
      </c>
      <c r="E291" s="20"/>
      <c r="F291" s="21">
        <v>12</v>
      </c>
      <c r="G291" s="22" t="s">
        <v>34</v>
      </c>
      <c r="H291" s="21">
        <v>12</v>
      </c>
      <c r="I291" s="22" t="s">
        <v>20</v>
      </c>
      <c r="J291" s="23">
        <v>5900</v>
      </c>
      <c r="K291" s="19" t="s">
        <v>20</v>
      </c>
      <c r="L291" s="24">
        <v>0.125</v>
      </c>
      <c r="M291" s="24">
        <v>0.05</v>
      </c>
      <c r="N291" s="21"/>
      <c r="O291" s="22" t="s">
        <v>20</v>
      </c>
      <c r="P291" s="18">
        <f t="shared" si="77"/>
        <v>0</v>
      </c>
      <c r="Q291" s="22" t="s">
        <v>20</v>
      </c>
      <c r="R291" s="23">
        <f t="shared" si="78"/>
        <v>0</v>
      </c>
      <c r="S291" s="23">
        <f t="shared" si="58"/>
        <v>0</v>
      </c>
    </row>
    <row r="292" spans="1:19" s="17" customFormat="1">
      <c r="A292" s="16" t="s">
        <v>244</v>
      </c>
      <c r="B292" s="17" t="s">
        <v>19</v>
      </c>
      <c r="C292" s="18"/>
      <c r="D292" s="19" t="s">
        <v>20</v>
      </c>
      <c r="E292" s="20"/>
      <c r="F292" s="21">
        <v>12</v>
      </c>
      <c r="G292" s="22" t="s">
        <v>34</v>
      </c>
      <c r="H292" s="21">
        <v>12</v>
      </c>
      <c r="I292" s="22" t="s">
        <v>20</v>
      </c>
      <c r="J292" s="23">
        <v>7700</v>
      </c>
      <c r="K292" s="19" t="s">
        <v>20</v>
      </c>
      <c r="L292" s="24">
        <v>0.125</v>
      </c>
      <c r="M292" s="24">
        <v>0.05</v>
      </c>
      <c r="N292" s="21"/>
      <c r="O292" s="22" t="s">
        <v>20</v>
      </c>
      <c r="P292" s="18">
        <f t="shared" si="77"/>
        <v>0</v>
      </c>
      <c r="Q292" s="22" t="s">
        <v>20</v>
      </c>
      <c r="R292" s="23">
        <f t="shared" si="78"/>
        <v>0</v>
      </c>
      <c r="S292" s="23">
        <f t="shared" si="58"/>
        <v>0</v>
      </c>
    </row>
    <row r="293" spans="1:19" s="63" customFormat="1" ht="15">
      <c r="A293" s="72" t="s">
        <v>245</v>
      </c>
      <c r="B293" s="63" t="s">
        <v>19</v>
      </c>
      <c r="C293" s="207"/>
      <c r="D293" s="65" t="s">
        <v>20</v>
      </c>
      <c r="E293" s="66"/>
      <c r="F293" s="67">
        <v>12</v>
      </c>
      <c r="G293" s="68" t="s">
        <v>34</v>
      </c>
      <c r="H293" s="67">
        <v>12</v>
      </c>
      <c r="I293" s="68" t="s">
        <v>20</v>
      </c>
      <c r="J293" s="69">
        <v>11200</v>
      </c>
      <c r="K293" s="65" t="s">
        <v>20</v>
      </c>
      <c r="L293" s="70">
        <v>0.125</v>
      </c>
      <c r="M293" s="70">
        <v>0.05</v>
      </c>
      <c r="N293" s="67"/>
      <c r="O293" s="68" t="s">
        <v>20</v>
      </c>
      <c r="P293" s="64">
        <f t="shared" si="77"/>
        <v>0</v>
      </c>
      <c r="Q293" s="68" t="s">
        <v>20</v>
      </c>
      <c r="R293" s="69">
        <f t="shared" si="78"/>
        <v>0</v>
      </c>
      <c r="S293" s="69">
        <f t="shared" si="58"/>
        <v>0</v>
      </c>
    </row>
    <row r="294" spans="1:19" s="26" customFormat="1">
      <c r="A294" s="25" t="s">
        <v>246</v>
      </c>
      <c r="B294" s="26" t="s">
        <v>19</v>
      </c>
      <c r="C294" s="27">
        <v>72</v>
      </c>
      <c r="D294" s="28" t="s">
        <v>20</v>
      </c>
      <c r="E294" s="29"/>
      <c r="F294" s="30">
        <v>12</v>
      </c>
      <c r="G294" s="31" t="s">
        <v>34</v>
      </c>
      <c r="H294" s="30">
        <v>12</v>
      </c>
      <c r="I294" s="31" t="s">
        <v>20</v>
      </c>
      <c r="J294" s="32">
        <v>7600</v>
      </c>
      <c r="K294" s="28" t="s">
        <v>20</v>
      </c>
      <c r="L294" s="33">
        <v>0.125</v>
      </c>
      <c r="M294" s="33">
        <v>0.05</v>
      </c>
      <c r="N294" s="30"/>
      <c r="O294" s="31" t="s">
        <v>20</v>
      </c>
      <c r="P294" s="27">
        <f t="shared" si="77"/>
        <v>72</v>
      </c>
      <c r="Q294" s="31" t="s">
        <v>20</v>
      </c>
      <c r="R294" s="32">
        <f t="shared" si="78"/>
        <v>454860</v>
      </c>
      <c r="S294" s="32">
        <f t="shared" si="58"/>
        <v>409783.78378378373</v>
      </c>
    </row>
    <row r="295" spans="1:19" s="17" customFormat="1">
      <c r="A295" s="16" t="s">
        <v>247</v>
      </c>
      <c r="B295" s="17" t="s">
        <v>19</v>
      </c>
      <c r="C295" s="18"/>
      <c r="D295" s="19" t="s">
        <v>20</v>
      </c>
      <c r="E295" s="20"/>
      <c r="F295" s="21">
        <v>8</v>
      </c>
      <c r="G295" s="22" t="s">
        <v>34</v>
      </c>
      <c r="H295" s="21">
        <v>6</v>
      </c>
      <c r="I295" s="22" t="s">
        <v>20</v>
      </c>
      <c r="J295" s="23">
        <v>65000</v>
      </c>
      <c r="K295" s="19" t="s">
        <v>20</v>
      </c>
      <c r="L295" s="24">
        <v>0.125</v>
      </c>
      <c r="M295" s="24">
        <v>0.05</v>
      </c>
      <c r="N295" s="21"/>
      <c r="O295" s="22" t="s">
        <v>20</v>
      </c>
      <c r="P295" s="18">
        <f t="shared" si="77"/>
        <v>0</v>
      </c>
      <c r="Q295" s="22" t="s">
        <v>20</v>
      </c>
      <c r="R295" s="23">
        <f t="shared" si="78"/>
        <v>0</v>
      </c>
      <c r="S295" s="23">
        <f t="shared" si="58"/>
        <v>0</v>
      </c>
    </row>
    <row r="296" spans="1:19" s="17" customFormat="1">
      <c r="A296" s="16"/>
      <c r="C296" s="18"/>
      <c r="D296" s="19"/>
      <c r="E296" s="20"/>
      <c r="F296" s="21"/>
      <c r="G296" s="22"/>
      <c r="H296" s="21"/>
      <c r="I296" s="22"/>
      <c r="J296" s="23"/>
      <c r="K296" s="19"/>
      <c r="L296" s="24"/>
      <c r="M296" s="24"/>
      <c r="N296" s="21"/>
      <c r="O296" s="22"/>
      <c r="P296" s="18"/>
      <c r="Q296" s="22"/>
      <c r="R296" s="23"/>
      <c r="S296" s="23"/>
    </row>
    <row r="297" spans="1:19" s="45" customFormat="1">
      <c r="A297" s="44" t="s">
        <v>248</v>
      </c>
      <c r="B297" s="45" t="s">
        <v>26</v>
      </c>
      <c r="C297" s="46">
        <v>22</v>
      </c>
      <c r="D297" s="47" t="s">
        <v>43</v>
      </c>
      <c r="E297" s="48">
        <v>2</v>
      </c>
      <c r="F297" s="49">
        <v>1</v>
      </c>
      <c r="G297" s="50" t="s">
        <v>21</v>
      </c>
      <c r="H297" s="49">
        <v>25</v>
      </c>
      <c r="I297" s="50" t="s">
        <v>43</v>
      </c>
      <c r="J297" s="51">
        <f>1245000/25</f>
        <v>49800</v>
      </c>
      <c r="K297" s="47" t="s">
        <v>43</v>
      </c>
      <c r="L297" s="52"/>
      <c r="M297" s="52">
        <v>0.17</v>
      </c>
      <c r="N297" s="49">
        <v>6</v>
      </c>
      <c r="O297" s="50" t="s">
        <v>43</v>
      </c>
      <c r="P297" s="46">
        <f>(C297+(E297*F297*H297))-N297</f>
        <v>66</v>
      </c>
      <c r="Q297" s="50" t="s">
        <v>43</v>
      </c>
      <c r="R297" s="51">
        <f>P297*(J297-(J297*L297)-((J297-(J297*L297))*M297))</f>
        <v>2728044</v>
      </c>
      <c r="S297" s="51">
        <f t="shared" si="58"/>
        <v>2457697.297297297</v>
      </c>
    </row>
    <row r="298" spans="1:19" s="45" customFormat="1">
      <c r="A298" s="44" t="s">
        <v>249</v>
      </c>
      <c r="B298" s="45" t="s">
        <v>26</v>
      </c>
      <c r="C298" s="46">
        <v>124</v>
      </c>
      <c r="D298" s="47" t="s">
        <v>43</v>
      </c>
      <c r="E298" s="48"/>
      <c r="F298" s="49">
        <v>1</v>
      </c>
      <c r="G298" s="50" t="s">
        <v>21</v>
      </c>
      <c r="H298" s="49">
        <v>25</v>
      </c>
      <c r="I298" s="50" t="s">
        <v>43</v>
      </c>
      <c r="J298" s="51">
        <f>1890000/25</f>
        <v>75600</v>
      </c>
      <c r="K298" s="47" t="s">
        <v>43</v>
      </c>
      <c r="L298" s="52"/>
      <c r="M298" s="52">
        <v>0.17</v>
      </c>
      <c r="N298" s="49">
        <f>3+2</f>
        <v>5</v>
      </c>
      <c r="O298" s="50" t="s">
        <v>43</v>
      </c>
      <c r="P298" s="46">
        <f t="shared" ref="P298" si="79">(C298+(E298*F298*H298))-N298</f>
        <v>119</v>
      </c>
      <c r="Q298" s="50" t="s">
        <v>43</v>
      </c>
      <c r="R298" s="51">
        <f t="shared" ref="R298" si="80">P298*(J298-(J298*L298)-((J298-(J298*L298))*M298))</f>
        <v>7467012</v>
      </c>
      <c r="S298" s="51">
        <f t="shared" si="58"/>
        <v>6727037.8378378376</v>
      </c>
    </row>
    <row r="299" spans="1:19" s="45" customFormat="1">
      <c r="A299" s="44" t="s">
        <v>250</v>
      </c>
      <c r="B299" s="45" t="s">
        <v>26</v>
      </c>
      <c r="C299" s="46">
        <v>42</v>
      </c>
      <c r="D299" s="47" t="s">
        <v>43</v>
      </c>
      <c r="E299" s="48">
        <v>1</v>
      </c>
      <c r="F299" s="49">
        <v>1</v>
      </c>
      <c r="G299" s="50" t="s">
        <v>21</v>
      </c>
      <c r="H299" s="49">
        <v>10</v>
      </c>
      <c r="I299" s="50" t="s">
        <v>43</v>
      </c>
      <c r="J299" s="51">
        <f>1122000/10</f>
        <v>112200</v>
      </c>
      <c r="K299" s="47" t="s">
        <v>43</v>
      </c>
      <c r="L299" s="52"/>
      <c r="M299" s="52">
        <v>0.17</v>
      </c>
      <c r="N299" s="49">
        <v>10</v>
      </c>
      <c r="O299" s="50" t="s">
        <v>43</v>
      </c>
      <c r="P299" s="46">
        <f>(C299+(E299*F299*H299))-N299</f>
        <v>42</v>
      </c>
      <c r="Q299" s="50" t="s">
        <v>43</v>
      </c>
      <c r="R299" s="51">
        <f>P299*(J299-(J299*L299)-((J299-(J299*L299))*M299))</f>
        <v>3911292</v>
      </c>
      <c r="S299" s="51">
        <f t="shared" si="58"/>
        <v>3523686.4864864862</v>
      </c>
    </row>
    <row r="300" spans="1:19" s="45" customFormat="1">
      <c r="A300" s="44" t="s">
        <v>755</v>
      </c>
      <c r="B300" s="45" t="s">
        <v>26</v>
      </c>
      <c r="C300" s="46">
        <v>15</v>
      </c>
      <c r="D300" s="47" t="s">
        <v>43</v>
      </c>
      <c r="E300" s="48"/>
      <c r="F300" s="49">
        <v>1</v>
      </c>
      <c r="G300" s="50" t="s">
        <v>21</v>
      </c>
      <c r="H300" s="49">
        <v>25</v>
      </c>
      <c r="I300" s="50" t="s">
        <v>43</v>
      </c>
      <c r="J300" s="51">
        <f>2010000/25</f>
        <v>80400</v>
      </c>
      <c r="K300" s="47" t="s">
        <v>43</v>
      </c>
      <c r="L300" s="52"/>
      <c r="M300" s="52">
        <v>0.17</v>
      </c>
      <c r="N300" s="49"/>
      <c r="O300" s="50" t="s">
        <v>43</v>
      </c>
      <c r="P300" s="46">
        <f>(C300+(E300*F300*H300))-N300</f>
        <v>15</v>
      </c>
      <c r="Q300" s="50" t="s">
        <v>43</v>
      </c>
      <c r="R300" s="51">
        <f>P300*(J300-(J300*L300)-((J300-(J300*L300))*M300))</f>
        <v>1000980</v>
      </c>
      <c r="S300" s="51">
        <f t="shared" si="58"/>
        <v>901783.78378378367</v>
      </c>
    </row>
    <row r="301" spans="1:19" s="63" customFormat="1">
      <c r="A301" s="72" t="s">
        <v>251</v>
      </c>
      <c r="B301" s="63" t="s">
        <v>26</v>
      </c>
      <c r="C301" s="64"/>
      <c r="D301" s="65" t="s">
        <v>43</v>
      </c>
      <c r="E301" s="66"/>
      <c r="F301" s="67">
        <v>1</v>
      </c>
      <c r="G301" s="68" t="s">
        <v>21</v>
      </c>
      <c r="H301" s="67">
        <v>10</v>
      </c>
      <c r="I301" s="68" t="s">
        <v>43</v>
      </c>
      <c r="J301" s="69">
        <f>1260000/10</f>
        <v>126000</v>
      </c>
      <c r="K301" s="65" t="s">
        <v>43</v>
      </c>
      <c r="L301" s="70"/>
      <c r="M301" s="70">
        <v>0.17</v>
      </c>
      <c r="N301" s="67"/>
      <c r="O301" s="68" t="s">
        <v>43</v>
      </c>
      <c r="P301" s="64">
        <f>(C301+(E301*F301*H301))-N301</f>
        <v>0</v>
      </c>
      <c r="Q301" s="68" t="s">
        <v>43</v>
      </c>
      <c r="R301" s="69">
        <f>P301*(J301-(J301*L301)-((J301-(J301*L301))*M301))</f>
        <v>0</v>
      </c>
      <c r="S301" s="69">
        <f t="shared" si="58"/>
        <v>0</v>
      </c>
    </row>
    <row r="302" spans="1:19">
      <c r="S302" s="23"/>
    </row>
    <row r="303" spans="1:19" ht="15.75">
      <c r="A303" s="14" t="s">
        <v>252</v>
      </c>
      <c r="S303" s="23"/>
    </row>
    <row r="304" spans="1:19" s="26" customFormat="1">
      <c r="A304" s="107" t="s">
        <v>253</v>
      </c>
      <c r="B304" s="26" t="s">
        <v>26</v>
      </c>
      <c r="C304" s="27">
        <v>98</v>
      </c>
      <c r="D304" s="28" t="s">
        <v>20</v>
      </c>
      <c r="E304" s="29"/>
      <c r="F304" s="30">
        <v>20</v>
      </c>
      <c r="G304" s="31" t="s">
        <v>34</v>
      </c>
      <c r="H304" s="30">
        <v>10</v>
      </c>
      <c r="I304" s="31" t="s">
        <v>20</v>
      </c>
      <c r="J304" s="32">
        <f>3800000/20/10</f>
        <v>19000</v>
      </c>
      <c r="K304" s="28" t="s">
        <v>20</v>
      </c>
      <c r="L304" s="33"/>
      <c r="M304" s="33">
        <v>0.17</v>
      </c>
      <c r="N304" s="30">
        <f>20+(3*12)</f>
        <v>56</v>
      </c>
      <c r="O304" s="31" t="s">
        <v>20</v>
      </c>
      <c r="P304" s="27">
        <f>(C304+(E304*F304*H304))-N304</f>
        <v>42</v>
      </c>
      <c r="Q304" s="31" t="s">
        <v>20</v>
      </c>
      <c r="R304" s="32">
        <f>P304*(J304-(J304*L304)-((J304-(J304*L304))*M304))</f>
        <v>662340</v>
      </c>
      <c r="S304" s="32">
        <f t="shared" si="58"/>
        <v>596702.70270270261</v>
      </c>
    </row>
    <row r="305" spans="1:19" s="26" customFormat="1">
      <c r="A305" s="107" t="s">
        <v>254</v>
      </c>
      <c r="B305" s="26" t="s">
        <v>26</v>
      </c>
      <c r="C305" s="27">
        <v>24</v>
      </c>
      <c r="D305" s="28" t="s">
        <v>20</v>
      </c>
      <c r="E305" s="29"/>
      <c r="F305" s="30">
        <v>20</v>
      </c>
      <c r="G305" s="31" t="s">
        <v>34</v>
      </c>
      <c r="H305" s="30">
        <v>12</v>
      </c>
      <c r="I305" s="31" t="s">
        <v>20</v>
      </c>
      <c r="J305" s="32">
        <f>3000000/20/12</f>
        <v>12500</v>
      </c>
      <c r="K305" s="28" t="s">
        <v>20</v>
      </c>
      <c r="L305" s="33"/>
      <c r="M305" s="33">
        <v>0.17</v>
      </c>
      <c r="N305" s="30">
        <v>12</v>
      </c>
      <c r="O305" s="31" t="s">
        <v>20</v>
      </c>
      <c r="P305" s="27">
        <f>(C305+(E305*F305*H305))-N305</f>
        <v>12</v>
      </c>
      <c r="Q305" s="31" t="s">
        <v>20</v>
      </c>
      <c r="R305" s="32">
        <f>P305*(J305-(J305*L305)-((J305-(J305*L305))*M305))</f>
        <v>124500</v>
      </c>
      <c r="S305" s="32">
        <f t="shared" si="58"/>
        <v>112162.16216216215</v>
      </c>
    </row>
    <row r="306" spans="1:19">
      <c r="S306" s="23"/>
    </row>
    <row r="307" spans="1:19" ht="15.75">
      <c r="A307" s="14" t="s">
        <v>255</v>
      </c>
      <c r="S307" s="23"/>
    </row>
    <row r="308" spans="1:19" s="26" customFormat="1">
      <c r="A308" s="25" t="s">
        <v>256</v>
      </c>
      <c r="B308" s="26" t="s">
        <v>19</v>
      </c>
      <c r="C308" s="27"/>
      <c r="D308" s="28" t="s">
        <v>43</v>
      </c>
      <c r="E308" s="29">
        <f>1+2+2</f>
        <v>5</v>
      </c>
      <c r="F308" s="30">
        <v>1</v>
      </c>
      <c r="G308" s="31" t="s">
        <v>21</v>
      </c>
      <c r="H308" s="30">
        <v>24</v>
      </c>
      <c r="I308" s="31" t="s">
        <v>43</v>
      </c>
      <c r="J308" s="32">
        <v>88200</v>
      </c>
      <c r="K308" s="28" t="s">
        <v>43</v>
      </c>
      <c r="L308" s="33">
        <v>0.125</v>
      </c>
      <c r="M308" s="33">
        <v>0.05</v>
      </c>
      <c r="N308" s="30">
        <f>10+24+24+24</f>
        <v>82</v>
      </c>
      <c r="O308" s="31" t="s">
        <v>43</v>
      </c>
      <c r="P308" s="27">
        <f t="shared" ref="P308:P320" si="81">(C308+(E308*F308*H308))-N308</f>
        <v>38</v>
      </c>
      <c r="Q308" s="31" t="s">
        <v>43</v>
      </c>
      <c r="R308" s="32">
        <f t="shared" ref="R308:R320" si="82">P308*(J308-(J308*L308)-((J308-(J308*L308))*M308))</f>
        <v>2786017.5</v>
      </c>
      <c r="S308" s="32">
        <f t="shared" si="58"/>
        <v>2509925.6756756753</v>
      </c>
    </row>
    <row r="309" spans="1:19" s="26" customFormat="1">
      <c r="A309" s="25" t="s">
        <v>728</v>
      </c>
      <c r="B309" s="26" t="s">
        <v>19</v>
      </c>
      <c r="C309" s="27">
        <v>18</v>
      </c>
      <c r="D309" s="28" t="s">
        <v>43</v>
      </c>
      <c r="E309" s="29"/>
      <c r="F309" s="30">
        <v>1</v>
      </c>
      <c r="G309" s="31" t="s">
        <v>21</v>
      </c>
      <c r="H309" s="30">
        <v>24</v>
      </c>
      <c r="I309" s="31" t="s">
        <v>43</v>
      </c>
      <c r="J309" s="32">
        <v>114000</v>
      </c>
      <c r="K309" s="28" t="s">
        <v>43</v>
      </c>
      <c r="L309" s="33">
        <v>0.125</v>
      </c>
      <c r="M309" s="33">
        <v>0.05</v>
      </c>
      <c r="N309" s="30"/>
      <c r="O309" s="31" t="s">
        <v>43</v>
      </c>
      <c r="P309" s="27">
        <f t="shared" si="81"/>
        <v>18</v>
      </c>
      <c r="Q309" s="31" t="s">
        <v>43</v>
      </c>
      <c r="R309" s="32">
        <f t="shared" si="82"/>
        <v>1705725</v>
      </c>
      <c r="S309" s="32">
        <f t="shared" si="58"/>
        <v>1536689.1891891891</v>
      </c>
    </row>
    <row r="310" spans="1:19" s="26" customFormat="1">
      <c r="A310" s="25" t="s">
        <v>257</v>
      </c>
      <c r="B310" s="26" t="s">
        <v>19</v>
      </c>
      <c r="C310" s="27">
        <v>28</v>
      </c>
      <c r="D310" s="28" t="s">
        <v>43</v>
      </c>
      <c r="E310" s="29">
        <v>1</v>
      </c>
      <c r="F310" s="30">
        <v>1</v>
      </c>
      <c r="G310" s="31" t="s">
        <v>21</v>
      </c>
      <c r="H310" s="30">
        <v>24</v>
      </c>
      <c r="I310" s="31" t="s">
        <v>43</v>
      </c>
      <c r="J310" s="32">
        <v>88200</v>
      </c>
      <c r="K310" s="28" t="s">
        <v>43</v>
      </c>
      <c r="L310" s="33">
        <v>0.125</v>
      </c>
      <c r="M310" s="33">
        <v>0.05</v>
      </c>
      <c r="N310" s="30">
        <v>24</v>
      </c>
      <c r="O310" s="31" t="s">
        <v>43</v>
      </c>
      <c r="P310" s="27">
        <f t="shared" si="81"/>
        <v>28</v>
      </c>
      <c r="Q310" s="31" t="s">
        <v>43</v>
      </c>
      <c r="R310" s="32">
        <f t="shared" si="82"/>
        <v>2052855</v>
      </c>
      <c r="S310" s="32">
        <f t="shared" si="58"/>
        <v>1849418.9189189188</v>
      </c>
    </row>
    <row r="311" spans="1:19" s="26" customFormat="1">
      <c r="A311" s="25" t="s">
        <v>258</v>
      </c>
      <c r="B311" s="26" t="s">
        <v>19</v>
      </c>
      <c r="C311" s="27"/>
      <c r="D311" s="28" t="s">
        <v>43</v>
      </c>
      <c r="E311" s="29">
        <v>2</v>
      </c>
      <c r="F311" s="30">
        <v>1</v>
      </c>
      <c r="G311" s="31" t="s">
        <v>21</v>
      </c>
      <c r="H311" s="30">
        <v>24</v>
      </c>
      <c r="I311" s="31" t="s">
        <v>43</v>
      </c>
      <c r="J311" s="32">
        <v>89400</v>
      </c>
      <c r="K311" s="28" t="s">
        <v>43</v>
      </c>
      <c r="L311" s="33">
        <v>0.125</v>
      </c>
      <c r="M311" s="33">
        <v>0.05</v>
      </c>
      <c r="N311" s="30"/>
      <c r="O311" s="31" t="s">
        <v>43</v>
      </c>
      <c r="P311" s="27">
        <f t="shared" si="81"/>
        <v>48</v>
      </c>
      <c r="Q311" s="31" t="s">
        <v>43</v>
      </c>
      <c r="R311" s="32">
        <f t="shared" si="82"/>
        <v>3567060</v>
      </c>
      <c r="S311" s="32">
        <f t="shared" si="58"/>
        <v>3213567.5675675673</v>
      </c>
    </row>
    <row r="312" spans="1:19" s="26" customFormat="1">
      <c r="A312" s="25" t="s">
        <v>259</v>
      </c>
      <c r="B312" s="26" t="s">
        <v>19</v>
      </c>
      <c r="C312" s="27"/>
      <c r="D312" s="28" t="s">
        <v>162</v>
      </c>
      <c r="E312" s="29">
        <v>1</v>
      </c>
      <c r="F312" s="30">
        <v>12</v>
      </c>
      <c r="G312" s="31" t="s">
        <v>34</v>
      </c>
      <c r="H312" s="30">
        <v>24</v>
      </c>
      <c r="I312" s="31" t="s">
        <v>162</v>
      </c>
      <c r="J312" s="32">
        <v>12000</v>
      </c>
      <c r="K312" s="28" t="s">
        <v>162</v>
      </c>
      <c r="L312" s="33">
        <v>0.125</v>
      </c>
      <c r="M312" s="33">
        <v>0.05</v>
      </c>
      <c r="N312" s="30">
        <v>108</v>
      </c>
      <c r="O312" s="31" t="s">
        <v>162</v>
      </c>
      <c r="P312" s="27">
        <f t="shared" si="81"/>
        <v>180</v>
      </c>
      <c r="Q312" s="31" t="s">
        <v>162</v>
      </c>
      <c r="R312" s="32">
        <f t="shared" si="82"/>
        <v>1795500</v>
      </c>
      <c r="S312" s="32">
        <f t="shared" si="58"/>
        <v>1617567.5675675673</v>
      </c>
    </row>
    <row r="313" spans="1:19" s="17" customFormat="1">
      <c r="A313" s="16" t="s">
        <v>260</v>
      </c>
      <c r="B313" s="17" t="s">
        <v>19</v>
      </c>
      <c r="C313" s="18"/>
      <c r="D313" s="19" t="s">
        <v>162</v>
      </c>
      <c r="E313" s="20"/>
      <c r="F313" s="21">
        <v>10</v>
      </c>
      <c r="G313" s="22" t="s">
        <v>34</v>
      </c>
      <c r="H313" s="21">
        <v>10</v>
      </c>
      <c r="I313" s="22" t="s">
        <v>162</v>
      </c>
      <c r="J313" s="23">
        <v>28000</v>
      </c>
      <c r="K313" s="19" t="s">
        <v>162</v>
      </c>
      <c r="L313" s="24">
        <v>0.125</v>
      </c>
      <c r="M313" s="24">
        <v>0.05</v>
      </c>
      <c r="N313" s="21"/>
      <c r="O313" s="22" t="s">
        <v>162</v>
      </c>
      <c r="P313" s="18">
        <f t="shared" si="81"/>
        <v>0</v>
      </c>
      <c r="Q313" s="22" t="s">
        <v>162</v>
      </c>
      <c r="R313" s="23">
        <f t="shared" si="82"/>
        <v>0</v>
      </c>
      <c r="S313" s="23">
        <f t="shared" si="58"/>
        <v>0</v>
      </c>
    </row>
    <row r="314" spans="1:19" s="17" customFormat="1">
      <c r="A314" s="16" t="s">
        <v>261</v>
      </c>
      <c r="B314" s="17" t="s">
        <v>19</v>
      </c>
      <c r="C314" s="18"/>
      <c r="D314" s="19" t="s">
        <v>162</v>
      </c>
      <c r="E314" s="20"/>
      <c r="F314" s="21">
        <v>10</v>
      </c>
      <c r="G314" s="22" t="s">
        <v>34</v>
      </c>
      <c r="H314" s="21">
        <v>10</v>
      </c>
      <c r="I314" s="22" t="s">
        <v>162</v>
      </c>
      <c r="J314" s="23">
        <v>33500</v>
      </c>
      <c r="K314" s="19" t="s">
        <v>162</v>
      </c>
      <c r="L314" s="24">
        <v>0.125</v>
      </c>
      <c r="M314" s="24">
        <v>0.05</v>
      </c>
      <c r="N314" s="21"/>
      <c r="O314" s="22" t="s">
        <v>162</v>
      </c>
      <c r="P314" s="18">
        <f t="shared" si="81"/>
        <v>0</v>
      </c>
      <c r="Q314" s="22" t="s">
        <v>162</v>
      </c>
      <c r="R314" s="23">
        <f t="shared" si="82"/>
        <v>0</v>
      </c>
      <c r="S314" s="23">
        <f t="shared" si="58"/>
        <v>0</v>
      </c>
    </row>
    <row r="315" spans="1:19" s="17" customFormat="1">
      <c r="A315" s="16" t="s">
        <v>262</v>
      </c>
      <c r="B315" s="17" t="s">
        <v>19</v>
      </c>
      <c r="C315" s="18"/>
      <c r="D315" s="19" t="s">
        <v>162</v>
      </c>
      <c r="E315" s="20"/>
      <c r="F315" s="21">
        <v>8</v>
      </c>
      <c r="G315" s="22" t="s">
        <v>34</v>
      </c>
      <c r="H315" s="21">
        <v>10</v>
      </c>
      <c r="I315" s="22" t="s">
        <v>162</v>
      </c>
      <c r="J315" s="23">
        <v>48500</v>
      </c>
      <c r="K315" s="19" t="s">
        <v>162</v>
      </c>
      <c r="L315" s="24">
        <v>0.125</v>
      </c>
      <c r="M315" s="24">
        <v>0.05</v>
      </c>
      <c r="N315" s="21"/>
      <c r="O315" s="22" t="s">
        <v>162</v>
      </c>
      <c r="P315" s="18">
        <f t="shared" si="81"/>
        <v>0</v>
      </c>
      <c r="Q315" s="22" t="s">
        <v>162</v>
      </c>
      <c r="R315" s="23">
        <f t="shared" si="82"/>
        <v>0</v>
      </c>
      <c r="S315" s="23">
        <f t="shared" si="58"/>
        <v>0</v>
      </c>
    </row>
    <row r="316" spans="1:19" s="17" customFormat="1">
      <c r="A316" s="16" t="s">
        <v>263</v>
      </c>
      <c r="B316" s="17" t="s">
        <v>19</v>
      </c>
      <c r="C316" s="18"/>
      <c r="D316" s="19" t="s">
        <v>162</v>
      </c>
      <c r="E316" s="20"/>
      <c r="F316" s="21">
        <v>10</v>
      </c>
      <c r="G316" s="22" t="s">
        <v>34</v>
      </c>
      <c r="H316" s="21">
        <v>12</v>
      </c>
      <c r="I316" s="22" t="s">
        <v>162</v>
      </c>
      <c r="J316" s="23">
        <v>17000</v>
      </c>
      <c r="K316" s="19" t="s">
        <v>162</v>
      </c>
      <c r="L316" s="24">
        <v>0.125</v>
      </c>
      <c r="M316" s="24">
        <v>0.05</v>
      </c>
      <c r="N316" s="21"/>
      <c r="O316" s="22" t="s">
        <v>162</v>
      </c>
      <c r="P316" s="18">
        <f t="shared" si="81"/>
        <v>0</v>
      </c>
      <c r="Q316" s="22" t="s">
        <v>162</v>
      </c>
      <c r="R316" s="23">
        <f t="shared" si="82"/>
        <v>0</v>
      </c>
      <c r="S316" s="23">
        <f t="shared" si="58"/>
        <v>0</v>
      </c>
    </row>
    <row r="317" spans="1:19" s="85" customFormat="1">
      <c r="A317" s="84" t="s">
        <v>264</v>
      </c>
      <c r="B317" s="85" t="s">
        <v>19</v>
      </c>
      <c r="C317" s="86">
        <v>12</v>
      </c>
      <c r="D317" s="87" t="s">
        <v>162</v>
      </c>
      <c r="E317" s="92"/>
      <c r="F317" s="88">
        <v>24</v>
      </c>
      <c r="G317" s="89" t="s">
        <v>34</v>
      </c>
      <c r="H317" s="88">
        <v>12</v>
      </c>
      <c r="I317" s="89" t="s">
        <v>162</v>
      </c>
      <c r="J317" s="90">
        <v>13300</v>
      </c>
      <c r="K317" s="87" t="s">
        <v>162</v>
      </c>
      <c r="L317" s="91">
        <v>0.125</v>
      </c>
      <c r="M317" s="91">
        <v>0.05</v>
      </c>
      <c r="N317" s="88"/>
      <c r="O317" s="89" t="s">
        <v>162</v>
      </c>
      <c r="P317" s="86">
        <f t="shared" si="81"/>
        <v>12</v>
      </c>
      <c r="Q317" s="89" t="s">
        <v>162</v>
      </c>
      <c r="R317" s="90">
        <f t="shared" si="82"/>
        <v>132667.5</v>
      </c>
      <c r="S317" s="32">
        <f t="shared" si="58"/>
        <v>119520.27027027027</v>
      </c>
    </row>
    <row r="318" spans="1:19" s="85" customFormat="1">
      <c r="A318" s="84"/>
      <c r="C318" s="86"/>
      <c r="D318" s="87"/>
      <c r="E318" s="92"/>
      <c r="F318" s="88"/>
      <c r="G318" s="89"/>
      <c r="H318" s="88"/>
      <c r="I318" s="89"/>
      <c r="J318" s="90"/>
      <c r="K318" s="87"/>
      <c r="L318" s="91"/>
      <c r="M318" s="91"/>
      <c r="N318" s="88"/>
      <c r="O318" s="89"/>
      <c r="P318" s="86"/>
      <c r="Q318" s="89"/>
      <c r="R318" s="90"/>
      <c r="S318" s="32"/>
    </row>
    <row r="319" spans="1:19" s="26" customFormat="1">
      <c r="A319" s="94" t="s">
        <v>265</v>
      </c>
      <c r="B319" s="26" t="s">
        <v>26</v>
      </c>
      <c r="C319" s="27">
        <v>60</v>
      </c>
      <c r="D319" s="28" t="s">
        <v>20</v>
      </c>
      <c r="E319" s="29"/>
      <c r="F319" s="30">
        <v>24</v>
      </c>
      <c r="G319" s="31" t="s">
        <v>43</v>
      </c>
      <c r="H319" s="30">
        <v>12</v>
      </c>
      <c r="I319" s="31" t="s">
        <v>20</v>
      </c>
      <c r="J319" s="32">
        <f>2102400/24/12</f>
        <v>7300</v>
      </c>
      <c r="K319" s="28" t="s">
        <v>20</v>
      </c>
      <c r="L319" s="33"/>
      <c r="M319" s="33">
        <v>0.17</v>
      </c>
      <c r="N319" s="30"/>
      <c r="O319" s="31" t="s">
        <v>20</v>
      </c>
      <c r="P319" s="27">
        <f t="shared" si="81"/>
        <v>60</v>
      </c>
      <c r="Q319" s="31" t="s">
        <v>20</v>
      </c>
      <c r="R319" s="32">
        <f t="shared" si="82"/>
        <v>363540</v>
      </c>
      <c r="S319" s="32">
        <f t="shared" si="58"/>
        <v>327513.51351351349</v>
      </c>
    </row>
    <row r="320" spans="1:19" s="26" customFormat="1">
      <c r="A320" s="94" t="s">
        <v>266</v>
      </c>
      <c r="B320" s="26" t="s">
        <v>26</v>
      </c>
      <c r="C320" s="27">
        <v>96</v>
      </c>
      <c r="D320" s="28" t="s">
        <v>20</v>
      </c>
      <c r="E320" s="29"/>
      <c r="F320" s="30">
        <v>24</v>
      </c>
      <c r="G320" s="31" t="s">
        <v>43</v>
      </c>
      <c r="H320" s="30">
        <v>12</v>
      </c>
      <c r="I320" s="31" t="s">
        <v>20</v>
      </c>
      <c r="J320" s="32">
        <f>2102400/24/12</f>
        <v>7300</v>
      </c>
      <c r="K320" s="28" t="s">
        <v>20</v>
      </c>
      <c r="L320" s="33"/>
      <c r="M320" s="33">
        <v>0.17</v>
      </c>
      <c r="N320" s="30"/>
      <c r="O320" s="31" t="s">
        <v>20</v>
      </c>
      <c r="P320" s="27">
        <f t="shared" si="81"/>
        <v>96</v>
      </c>
      <c r="Q320" s="31" t="s">
        <v>20</v>
      </c>
      <c r="R320" s="32">
        <f t="shared" si="82"/>
        <v>581664</v>
      </c>
      <c r="S320" s="32">
        <f t="shared" si="58"/>
        <v>524021.6216216216</v>
      </c>
    </row>
    <row r="321" spans="1:20">
      <c r="S321" s="23"/>
    </row>
    <row r="322" spans="1:20" ht="15.75">
      <c r="A322" s="14" t="s">
        <v>267</v>
      </c>
      <c r="S322" s="23"/>
    </row>
    <row r="323" spans="1:20" s="17" customFormat="1">
      <c r="A323" s="16" t="s">
        <v>268</v>
      </c>
      <c r="B323" s="17" t="s">
        <v>19</v>
      </c>
      <c r="C323" s="18"/>
      <c r="D323" s="19" t="s">
        <v>34</v>
      </c>
      <c r="E323" s="20"/>
      <c r="F323" s="21">
        <v>1</v>
      </c>
      <c r="G323" s="22" t="s">
        <v>21</v>
      </c>
      <c r="H323" s="21">
        <v>20</v>
      </c>
      <c r="I323" s="22" t="s">
        <v>34</v>
      </c>
      <c r="J323" s="23">
        <f>6200*12</f>
        <v>74400</v>
      </c>
      <c r="K323" s="19" t="s">
        <v>34</v>
      </c>
      <c r="L323" s="24">
        <v>0.125</v>
      </c>
      <c r="M323" s="24">
        <v>0.05</v>
      </c>
      <c r="N323" s="21"/>
      <c r="O323" s="22" t="s">
        <v>34</v>
      </c>
      <c r="P323" s="18">
        <f>(C323+(E323*F323*H323))-N323</f>
        <v>0</v>
      </c>
      <c r="Q323" s="22" t="s">
        <v>34</v>
      </c>
      <c r="R323" s="23">
        <f>P323*(J323-(J323*L323)-((J323-(J323*L323))*M323))</f>
        <v>0</v>
      </c>
      <c r="S323" s="23">
        <f t="shared" si="58"/>
        <v>0</v>
      </c>
    </row>
    <row r="324" spans="1:20" s="17" customFormat="1">
      <c r="A324" s="16" t="s">
        <v>269</v>
      </c>
      <c r="B324" s="17" t="s">
        <v>19</v>
      </c>
      <c r="C324" s="18"/>
      <c r="D324" s="19" t="s">
        <v>34</v>
      </c>
      <c r="E324" s="20"/>
      <c r="F324" s="21">
        <v>1</v>
      </c>
      <c r="G324" s="22" t="s">
        <v>21</v>
      </c>
      <c r="H324" s="21">
        <v>20</v>
      </c>
      <c r="I324" s="22" t="s">
        <v>34</v>
      </c>
      <c r="J324" s="23">
        <f>6800*12</f>
        <v>81600</v>
      </c>
      <c r="K324" s="19" t="s">
        <v>34</v>
      </c>
      <c r="L324" s="24">
        <v>0.125</v>
      </c>
      <c r="M324" s="24">
        <v>0.05</v>
      </c>
      <c r="N324" s="21"/>
      <c r="O324" s="22" t="s">
        <v>34</v>
      </c>
      <c r="P324" s="18">
        <f>(C324+(E324*F324*H324))-N324</f>
        <v>0</v>
      </c>
      <c r="Q324" s="22" t="s">
        <v>34</v>
      </c>
      <c r="R324" s="23">
        <f>P324*(J324-(J324*L324)-((J324-(J324*L324))*M324))</f>
        <v>0</v>
      </c>
      <c r="S324" s="23">
        <f t="shared" si="58"/>
        <v>0</v>
      </c>
    </row>
    <row r="325" spans="1:20">
      <c r="S325" s="23"/>
    </row>
    <row r="326" spans="1:20" ht="15.75">
      <c r="A326" s="14" t="s">
        <v>270</v>
      </c>
      <c r="S326" s="23"/>
    </row>
    <row r="327" spans="1:20">
      <c r="A327" s="15" t="s">
        <v>271</v>
      </c>
      <c r="S327" s="23"/>
    </row>
    <row r="328" spans="1:20" s="17" customFormat="1">
      <c r="A328" s="16" t="s">
        <v>272</v>
      </c>
      <c r="B328" s="17" t="s">
        <v>26</v>
      </c>
      <c r="C328" s="18"/>
      <c r="D328" s="19" t="s">
        <v>104</v>
      </c>
      <c r="E328" s="20"/>
      <c r="F328" s="21">
        <v>1</v>
      </c>
      <c r="G328" s="22" t="s">
        <v>21</v>
      </c>
      <c r="H328" s="21">
        <v>50</v>
      </c>
      <c r="I328" s="22" t="s">
        <v>104</v>
      </c>
      <c r="J328" s="23">
        <f>740000/50</f>
        <v>14800</v>
      </c>
      <c r="K328" s="19" t="s">
        <v>104</v>
      </c>
      <c r="L328" s="24"/>
      <c r="M328" s="24">
        <v>0.17</v>
      </c>
      <c r="N328" s="21"/>
      <c r="O328" s="22" t="s">
        <v>104</v>
      </c>
      <c r="P328" s="18">
        <f>(C328+(E328*F328*H328))-N328</f>
        <v>0</v>
      </c>
      <c r="Q328" s="22" t="s">
        <v>104</v>
      </c>
      <c r="R328" s="23">
        <f>P328*(J328-(J328*L328)-((J328-(J328*L328))*M328))</f>
        <v>0</v>
      </c>
      <c r="S328" s="23">
        <f t="shared" si="58"/>
        <v>0</v>
      </c>
    </row>
    <row r="329" spans="1:20">
      <c r="A329" s="15" t="s">
        <v>273</v>
      </c>
      <c r="S329" s="23"/>
    </row>
    <row r="330" spans="1:20" s="17" customFormat="1">
      <c r="A330" s="25" t="s">
        <v>274</v>
      </c>
      <c r="B330" s="26" t="s">
        <v>275</v>
      </c>
      <c r="C330" s="27">
        <v>250</v>
      </c>
      <c r="D330" s="28" t="s">
        <v>104</v>
      </c>
      <c r="E330" s="29"/>
      <c r="F330" s="30">
        <v>1</v>
      </c>
      <c r="G330" s="31" t="s">
        <v>21</v>
      </c>
      <c r="H330" s="30">
        <v>50</v>
      </c>
      <c r="I330" s="31" t="s">
        <v>104</v>
      </c>
      <c r="J330" s="32">
        <v>32500</v>
      </c>
      <c r="K330" s="28" t="s">
        <v>104</v>
      </c>
      <c r="L330" s="33"/>
      <c r="M330" s="33"/>
      <c r="N330" s="30"/>
      <c r="O330" s="31" t="s">
        <v>104</v>
      </c>
      <c r="P330" s="27">
        <f>(C330+(E330*F330*H330))-N330</f>
        <v>250</v>
      </c>
      <c r="Q330" s="31" t="s">
        <v>104</v>
      </c>
      <c r="R330" s="32">
        <f>P330*(J330-(J330*L330)-((J330-(J330*L330))*M330))</f>
        <v>8125000</v>
      </c>
      <c r="S330" s="32">
        <f t="shared" ref="S330:S406" si="83">R330/1.11</f>
        <v>7319819.8198198192</v>
      </c>
      <c r="T330" s="26"/>
    </row>
    <row r="331" spans="1:20">
      <c r="S331" s="23"/>
    </row>
    <row r="332" spans="1:20" ht="15.75">
      <c r="A332" s="14" t="s">
        <v>276</v>
      </c>
      <c r="S332" s="23"/>
    </row>
    <row r="333" spans="1:20" s="17" customFormat="1">
      <c r="A333" s="16" t="s">
        <v>277</v>
      </c>
      <c r="B333" s="17" t="s">
        <v>19</v>
      </c>
      <c r="C333" s="18"/>
      <c r="D333" s="19" t="s">
        <v>108</v>
      </c>
      <c r="E333" s="20"/>
      <c r="F333" s="21">
        <v>8</v>
      </c>
      <c r="G333" s="22" t="s">
        <v>34</v>
      </c>
      <c r="H333" s="21">
        <v>25</v>
      </c>
      <c r="I333" s="22" t="s">
        <v>108</v>
      </c>
      <c r="J333" s="23">
        <v>4000</v>
      </c>
      <c r="K333" s="19" t="s">
        <v>108</v>
      </c>
      <c r="L333" s="24">
        <v>0.125</v>
      </c>
      <c r="M333" s="24">
        <v>0.05</v>
      </c>
      <c r="N333" s="21"/>
      <c r="O333" s="22" t="s">
        <v>108</v>
      </c>
      <c r="P333" s="18">
        <f>(C333+(E333*F333*H333))-N333</f>
        <v>0</v>
      </c>
      <c r="Q333" s="22" t="s">
        <v>108</v>
      </c>
      <c r="R333" s="23">
        <f>P333*(J333-(J333*L333)-((J333-(J333*L333))*M333))</f>
        <v>0</v>
      </c>
      <c r="S333" s="23">
        <f t="shared" si="83"/>
        <v>0</v>
      </c>
    </row>
    <row r="334" spans="1:20" s="26" customFormat="1">
      <c r="A334" s="25" t="s">
        <v>278</v>
      </c>
      <c r="B334" s="26" t="s">
        <v>19</v>
      </c>
      <c r="C334" s="27">
        <v>8</v>
      </c>
      <c r="D334" s="28" t="s">
        <v>80</v>
      </c>
      <c r="E334" s="29"/>
      <c r="F334" s="30">
        <v>1</v>
      </c>
      <c r="G334" s="31" t="s">
        <v>21</v>
      </c>
      <c r="H334" s="30">
        <v>48</v>
      </c>
      <c r="I334" s="31" t="s">
        <v>80</v>
      </c>
      <c r="J334" s="32">
        <v>30000</v>
      </c>
      <c r="K334" s="28" t="s">
        <v>80</v>
      </c>
      <c r="L334" s="33">
        <v>0.125</v>
      </c>
      <c r="M334" s="33">
        <v>0.05</v>
      </c>
      <c r="N334" s="30"/>
      <c r="O334" s="31" t="s">
        <v>80</v>
      </c>
      <c r="P334" s="27">
        <f>(C334+(E334*F334*H334))-N334</f>
        <v>8</v>
      </c>
      <c r="Q334" s="31" t="s">
        <v>80</v>
      </c>
      <c r="R334" s="32">
        <f>P334*(J334-(J334*L334)-((J334-(J334*L334))*M334))</f>
        <v>199500</v>
      </c>
      <c r="S334" s="32">
        <f t="shared" si="83"/>
        <v>179729.7297297297</v>
      </c>
    </row>
    <row r="335" spans="1:20" s="63" customFormat="1">
      <c r="A335" s="72" t="s">
        <v>279</v>
      </c>
      <c r="B335" s="63" t="s">
        <v>19</v>
      </c>
      <c r="C335" s="64">
        <v>48</v>
      </c>
      <c r="D335" s="65" t="s">
        <v>80</v>
      </c>
      <c r="E335" s="66"/>
      <c r="F335" s="67">
        <v>1</v>
      </c>
      <c r="G335" s="68" t="s">
        <v>21</v>
      </c>
      <c r="H335" s="67">
        <v>48</v>
      </c>
      <c r="I335" s="68" t="s">
        <v>80</v>
      </c>
      <c r="J335" s="69">
        <v>22300</v>
      </c>
      <c r="K335" s="65" t="s">
        <v>80</v>
      </c>
      <c r="L335" s="70">
        <v>0.125</v>
      </c>
      <c r="M335" s="70">
        <v>0.05</v>
      </c>
      <c r="N335" s="67">
        <v>48</v>
      </c>
      <c r="O335" s="68" t="s">
        <v>80</v>
      </c>
      <c r="P335" s="64">
        <f>(C335+(E335*F335*H335))-N335</f>
        <v>0</v>
      </c>
      <c r="Q335" s="68" t="s">
        <v>80</v>
      </c>
      <c r="R335" s="69">
        <f>P335*(J335-(J335*L335)-((J335-(J335*L335))*M335))</f>
        <v>0</v>
      </c>
      <c r="S335" s="23">
        <f t="shared" si="83"/>
        <v>0</v>
      </c>
    </row>
    <row r="336" spans="1:20" s="63" customFormat="1">
      <c r="A336" s="72"/>
      <c r="C336" s="64"/>
      <c r="D336" s="65"/>
      <c r="E336" s="66"/>
      <c r="F336" s="67"/>
      <c r="G336" s="68"/>
      <c r="H336" s="67"/>
      <c r="I336" s="68"/>
      <c r="J336" s="69"/>
      <c r="K336" s="65"/>
      <c r="L336" s="70"/>
      <c r="M336" s="70"/>
      <c r="N336" s="67"/>
      <c r="O336" s="68"/>
      <c r="P336" s="64"/>
      <c r="Q336" s="68"/>
      <c r="R336" s="69"/>
      <c r="S336" s="23"/>
    </row>
    <row r="337" spans="1:19" s="17" customFormat="1">
      <c r="A337" s="16" t="s">
        <v>280</v>
      </c>
      <c r="B337" s="17" t="s">
        <v>26</v>
      </c>
      <c r="C337" s="18"/>
      <c r="D337" s="19" t="s">
        <v>108</v>
      </c>
      <c r="E337" s="20"/>
      <c r="F337" s="21">
        <v>80</v>
      </c>
      <c r="G337" s="22" t="s">
        <v>34</v>
      </c>
      <c r="H337" s="21">
        <v>25</v>
      </c>
      <c r="I337" s="22" t="s">
        <v>108</v>
      </c>
      <c r="J337" s="23">
        <v>4500</v>
      </c>
      <c r="K337" s="19" t="s">
        <v>108</v>
      </c>
      <c r="L337" s="24"/>
      <c r="M337" s="24">
        <v>0.17</v>
      </c>
      <c r="N337" s="21"/>
      <c r="O337" s="22" t="s">
        <v>108</v>
      </c>
      <c r="P337" s="18">
        <f>(C337+(E337*F337*H337))-N337</f>
        <v>0</v>
      </c>
      <c r="Q337" s="22" t="s">
        <v>108</v>
      </c>
      <c r="R337" s="23">
        <f>P337*(J337-(J337*L337)-((J337-(J337*L337))*M337))</f>
        <v>0</v>
      </c>
      <c r="S337" s="23">
        <f t="shared" si="83"/>
        <v>0</v>
      </c>
    </row>
    <row r="338" spans="1:19" s="17" customFormat="1">
      <c r="A338" s="16" t="s">
        <v>281</v>
      </c>
      <c r="B338" s="17" t="s">
        <v>26</v>
      </c>
      <c r="C338" s="18"/>
      <c r="D338" s="19" t="s">
        <v>80</v>
      </c>
      <c r="E338" s="20"/>
      <c r="F338" s="21">
        <v>1</v>
      </c>
      <c r="G338" s="22" t="s">
        <v>21</v>
      </c>
      <c r="H338" s="21">
        <v>48</v>
      </c>
      <c r="I338" s="22" t="s">
        <v>80</v>
      </c>
      <c r="J338" s="23">
        <v>23500</v>
      </c>
      <c r="K338" s="19" t="s">
        <v>80</v>
      </c>
      <c r="L338" s="24"/>
      <c r="M338" s="24">
        <v>0.17</v>
      </c>
      <c r="N338" s="21"/>
      <c r="O338" s="22" t="s">
        <v>80</v>
      </c>
      <c r="P338" s="18">
        <f>(C338+(E338*F338*H338))-N338</f>
        <v>0</v>
      </c>
      <c r="Q338" s="22" t="s">
        <v>80</v>
      </c>
      <c r="R338" s="23">
        <f>P338*(J338-(J338*L338)-((J338-(J338*L338))*M338))</f>
        <v>0</v>
      </c>
      <c r="S338" s="23">
        <f t="shared" si="83"/>
        <v>0</v>
      </c>
    </row>
    <row r="339" spans="1:19">
      <c r="S339" s="23"/>
    </row>
    <row r="340" spans="1:19" ht="15.75">
      <c r="A340" s="14" t="s">
        <v>282</v>
      </c>
      <c r="S340" s="23"/>
    </row>
    <row r="341" spans="1:19" s="45" customFormat="1">
      <c r="A341" s="44" t="s">
        <v>283</v>
      </c>
      <c r="B341" s="45" t="s">
        <v>19</v>
      </c>
      <c r="C341" s="46">
        <v>34</v>
      </c>
      <c r="D341" s="47" t="s">
        <v>162</v>
      </c>
      <c r="E341" s="48">
        <f>2+3+2</f>
        <v>7</v>
      </c>
      <c r="F341" s="49">
        <v>10</v>
      </c>
      <c r="G341" s="50" t="s">
        <v>34</v>
      </c>
      <c r="H341" s="49">
        <v>24</v>
      </c>
      <c r="I341" s="50" t="s">
        <v>162</v>
      </c>
      <c r="J341" s="51">
        <v>8800</v>
      </c>
      <c r="K341" s="47" t="s">
        <v>162</v>
      </c>
      <c r="L341" s="52">
        <v>0.125</v>
      </c>
      <c r="M341" s="52">
        <v>0.05</v>
      </c>
      <c r="N341" s="49">
        <f>240+240+240+240</f>
        <v>960</v>
      </c>
      <c r="O341" s="50" t="s">
        <v>162</v>
      </c>
      <c r="P341" s="46">
        <f t="shared" ref="P341:P347" si="84">(C341+(E341*F341*H341))-N341</f>
        <v>754</v>
      </c>
      <c r="Q341" s="50" t="s">
        <v>162</v>
      </c>
      <c r="R341" s="51">
        <f t="shared" ref="R341:R347" si="85">P341*(J341-(J341*L341)-((J341-(J341*L341))*M341))</f>
        <v>5515510</v>
      </c>
      <c r="S341" s="32">
        <f t="shared" si="83"/>
        <v>4968927.9279279271</v>
      </c>
    </row>
    <row r="342" spans="1:19" s="17" customFormat="1">
      <c r="A342" s="16" t="s">
        <v>284</v>
      </c>
      <c r="B342" s="17" t="s">
        <v>19</v>
      </c>
      <c r="C342" s="18"/>
      <c r="D342" s="19" t="s">
        <v>162</v>
      </c>
      <c r="E342" s="20"/>
      <c r="F342" s="21">
        <v>6</v>
      </c>
      <c r="G342" s="22" t="s">
        <v>34</v>
      </c>
      <c r="H342" s="21">
        <v>24</v>
      </c>
      <c r="I342" s="22" t="s">
        <v>162</v>
      </c>
      <c r="J342" s="23">
        <v>29500</v>
      </c>
      <c r="K342" s="19" t="s">
        <v>162</v>
      </c>
      <c r="L342" s="24">
        <v>0.125</v>
      </c>
      <c r="M342" s="24">
        <v>0.05</v>
      </c>
      <c r="N342" s="21">
        <v>6</v>
      </c>
      <c r="O342" s="22" t="s">
        <v>162</v>
      </c>
      <c r="P342" s="18">
        <f t="shared" si="84"/>
        <v>-6</v>
      </c>
      <c r="Q342" s="22" t="s">
        <v>162</v>
      </c>
      <c r="R342" s="23">
        <f t="shared" si="85"/>
        <v>-147131.25</v>
      </c>
      <c r="S342" s="23">
        <f t="shared" si="83"/>
        <v>-132550.67567567565</v>
      </c>
    </row>
    <row r="343" spans="1:19" s="17" customFormat="1">
      <c r="A343" s="16" t="s">
        <v>285</v>
      </c>
      <c r="B343" s="17" t="s">
        <v>19</v>
      </c>
      <c r="C343" s="18"/>
      <c r="D343" s="19" t="s">
        <v>162</v>
      </c>
      <c r="E343" s="20"/>
      <c r="F343" s="21">
        <v>12</v>
      </c>
      <c r="G343" s="22" t="s">
        <v>34</v>
      </c>
      <c r="H343" s="21">
        <v>12</v>
      </c>
      <c r="I343" s="22" t="s">
        <v>162</v>
      </c>
      <c r="J343" s="23">
        <v>19600</v>
      </c>
      <c r="K343" s="19" t="s">
        <v>162</v>
      </c>
      <c r="L343" s="24">
        <v>0.125</v>
      </c>
      <c r="M343" s="24">
        <v>0.05</v>
      </c>
      <c r="N343" s="21"/>
      <c r="O343" s="22" t="s">
        <v>162</v>
      </c>
      <c r="P343" s="18">
        <f t="shared" si="84"/>
        <v>0</v>
      </c>
      <c r="Q343" s="22" t="s">
        <v>162</v>
      </c>
      <c r="R343" s="23">
        <f t="shared" si="85"/>
        <v>0</v>
      </c>
      <c r="S343" s="23">
        <f t="shared" si="83"/>
        <v>0</v>
      </c>
    </row>
    <row r="344" spans="1:19" s="26" customFormat="1">
      <c r="A344" s="25" t="s">
        <v>286</v>
      </c>
      <c r="B344" s="26" t="s">
        <v>19</v>
      </c>
      <c r="C344" s="27">
        <v>516</v>
      </c>
      <c r="D344" s="28" t="s">
        <v>162</v>
      </c>
      <c r="E344" s="29"/>
      <c r="F344" s="30">
        <v>12</v>
      </c>
      <c r="G344" s="31" t="s">
        <v>34</v>
      </c>
      <c r="H344" s="30">
        <v>12</v>
      </c>
      <c r="I344" s="31" t="s">
        <v>162</v>
      </c>
      <c r="J344" s="32">
        <v>18500</v>
      </c>
      <c r="K344" s="28" t="s">
        <v>162</v>
      </c>
      <c r="L344" s="33">
        <v>0.125</v>
      </c>
      <c r="M344" s="33">
        <v>0.05</v>
      </c>
      <c r="N344" s="30">
        <v>60</v>
      </c>
      <c r="O344" s="31" t="s">
        <v>162</v>
      </c>
      <c r="P344" s="27">
        <f t="shared" si="84"/>
        <v>456</v>
      </c>
      <c r="Q344" s="31" t="s">
        <v>162</v>
      </c>
      <c r="R344" s="32">
        <f t="shared" si="85"/>
        <v>7012425</v>
      </c>
      <c r="S344" s="32">
        <f t="shared" si="83"/>
        <v>6317499.9999999991</v>
      </c>
    </row>
    <row r="345" spans="1:19" s="26" customFormat="1">
      <c r="A345" s="25" t="s">
        <v>287</v>
      </c>
      <c r="B345" s="26" t="s">
        <v>19</v>
      </c>
      <c r="C345" s="27">
        <v>24</v>
      </c>
      <c r="D345" s="28" t="s">
        <v>162</v>
      </c>
      <c r="E345" s="29"/>
      <c r="F345" s="30">
        <v>10</v>
      </c>
      <c r="G345" s="31" t="s">
        <v>34</v>
      </c>
      <c r="H345" s="30">
        <v>24</v>
      </c>
      <c r="I345" s="31" t="s">
        <v>162</v>
      </c>
      <c r="J345" s="32">
        <v>10600</v>
      </c>
      <c r="K345" s="28" t="s">
        <v>162</v>
      </c>
      <c r="L345" s="33">
        <v>0.125</v>
      </c>
      <c r="M345" s="33">
        <v>0.05</v>
      </c>
      <c r="N345" s="30"/>
      <c r="O345" s="31" t="s">
        <v>162</v>
      </c>
      <c r="P345" s="27">
        <f t="shared" si="84"/>
        <v>24</v>
      </c>
      <c r="Q345" s="31" t="s">
        <v>162</v>
      </c>
      <c r="R345" s="32">
        <f t="shared" si="85"/>
        <v>211470</v>
      </c>
      <c r="S345" s="32">
        <f t="shared" si="83"/>
        <v>190513.51351351349</v>
      </c>
    </row>
    <row r="346" spans="1:19" s="26" customFormat="1">
      <c r="A346" s="25" t="s">
        <v>288</v>
      </c>
      <c r="B346" s="26" t="s">
        <v>19</v>
      </c>
      <c r="C346" s="27">
        <v>179</v>
      </c>
      <c r="D346" s="28" t="s">
        <v>162</v>
      </c>
      <c r="E346" s="29"/>
      <c r="F346" s="30">
        <v>20</v>
      </c>
      <c r="G346" s="31" t="s">
        <v>34</v>
      </c>
      <c r="H346" s="30">
        <v>12</v>
      </c>
      <c r="I346" s="31" t="s">
        <v>162</v>
      </c>
      <c r="J346" s="32">
        <v>4000</v>
      </c>
      <c r="K346" s="28" t="s">
        <v>162</v>
      </c>
      <c r="L346" s="33">
        <v>0.4</v>
      </c>
      <c r="M346" s="33">
        <v>0.05</v>
      </c>
      <c r="N346" s="30">
        <v>12</v>
      </c>
      <c r="O346" s="31" t="s">
        <v>162</v>
      </c>
      <c r="P346" s="27">
        <f t="shared" si="84"/>
        <v>167</v>
      </c>
      <c r="Q346" s="31" t="s">
        <v>162</v>
      </c>
      <c r="R346" s="32">
        <f t="shared" si="85"/>
        <v>380760</v>
      </c>
      <c r="S346" s="32">
        <f t="shared" si="83"/>
        <v>343027.02702702698</v>
      </c>
    </row>
    <row r="347" spans="1:19" s="26" customFormat="1">
      <c r="A347" s="25" t="s">
        <v>843</v>
      </c>
      <c r="B347" s="26" t="s">
        <v>19</v>
      </c>
      <c r="C347" s="27">
        <v>228</v>
      </c>
      <c r="D347" s="28" t="s">
        <v>162</v>
      </c>
      <c r="E347" s="29"/>
      <c r="F347" s="30">
        <v>12</v>
      </c>
      <c r="G347" s="31" t="s">
        <v>34</v>
      </c>
      <c r="H347" s="30">
        <v>12</v>
      </c>
      <c r="I347" s="31" t="s">
        <v>162</v>
      </c>
      <c r="J347" s="32">
        <v>34500</v>
      </c>
      <c r="K347" s="28" t="s">
        <v>162</v>
      </c>
      <c r="L347" s="33">
        <v>0.125</v>
      </c>
      <c r="M347" s="33">
        <v>0.05</v>
      </c>
      <c r="N347" s="30">
        <v>12</v>
      </c>
      <c r="O347" s="31" t="s">
        <v>162</v>
      </c>
      <c r="P347" s="27">
        <f t="shared" si="84"/>
        <v>216</v>
      </c>
      <c r="Q347" s="31" t="s">
        <v>162</v>
      </c>
      <c r="R347" s="32">
        <f t="shared" si="85"/>
        <v>6194475</v>
      </c>
      <c r="S347" s="32">
        <f t="shared" si="83"/>
        <v>5580608.1081081079</v>
      </c>
    </row>
    <row r="348" spans="1:19">
      <c r="S348" s="23"/>
    </row>
    <row r="349" spans="1:19" ht="15.75">
      <c r="A349" s="14" t="s">
        <v>289</v>
      </c>
      <c r="S349" s="23"/>
    </row>
    <row r="350" spans="1:19">
      <c r="A350" s="15" t="s">
        <v>290</v>
      </c>
      <c r="S350" s="23"/>
    </row>
    <row r="351" spans="1:19" s="45" customFormat="1">
      <c r="A351" s="44" t="s">
        <v>291</v>
      </c>
      <c r="B351" s="45" t="s">
        <v>19</v>
      </c>
      <c r="C351" s="46">
        <v>270</v>
      </c>
      <c r="D351" s="47" t="s">
        <v>292</v>
      </c>
      <c r="E351" s="48">
        <f>3+1</f>
        <v>4</v>
      </c>
      <c r="F351" s="49">
        <v>100</v>
      </c>
      <c r="G351" s="50" t="s">
        <v>104</v>
      </c>
      <c r="H351" s="49">
        <v>10</v>
      </c>
      <c r="I351" s="50" t="s">
        <v>292</v>
      </c>
      <c r="J351" s="51">
        <v>2050</v>
      </c>
      <c r="K351" s="47" t="s">
        <v>292</v>
      </c>
      <c r="L351" s="52">
        <v>0.125</v>
      </c>
      <c r="M351" s="52">
        <v>0.05</v>
      </c>
      <c r="N351" s="49">
        <f>1000+1000+1000</f>
        <v>3000</v>
      </c>
      <c r="O351" s="50" t="s">
        <v>292</v>
      </c>
      <c r="P351" s="46">
        <f t="shared" ref="P351:P363" si="86">(C351+(E351*F351*H351))-N351</f>
        <v>1270</v>
      </c>
      <c r="Q351" s="50" t="s">
        <v>292</v>
      </c>
      <c r="R351" s="51">
        <f t="shared" ref="R351:R363" si="87">P351*(J351-(J351*L351)-((J351-(J351*L351))*M351))</f>
        <v>2164159.375</v>
      </c>
      <c r="S351" s="51">
        <f t="shared" si="83"/>
        <v>1949693.1306306305</v>
      </c>
    </row>
    <row r="352" spans="1:19" s="45" customFormat="1">
      <c r="A352" s="44" t="s">
        <v>293</v>
      </c>
      <c r="B352" s="45" t="s">
        <v>19</v>
      </c>
      <c r="C352" s="46"/>
      <c r="D352" s="47" t="s">
        <v>292</v>
      </c>
      <c r="E352" s="48">
        <f>1+3+1</f>
        <v>5</v>
      </c>
      <c r="F352" s="49">
        <v>100</v>
      </c>
      <c r="G352" s="50" t="s">
        <v>104</v>
      </c>
      <c r="H352" s="49">
        <v>10</v>
      </c>
      <c r="I352" s="50" t="s">
        <v>292</v>
      </c>
      <c r="J352" s="51">
        <v>3000</v>
      </c>
      <c r="K352" s="47" t="s">
        <v>292</v>
      </c>
      <c r="L352" s="52">
        <v>0.125</v>
      </c>
      <c r="M352" s="52">
        <v>0.05</v>
      </c>
      <c r="N352" s="49">
        <f>100+(30*10)+1000+1000</f>
        <v>2400</v>
      </c>
      <c r="O352" s="50" t="s">
        <v>292</v>
      </c>
      <c r="P352" s="46">
        <f t="shared" si="86"/>
        <v>2600</v>
      </c>
      <c r="Q352" s="50" t="s">
        <v>292</v>
      </c>
      <c r="R352" s="51">
        <f t="shared" si="87"/>
        <v>6483750</v>
      </c>
      <c r="S352" s="32">
        <f t="shared" si="83"/>
        <v>5841216.2162162159</v>
      </c>
    </row>
    <row r="353" spans="1:19" s="45" customFormat="1">
      <c r="A353" s="44" t="s">
        <v>294</v>
      </c>
      <c r="B353" s="45" t="s">
        <v>19</v>
      </c>
      <c r="C353" s="46"/>
      <c r="D353" s="47" t="s">
        <v>292</v>
      </c>
      <c r="E353" s="48">
        <v>1</v>
      </c>
      <c r="F353" s="49">
        <v>50</v>
      </c>
      <c r="G353" s="50" t="s">
        <v>104</v>
      </c>
      <c r="H353" s="49">
        <v>10</v>
      </c>
      <c r="I353" s="50" t="s">
        <v>292</v>
      </c>
      <c r="J353" s="51">
        <v>3050</v>
      </c>
      <c r="K353" s="47" t="s">
        <v>292</v>
      </c>
      <c r="L353" s="52">
        <v>0.125</v>
      </c>
      <c r="M353" s="52">
        <v>0.05</v>
      </c>
      <c r="N353" s="49"/>
      <c r="O353" s="50" t="s">
        <v>292</v>
      </c>
      <c r="P353" s="46">
        <f t="shared" si="86"/>
        <v>500</v>
      </c>
      <c r="Q353" s="50" t="s">
        <v>292</v>
      </c>
      <c r="R353" s="51">
        <f t="shared" si="87"/>
        <v>1267656.25</v>
      </c>
      <c r="S353" s="51">
        <f t="shared" si="83"/>
        <v>1142032.6576576575</v>
      </c>
    </row>
    <row r="354" spans="1:19" s="45" customFormat="1">
      <c r="A354" s="44" t="s">
        <v>295</v>
      </c>
      <c r="B354" s="45" t="s">
        <v>19</v>
      </c>
      <c r="C354" s="46">
        <v>500</v>
      </c>
      <c r="D354" s="47" t="s">
        <v>292</v>
      </c>
      <c r="E354" s="48">
        <f>3+1</f>
        <v>4</v>
      </c>
      <c r="F354" s="49">
        <v>50</v>
      </c>
      <c r="G354" s="50" t="s">
        <v>104</v>
      </c>
      <c r="H354" s="49">
        <v>10</v>
      </c>
      <c r="I354" s="50" t="s">
        <v>292</v>
      </c>
      <c r="J354" s="51">
        <v>4200</v>
      </c>
      <c r="K354" s="47" t="s">
        <v>292</v>
      </c>
      <c r="L354" s="52">
        <v>0.125</v>
      </c>
      <c r="M354" s="52">
        <v>0.05</v>
      </c>
      <c r="N354" s="49">
        <f>(30*10)+(40*10)+500+(10*10)</f>
        <v>1300</v>
      </c>
      <c r="O354" s="50" t="s">
        <v>292</v>
      </c>
      <c r="P354" s="46">
        <f t="shared" si="86"/>
        <v>1200</v>
      </c>
      <c r="Q354" s="50" t="s">
        <v>292</v>
      </c>
      <c r="R354" s="51">
        <f t="shared" si="87"/>
        <v>4189500</v>
      </c>
      <c r="S354" s="51">
        <f t="shared" si="83"/>
        <v>3774324.3243243238</v>
      </c>
    </row>
    <row r="355" spans="1:19" s="45" customFormat="1">
      <c r="A355" s="108" t="s">
        <v>296</v>
      </c>
      <c r="B355" s="45" t="s">
        <v>19</v>
      </c>
      <c r="C355" s="46">
        <v>1500</v>
      </c>
      <c r="D355" s="47" t="s">
        <v>292</v>
      </c>
      <c r="E355" s="48">
        <v>1</v>
      </c>
      <c r="F355" s="49">
        <v>50</v>
      </c>
      <c r="G355" s="50" t="s">
        <v>104</v>
      </c>
      <c r="H355" s="49">
        <v>10</v>
      </c>
      <c r="I355" s="50" t="s">
        <v>292</v>
      </c>
      <c r="J355" s="51">
        <v>4300</v>
      </c>
      <c r="K355" s="47" t="s">
        <v>292</v>
      </c>
      <c r="L355" s="52">
        <v>0.125</v>
      </c>
      <c r="M355" s="52">
        <v>0.05</v>
      </c>
      <c r="N355" s="49">
        <v>500</v>
      </c>
      <c r="O355" s="50" t="s">
        <v>292</v>
      </c>
      <c r="P355" s="46">
        <f t="shared" si="86"/>
        <v>1500</v>
      </c>
      <c r="Q355" s="50" t="s">
        <v>292</v>
      </c>
      <c r="R355" s="51">
        <f t="shared" si="87"/>
        <v>5361562.5</v>
      </c>
      <c r="S355" s="32">
        <f t="shared" si="83"/>
        <v>4830236.4864864862</v>
      </c>
    </row>
    <row r="356" spans="1:19" s="17" customFormat="1">
      <c r="A356" s="109" t="s">
        <v>297</v>
      </c>
      <c r="B356" s="17" t="s">
        <v>19</v>
      </c>
      <c r="C356" s="18"/>
      <c r="D356" s="19" t="s">
        <v>292</v>
      </c>
      <c r="E356" s="20"/>
      <c r="F356" s="21">
        <v>100</v>
      </c>
      <c r="G356" s="22" t="s">
        <v>104</v>
      </c>
      <c r="H356" s="21">
        <v>10</v>
      </c>
      <c r="I356" s="22" t="s">
        <v>292</v>
      </c>
      <c r="J356" s="23">
        <v>3000</v>
      </c>
      <c r="K356" s="19" t="s">
        <v>292</v>
      </c>
      <c r="L356" s="24">
        <v>0.125</v>
      </c>
      <c r="M356" s="24">
        <v>0.05</v>
      </c>
      <c r="N356" s="21"/>
      <c r="O356" s="22" t="s">
        <v>292</v>
      </c>
      <c r="P356" s="18">
        <f t="shared" si="86"/>
        <v>0</v>
      </c>
      <c r="Q356" s="22" t="s">
        <v>292</v>
      </c>
      <c r="R356" s="23">
        <f t="shared" si="87"/>
        <v>0</v>
      </c>
      <c r="S356" s="23">
        <f t="shared" si="83"/>
        <v>0</v>
      </c>
    </row>
    <row r="357" spans="1:19" s="17" customFormat="1">
      <c r="A357" s="109" t="s">
        <v>298</v>
      </c>
      <c r="B357" s="17" t="s">
        <v>19</v>
      </c>
      <c r="C357" s="18"/>
      <c r="D357" s="19" t="s">
        <v>292</v>
      </c>
      <c r="E357" s="20"/>
      <c r="F357" s="21">
        <v>100</v>
      </c>
      <c r="G357" s="22" t="s">
        <v>104</v>
      </c>
      <c r="H357" s="21">
        <v>10</v>
      </c>
      <c r="I357" s="22" t="s">
        <v>292</v>
      </c>
      <c r="J357" s="23">
        <v>3000</v>
      </c>
      <c r="K357" s="19" t="s">
        <v>292</v>
      </c>
      <c r="L357" s="24">
        <v>0.125</v>
      </c>
      <c r="M357" s="24">
        <v>0.05</v>
      </c>
      <c r="N357" s="21"/>
      <c r="O357" s="22" t="s">
        <v>292</v>
      </c>
      <c r="P357" s="18">
        <f t="shared" si="86"/>
        <v>0</v>
      </c>
      <c r="Q357" s="22" t="s">
        <v>292</v>
      </c>
      <c r="R357" s="23">
        <f t="shared" si="87"/>
        <v>0</v>
      </c>
      <c r="S357" s="23">
        <f t="shared" si="83"/>
        <v>0</v>
      </c>
    </row>
    <row r="358" spans="1:19" s="17" customFormat="1">
      <c r="A358" s="109" t="s">
        <v>299</v>
      </c>
      <c r="B358" s="17" t="s">
        <v>19</v>
      </c>
      <c r="C358" s="18"/>
      <c r="D358" s="19" t="s">
        <v>292</v>
      </c>
      <c r="E358" s="20"/>
      <c r="F358" s="21">
        <v>50</v>
      </c>
      <c r="G358" s="22" t="s">
        <v>104</v>
      </c>
      <c r="H358" s="21">
        <v>10</v>
      </c>
      <c r="I358" s="22" t="s">
        <v>292</v>
      </c>
      <c r="J358" s="23">
        <v>4300</v>
      </c>
      <c r="K358" s="19" t="s">
        <v>292</v>
      </c>
      <c r="L358" s="24">
        <v>0.125</v>
      </c>
      <c r="M358" s="24">
        <v>0.05</v>
      </c>
      <c r="N358" s="21"/>
      <c r="O358" s="22" t="s">
        <v>292</v>
      </c>
      <c r="P358" s="18">
        <f t="shared" si="86"/>
        <v>0</v>
      </c>
      <c r="Q358" s="22" t="s">
        <v>292</v>
      </c>
      <c r="R358" s="23">
        <f t="shared" si="87"/>
        <v>0</v>
      </c>
      <c r="S358" s="23">
        <f t="shared" si="83"/>
        <v>0</v>
      </c>
    </row>
    <row r="359" spans="1:19" s="17" customFormat="1">
      <c r="A359" s="109" t="s">
        <v>300</v>
      </c>
      <c r="B359" s="17" t="s">
        <v>19</v>
      </c>
      <c r="C359" s="18"/>
      <c r="D359" s="19" t="s">
        <v>104</v>
      </c>
      <c r="E359" s="20"/>
      <c r="F359" s="21">
        <v>1</v>
      </c>
      <c r="G359" s="22" t="s">
        <v>21</v>
      </c>
      <c r="H359" s="21">
        <v>50</v>
      </c>
      <c r="I359" s="22" t="s">
        <v>104</v>
      </c>
      <c r="J359" s="23">
        <v>15500</v>
      </c>
      <c r="K359" s="19" t="s">
        <v>104</v>
      </c>
      <c r="L359" s="24">
        <v>0.125</v>
      </c>
      <c r="M359" s="24">
        <v>0.05</v>
      </c>
      <c r="N359" s="21"/>
      <c r="O359" s="22" t="s">
        <v>104</v>
      </c>
      <c r="P359" s="18">
        <f t="shared" si="86"/>
        <v>0</v>
      </c>
      <c r="Q359" s="22" t="s">
        <v>104</v>
      </c>
      <c r="R359" s="23">
        <f t="shared" si="87"/>
        <v>0</v>
      </c>
      <c r="S359" s="23">
        <f t="shared" si="83"/>
        <v>0</v>
      </c>
    </row>
    <row r="360" spans="1:19" s="17" customFormat="1">
      <c r="A360" s="71"/>
      <c r="C360" s="18"/>
      <c r="D360" s="19"/>
      <c r="E360" s="20"/>
      <c r="F360" s="21"/>
      <c r="G360" s="22"/>
      <c r="H360" s="21"/>
      <c r="I360" s="22"/>
      <c r="J360" s="23"/>
      <c r="K360" s="19"/>
      <c r="L360" s="24"/>
      <c r="M360" s="24"/>
      <c r="N360" s="21"/>
      <c r="O360" s="22"/>
      <c r="P360" s="18"/>
      <c r="Q360" s="22"/>
      <c r="R360" s="23"/>
      <c r="S360" s="23"/>
    </row>
    <row r="361" spans="1:19" s="45" customFormat="1">
      <c r="A361" s="44" t="s">
        <v>301</v>
      </c>
      <c r="B361" s="45" t="s">
        <v>26</v>
      </c>
      <c r="C361" s="46">
        <v>300</v>
      </c>
      <c r="D361" s="47" t="s">
        <v>302</v>
      </c>
      <c r="E361" s="48">
        <f>2+1</f>
        <v>3</v>
      </c>
      <c r="F361" s="49">
        <v>1</v>
      </c>
      <c r="G361" s="50" t="s">
        <v>21</v>
      </c>
      <c r="H361" s="49">
        <v>50</v>
      </c>
      <c r="I361" s="50" t="s">
        <v>302</v>
      </c>
      <c r="J361" s="51">
        <f>1050000/50</f>
        <v>21000</v>
      </c>
      <c r="K361" s="47" t="s">
        <v>302</v>
      </c>
      <c r="L361" s="52"/>
      <c r="M361" s="52">
        <v>0.17</v>
      </c>
      <c r="N361" s="49">
        <f>(500/10)+30+(1000/10)+10</f>
        <v>190</v>
      </c>
      <c r="O361" s="50" t="s">
        <v>302</v>
      </c>
      <c r="P361" s="46">
        <f t="shared" si="86"/>
        <v>260</v>
      </c>
      <c r="Q361" s="50" t="s">
        <v>302</v>
      </c>
      <c r="R361" s="51">
        <f t="shared" si="87"/>
        <v>4531800</v>
      </c>
      <c r="S361" s="51">
        <f t="shared" si="83"/>
        <v>4082702.7027027025</v>
      </c>
    </row>
    <row r="362" spans="1:19">
      <c r="A362" s="159" t="s">
        <v>303</v>
      </c>
      <c r="B362" s="160" t="s">
        <v>26</v>
      </c>
      <c r="C362" s="161">
        <v>230</v>
      </c>
      <c r="D362" s="162" t="s">
        <v>302</v>
      </c>
      <c r="E362" s="163"/>
      <c r="F362" s="164">
        <v>1</v>
      </c>
      <c r="G362" s="165" t="s">
        <v>21</v>
      </c>
      <c r="H362" s="164">
        <v>50</v>
      </c>
      <c r="I362" s="165" t="s">
        <v>302</v>
      </c>
      <c r="J362" s="166">
        <f>1275000/50</f>
        <v>25500</v>
      </c>
      <c r="K362" s="162" t="s">
        <v>302</v>
      </c>
      <c r="L362" s="167"/>
      <c r="M362" s="167">
        <v>0.17</v>
      </c>
      <c r="N362" s="164">
        <f>30+30+46</f>
        <v>106</v>
      </c>
      <c r="O362" s="165" t="s">
        <v>302</v>
      </c>
      <c r="P362" s="161">
        <f t="shared" si="86"/>
        <v>124</v>
      </c>
      <c r="Q362" s="165" t="s">
        <v>302</v>
      </c>
      <c r="R362" s="166">
        <f t="shared" si="87"/>
        <v>2624460</v>
      </c>
      <c r="S362" s="42">
        <f t="shared" si="83"/>
        <v>2364378.3783783782</v>
      </c>
    </row>
    <row r="363" spans="1:19">
      <c r="A363" s="159" t="s">
        <v>303</v>
      </c>
      <c r="B363" s="160" t="s">
        <v>26</v>
      </c>
      <c r="C363" s="161">
        <v>250</v>
      </c>
      <c r="D363" s="162" t="s">
        <v>302</v>
      </c>
      <c r="E363" s="163"/>
      <c r="F363" s="164">
        <v>1</v>
      </c>
      <c r="G363" s="165" t="s">
        <v>21</v>
      </c>
      <c r="H363" s="164">
        <v>50</v>
      </c>
      <c r="I363" s="165" t="s">
        <v>302</v>
      </c>
      <c r="J363" s="166">
        <f>1350000/50</f>
        <v>27000</v>
      </c>
      <c r="K363" s="162" t="s">
        <v>302</v>
      </c>
      <c r="L363" s="167"/>
      <c r="M363" s="167">
        <v>0.17</v>
      </c>
      <c r="N363" s="164"/>
      <c r="O363" s="165" t="s">
        <v>302</v>
      </c>
      <c r="P363" s="161">
        <f t="shared" si="86"/>
        <v>250</v>
      </c>
      <c r="Q363" s="165" t="s">
        <v>302</v>
      </c>
      <c r="R363" s="166">
        <f t="shared" si="87"/>
        <v>5602500</v>
      </c>
      <c r="S363" s="42">
        <f t="shared" si="83"/>
        <v>5047297.297297297</v>
      </c>
    </row>
    <row r="364" spans="1:19" s="85" customFormat="1">
      <c r="A364" s="84"/>
      <c r="C364" s="86"/>
      <c r="D364" s="87"/>
      <c r="E364" s="92"/>
      <c r="F364" s="88"/>
      <c r="G364" s="89"/>
      <c r="H364" s="88"/>
      <c r="I364" s="89"/>
      <c r="J364" s="90"/>
      <c r="K364" s="87"/>
      <c r="L364" s="91"/>
      <c r="M364" s="91"/>
      <c r="N364" s="88"/>
      <c r="O364" s="89"/>
      <c r="P364" s="86"/>
      <c r="Q364" s="89"/>
      <c r="R364" s="90"/>
      <c r="S364" s="51"/>
    </row>
    <row r="365" spans="1:19">
      <c r="A365" s="15" t="s">
        <v>304</v>
      </c>
      <c r="S365" s="23"/>
    </row>
    <row r="366" spans="1:19" s="45" customFormat="1">
      <c r="A366" s="44" t="s">
        <v>305</v>
      </c>
      <c r="B366" s="45" t="s">
        <v>19</v>
      </c>
      <c r="C366" s="46">
        <v>14</v>
      </c>
      <c r="D366" s="47" t="s">
        <v>20</v>
      </c>
      <c r="E366" s="48">
        <f>1+2</f>
        <v>3</v>
      </c>
      <c r="F366" s="49">
        <v>1</v>
      </c>
      <c r="G366" s="50" t="s">
        <v>21</v>
      </c>
      <c r="H366" s="49">
        <v>20</v>
      </c>
      <c r="I366" s="50" t="s">
        <v>20</v>
      </c>
      <c r="J366" s="51">
        <v>40500</v>
      </c>
      <c r="K366" s="47" t="s">
        <v>20</v>
      </c>
      <c r="L366" s="52">
        <v>0.125</v>
      </c>
      <c r="M366" s="52">
        <v>0.05</v>
      </c>
      <c r="N366" s="49">
        <f>20+12</f>
        <v>32</v>
      </c>
      <c r="O366" s="50" t="s">
        <v>20</v>
      </c>
      <c r="P366" s="46">
        <f t="shared" ref="P366:P370" si="88">(C366+(E366*F366*H366))-N366</f>
        <v>42</v>
      </c>
      <c r="Q366" s="50" t="s">
        <v>20</v>
      </c>
      <c r="R366" s="51">
        <f t="shared" ref="R366:R370" si="89">P366*(J366-(J366*L366)-((J366-(J366*L366))*M366))</f>
        <v>1413956.25</v>
      </c>
      <c r="S366" s="51">
        <f t="shared" si="83"/>
        <v>1273834.4594594594</v>
      </c>
    </row>
    <row r="367" spans="1:19" s="63" customFormat="1">
      <c r="A367" s="72"/>
      <c r="C367" s="64"/>
      <c r="D367" s="65"/>
      <c r="E367" s="66"/>
      <c r="F367" s="67"/>
      <c r="G367" s="68"/>
      <c r="H367" s="67"/>
      <c r="I367" s="68"/>
      <c r="J367" s="69"/>
      <c r="K367" s="65"/>
      <c r="L367" s="70"/>
      <c r="M367" s="70"/>
      <c r="N367" s="67"/>
      <c r="O367" s="68"/>
      <c r="P367" s="64"/>
      <c r="Q367" s="68"/>
      <c r="R367" s="69"/>
      <c r="S367" s="69"/>
    </row>
    <row r="368" spans="1:19" s="63" customFormat="1">
      <c r="A368" s="72" t="s">
        <v>306</v>
      </c>
      <c r="B368" s="63" t="s">
        <v>26</v>
      </c>
      <c r="C368" s="64"/>
      <c r="D368" s="65" t="s">
        <v>20</v>
      </c>
      <c r="E368" s="66"/>
      <c r="F368" s="67">
        <v>1</v>
      </c>
      <c r="G368" s="68" t="s">
        <v>21</v>
      </c>
      <c r="H368" s="67">
        <v>50</v>
      </c>
      <c r="I368" s="68" t="s">
        <v>20</v>
      </c>
      <c r="J368" s="69">
        <f>2250000/50</f>
        <v>45000</v>
      </c>
      <c r="K368" s="65" t="s">
        <v>20</v>
      </c>
      <c r="L368" s="70"/>
      <c r="M368" s="70">
        <v>0.17</v>
      </c>
      <c r="N368" s="67"/>
      <c r="O368" s="68" t="s">
        <v>20</v>
      </c>
      <c r="P368" s="64">
        <f t="shared" si="88"/>
        <v>0</v>
      </c>
      <c r="Q368" s="68" t="s">
        <v>20</v>
      </c>
      <c r="R368" s="69">
        <f t="shared" si="89"/>
        <v>0</v>
      </c>
      <c r="S368" s="69">
        <f t="shared" si="83"/>
        <v>0</v>
      </c>
    </row>
    <row r="369" spans="1:19" s="85" customFormat="1">
      <c r="A369" s="84" t="s">
        <v>307</v>
      </c>
      <c r="B369" s="85" t="s">
        <v>26</v>
      </c>
      <c r="C369" s="86">
        <v>11</v>
      </c>
      <c r="D369" s="87" t="s">
        <v>20</v>
      </c>
      <c r="E369" s="92"/>
      <c r="F369" s="88">
        <v>1</v>
      </c>
      <c r="G369" s="89" t="s">
        <v>21</v>
      </c>
      <c r="H369" s="88">
        <v>50</v>
      </c>
      <c r="I369" s="89" t="s">
        <v>20</v>
      </c>
      <c r="J369" s="90">
        <f>2750000/50</f>
        <v>55000</v>
      </c>
      <c r="K369" s="87" t="s">
        <v>20</v>
      </c>
      <c r="L369" s="91"/>
      <c r="M369" s="91">
        <v>0.17</v>
      </c>
      <c r="N369" s="88"/>
      <c r="O369" s="89" t="s">
        <v>20</v>
      </c>
      <c r="P369" s="86">
        <f t="shared" si="88"/>
        <v>11</v>
      </c>
      <c r="Q369" s="89" t="s">
        <v>20</v>
      </c>
      <c r="R369" s="90">
        <f t="shared" si="89"/>
        <v>502150</v>
      </c>
      <c r="S369" s="32">
        <f t="shared" si="83"/>
        <v>452387.38738738734</v>
      </c>
    </row>
    <row r="370" spans="1:19" s="26" customFormat="1">
      <c r="A370" s="94" t="s">
        <v>308</v>
      </c>
      <c r="B370" s="26" t="s">
        <v>26</v>
      </c>
      <c r="C370" s="27">
        <v>64</v>
      </c>
      <c r="D370" s="28" t="s">
        <v>20</v>
      </c>
      <c r="E370" s="29"/>
      <c r="F370" s="30">
        <v>1</v>
      </c>
      <c r="G370" s="31" t="s">
        <v>21</v>
      </c>
      <c r="H370" s="30">
        <v>50</v>
      </c>
      <c r="I370" s="31" t="s">
        <v>20</v>
      </c>
      <c r="J370" s="32">
        <f>4750000/50</f>
        <v>95000</v>
      </c>
      <c r="K370" s="28" t="s">
        <v>20</v>
      </c>
      <c r="L370" s="33"/>
      <c r="M370" s="33">
        <v>0.17</v>
      </c>
      <c r="N370" s="30">
        <f>5+2</f>
        <v>7</v>
      </c>
      <c r="O370" s="31" t="s">
        <v>20</v>
      </c>
      <c r="P370" s="27">
        <f t="shared" si="88"/>
        <v>57</v>
      </c>
      <c r="Q370" s="31" t="s">
        <v>20</v>
      </c>
      <c r="R370" s="32">
        <f t="shared" si="89"/>
        <v>4494450</v>
      </c>
      <c r="S370" s="32">
        <f t="shared" si="83"/>
        <v>4049054.0540540535</v>
      </c>
    </row>
    <row r="371" spans="1:19">
      <c r="S371" s="23"/>
    </row>
    <row r="372" spans="1:19" ht="15.75">
      <c r="A372" s="14" t="s">
        <v>309</v>
      </c>
      <c r="S372" s="23"/>
    </row>
    <row r="373" spans="1:19" s="26" customFormat="1">
      <c r="A373" s="25" t="s">
        <v>310</v>
      </c>
      <c r="B373" s="26" t="s">
        <v>19</v>
      </c>
      <c r="C373" s="27"/>
      <c r="D373" s="28" t="s">
        <v>104</v>
      </c>
      <c r="E373" s="29">
        <v>2</v>
      </c>
      <c r="F373" s="30">
        <v>1</v>
      </c>
      <c r="G373" s="31" t="s">
        <v>21</v>
      </c>
      <c r="H373" s="30">
        <v>10</v>
      </c>
      <c r="I373" s="31" t="s">
        <v>104</v>
      </c>
      <c r="J373" s="32">
        <v>104000</v>
      </c>
      <c r="K373" s="28" t="s">
        <v>104</v>
      </c>
      <c r="L373" s="33">
        <v>0.125</v>
      </c>
      <c r="M373" s="33">
        <v>0.05</v>
      </c>
      <c r="N373" s="30"/>
      <c r="O373" s="31" t="s">
        <v>104</v>
      </c>
      <c r="P373" s="27">
        <f>(C373+(E373*F373*H373))-N373</f>
        <v>20</v>
      </c>
      <c r="Q373" s="31" t="s">
        <v>104</v>
      </c>
      <c r="R373" s="32">
        <f>P373*(J373-(J373*L373)-((J373-(J373*L373))*M373))</f>
        <v>1729000</v>
      </c>
      <c r="S373" s="32">
        <f t="shared" si="83"/>
        <v>1557657.6576576575</v>
      </c>
    </row>
    <row r="374" spans="1:19" s="17" customFormat="1">
      <c r="A374" s="16"/>
      <c r="C374" s="18"/>
      <c r="D374" s="19"/>
      <c r="E374" s="20"/>
      <c r="F374" s="21"/>
      <c r="G374" s="22"/>
      <c r="H374" s="21"/>
      <c r="I374" s="22"/>
      <c r="J374" s="23"/>
      <c r="K374" s="19"/>
      <c r="L374" s="24"/>
      <c r="M374" s="24"/>
      <c r="N374" s="21"/>
      <c r="O374" s="22"/>
      <c r="P374" s="18"/>
      <c r="Q374" s="22"/>
      <c r="R374" s="23"/>
      <c r="S374" s="23"/>
    </row>
    <row r="375" spans="1:19" s="26" customFormat="1">
      <c r="A375" s="25" t="s">
        <v>311</v>
      </c>
      <c r="B375" s="26" t="s">
        <v>26</v>
      </c>
      <c r="C375" s="27">
        <v>100</v>
      </c>
      <c r="D375" s="28" t="s">
        <v>104</v>
      </c>
      <c r="E375" s="29">
        <f>1+1</f>
        <v>2</v>
      </c>
      <c r="F375" s="30">
        <v>1</v>
      </c>
      <c r="G375" s="31" t="s">
        <v>21</v>
      </c>
      <c r="H375" s="30">
        <v>10</v>
      </c>
      <c r="I375" s="31" t="s">
        <v>104</v>
      </c>
      <c r="J375" s="32">
        <f>1150000/10</f>
        <v>115000</v>
      </c>
      <c r="K375" s="28" t="s">
        <v>104</v>
      </c>
      <c r="L375" s="33"/>
      <c r="M375" s="33">
        <v>0.17</v>
      </c>
      <c r="N375" s="30">
        <v>10</v>
      </c>
      <c r="O375" s="31" t="s">
        <v>104</v>
      </c>
      <c r="P375" s="27">
        <f>(C375+(E375*F375*H375))-N375</f>
        <v>110</v>
      </c>
      <c r="Q375" s="31" t="s">
        <v>104</v>
      </c>
      <c r="R375" s="32">
        <f>P375*(J375-(J375*L375)-((J375-(J375*L375))*M375))</f>
        <v>10499500</v>
      </c>
      <c r="S375" s="32">
        <f t="shared" si="83"/>
        <v>9459009.0090090074</v>
      </c>
    </row>
    <row r="376" spans="1:19">
      <c r="S376" s="23"/>
    </row>
    <row r="377" spans="1:19" ht="15.75">
      <c r="A377" s="14" t="s">
        <v>312</v>
      </c>
      <c r="S377" s="23"/>
    </row>
    <row r="378" spans="1:19">
      <c r="A378" s="15" t="s">
        <v>313</v>
      </c>
      <c r="S378" s="23"/>
    </row>
    <row r="379" spans="1:19" s="17" customFormat="1">
      <c r="A379" s="16" t="s">
        <v>314</v>
      </c>
      <c r="B379" s="17" t="s">
        <v>19</v>
      </c>
      <c r="C379" s="18"/>
      <c r="D379" s="19" t="s">
        <v>43</v>
      </c>
      <c r="E379" s="20"/>
      <c r="F379" s="21">
        <v>48</v>
      </c>
      <c r="G379" s="22" t="s">
        <v>34</v>
      </c>
      <c r="H379" s="21">
        <v>1</v>
      </c>
      <c r="I379" s="22" t="s">
        <v>43</v>
      </c>
      <c r="J379" s="23">
        <f>1625*12</f>
        <v>19500</v>
      </c>
      <c r="K379" s="19" t="s">
        <v>43</v>
      </c>
      <c r="L379" s="24">
        <v>0.125</v>
      </c>
      <c r="M379" s="24">
        <v>0.05</v>
      </c>
      <c r="N379" s="21"/>
      <c r="O379" s="22" t="s">
        <v>43</v>
      </c>
      <c r="P379" s="18">
        <f t="shared" ref="P379:P387" si="90">(C379+(E379*F379*H379))-N379</f>
        <v>0</v>
      </c>
      <c r="Q379" s="22" t="s">
        <v>43</v>
      </c>
      <c r="R379" s="23">
        <f t="shared" ref="R379:R387" si="91">P379*(J379-(J379*L379)-((J379-(J379*L379))*M379))</f>
        <v>0</v>
      </c>
      <c r="S379" s="23">
        <f t="shared" si="83"/>
        <v>0</v>
      </c>
    </row>
    <row r="380" spans="1:19" s="26" customFormat="1">
      <c r="A380" s="25" t="s">
        <v>828</v>
      </c>
      <c r="B380" s="26" t="s">
        <v>19</v>
      </c>
      <c r="C380" s="27">
        <v>24</v>
      </c>
      <c r="D380" s="28" t="s">
        <v>43</v>
      </c>
      <c r="E380" s="29">
        <v>1</v>
      </c>
      <c r="F380" s="30">
        <v>24</v>
      </c>
      <c r="G380" s="31" t="s">
        <v>34</v>
      </c>
      <c r="H380" s="30">
        <v>1</v>
      </c>
      <c r="I380" s="31" t="s">
        <v>43</v>
      </c>
      <c r="J380" s="32">
        <f>2500*12</f>
        <v>30000</v>
      </c>
      <c r="K380" s="28" t="s">
        <v>43</v>
      </c>
      <c r="L380" s="33">
        <v>0.125</v>
      </c>
      <c r="M380" s="33">
        <v>0.05</v>
      </c>
      <c r="N380" s="30">
        <v>24</v>
      </c>
      <c r="O380" s="31" t="s">
        <v>43</v>
      </c>
      <c r="P380" s="27">
        <f t="shared" si="90"/>
        <v>24</v>
      </c>
      <c r="Q380" s="31" t="s">
        <v>43</v>
      </c>
      <c r="R380" s="32">
        <f t="shared" si="91"/>
        <v>598500</v>
      </c>
      <c r="S380" s="32">
        <f t="shared" si="83"/>
        <v>539189.18918918911</v>
      </c>
    </row>
    <row r="381" spans="1:19" s="26" customFormat="1">
      <c r="A381" s="110" t="s">
        <v>315</v>
      </c>
      <c r="B381" s="26" t="s">
        <v>19</v>
      </c>
      <c r="C381" s="27"/>
      <c r="D381" s="28" t="s">
        <v>43</v>
      </c>
      <c r="E381" s="29">
        <f>1+10+12</f>
        <v>23</v>
      </c>
      <c r="F381" s="30">
        <v>48</v>
      </c>
      <c r="G381" s="31" t="s">
        <v>34</v>
      </c>
      <c r="H381" s="30">
        <v>1</v>
      </c>
      <c r="I381" s="31" t="s">
        <v>43</v>
      </c>
      <c r="J381" s="32">
        <f>1550*12</f>
        <v>18600</v>
      </c>
      <c r="K381" s="28" t="s">
        <v>43</v>
      </c>
      <c r="L381" s="33">
        <v>0.125</v>
      </c>
      <c r="M381" s="33">
        <v>0.05</v>
      </c>
      <c r="N381" s="30">
        <v>48</v>
      </c>
      <c r="O381" s="31" t="s">
        <v>43</v>
      </c>
      <c r="P381" s="27">
        <f t="shared" si="90"/>
        <v>1056</v>
      </c>
      <c r="Q381" s="31" t="s">
        <v>43</v>
      </c>
      <c r="R381" s="32">
        <f t="shared" si="91"/>
        <v>16327080</v>
      </c>
      <c r="S381" s="32">
        <f t="shared" si="83"/>
        <v>14709081.081081079</v>
      </c>
    </row>
    <row r="382" spans="1:19" s="26" customFormat="1">
      <c r="A382" s="110" t="s">
        <v>316</v>
      </c>
      <c r="B382" s="26" t="s">
        <v>19</v>
      </c>
      <c r="C382" s="27"/>
      <c r="D382" s="28" t="s">
        <v>43</v>
      </c>
      <c r="E382" s="29">
        <v>2</v>
      </c>
      <c r="F382" s="30">
        <v>24</v>
      </c>
      <c r="G382" s="31" t="s">
        <v>34</v>
      </c>
      <c r="H382" s="30">
        <v>1</v>
      </c>
      <c r="I382" s="31" t="s">
        <v>43</v>
      </c>
      <c r="J382" s="32">
        <f>2150*12</f>
        <v>25800</v>
      </c>
      <c r="K382" s="28" t="s">
        <v>43</v>
      </c>
      <c r="L382" s="33">
        <v>0.125</v>
      </c>
      <c r="M382" s="33">
        <v>0.05</v>
      </c>
      <c r="N382" s="30"/>
      <c r="O382" s="31" t="s">
        <v>43</v>
      </c>
      <c r="P382" s="27">
        <f t="shared" si="90"/>
        <v>48</v>
      </c>
      <c r="Q382" s="31" t="s">
        <v>43</v>
      </c>
      <c r="R382" s="32">
        <f t="shared" si="91"/>
        <v>1029420</v>
      </c>
      <c r="S382" s="32">
        <f t="shared" si="83"/>
        <v>927405.40540540533</v>
      </c>
    </row>
    <row r="383" spans="1:19" s="17" customFormat="1">
      <c r="A383" s="16" t="s">
        <v>317</v>
      </c>
      <c r="B383" s="17" t="s">
        <v>19</v>
      </c>
      <c r="C383" s="18"/>
      <c r="D383" s="19" t="s">
        <v>43</v>
      </c>
      <c r="E383" s="20">
        <v>1</v>
      </c>
      <c r="F383" s="21">
        <v>24</v>
      </c>
      <c r="G383" s="22" t="s">
        <v>34</v>
      </c>
      <c r="H383" s="21">
        <v>1</v>
      </c>
      <c r="I383" s="22" t="s">
        <v>43</v>
      </c>
      <c r="J383" s="23">
        <f>3000*12</f>
        <v>36000</v>
      </c>
      <c r="K383" s="19" t="s">
        <v>43</v>
      </c>
      <c r="L383" s="24">
        <v>0.125</v>
      </c>
      <c r="M383" s="24">
        <v>0.05</v>
      </c>
      <c r="N383" s="21">
        <v>24</v>
      </c>
      <c r="O383" s="22" t="s">
        <v>43</v>
      </c>
      <c r="P383" s="18">
        <f t="shared" si="90"/>
        <v>0</v>
      </c>
      <c r="Q383" s="22" t="s">
        <v>43</v>
      </c>
      <c r="R383" s="23">
        <f t="shared" si="91"/>
        <v>0</v>
      </c>
      <c r="S383" s="23">
        <f t="shared" si="83"/>
        <v>0</v>
      </c>
    </row>
    <row r="384" spans="1:19" s="17" customFormat="1">
      <c r="A384" s="16"/>
      <c r="C384" s="18"/>
      <c r="D384" s="19"/>
      <c r="E384" s="20"/>
      <c r="F384" s="21"/>
      <c r="G384" s="22"/>
      <c r="H384" s="21"/>
      <c r="I384" s="22"/>
      <c r="J384" s="23"/>
      <c r="K384" s="19"/>
      <c r="L384" s="24"/>
      <c r="M384" s="24"/>
      <c r="N384" s="21"/>
      <c r="O384" s="22"/>
      <c r="P384" s="18"/>
      <c r="Q384" s="22"/>
      <c r="R384" s="23"/>
      <c r="S384" s="23"/>
    </row>
    <row r="385" spans="1:19" s="63" customFormat="1">
      <c r="A385" s="72" t="s">
        <v>318</v>
      </c>
      <c r="B385" s="63" t="s">
        <v>26</v>
      </c>
      <c r="C385" s="64"/>
      <c r="D385" s="65" t="s">
        <v>43</v>
      </c>
      <c r="E385" s="66"/>
      <c r="F385" s="67">
        <v>1</v>
      </c>
      <c r="G385" s="68" t="s">
        <v>21</v>
      </c>
      <c r="H385" s="67">
        <v>20</v>
      </c>
      <c r="I385" s="68" t="s">
        <v>43</v>
      </c>
      <c r="J385" s="69">
        <f>396000/20</f>
        <v>19800</v>
      </c>
      <c r="K385" s="65" t="s">
        <v>43</v>
      </c>
      <c r="L385" s="70"/>
      <c r="M385" s="70">
        <v>0.17</v>
      </c>
      <c r="N385" s="67"/>
      <c r="O385" s="68" t="s">
        <v>43</v>
      </c>
      <c r="P385" s="64">
        <f t="shared" si="90"/>
        <v>0</v>
      </c>
      <c r="Q385" s="68" t="s">
        <v>43</v>
      </c>
      <c r="R385" s="69">
        <f t="shared" si="91"/>
        <v>0</v>
      </c>
      <c r="S385" s="23">
        <f t="shared" si="83"/>
        <v>0</v>
      </c>
    </row>
    <row r="386" spans="1:19" s="45" customFormat="1">
      <c r="A386" s="44" t="s">
        <v>319</v>
      </c>
      <c r="B386" s="45" t="s">
        <v>26</v>
      </c>
      <c r="C386" s="46">
        <v>157</v>
      </c>
      <c r="D386" s="47" t="s">
        <v>43</v>
      </c>
      <c r="E386" s="48"/>
      <c r="F386" s="49">
        <v>1</v>
      </c>
      <c r="G386" s="50" t="s">
        <v>21</v>
      </c>
      <c r="H386" s="49">
        <v>20</v>
      </c>
      <c r="I386" s="50" t="s">
        <v>43</v>
      </c>
      <c r="J386" s="51">
        <f>504000/20</f>
        <v>25200</v>
      </c>
      <c r="K386" s="47" t="s">
        <v>43</v>
      </c>
      <c r="L386" s="52"/>
      <c r="M386" s="52">
        <v>0.17</v>
      </c>
      <c r="N386" s="49">
        <f>20+11+15+2</f>
        <v>48</v>
      </c>
      <c r="O386" s="50" t="s">
        <v>43</v>
      </c>
      <c r="P386" s="46">
        <f t="shared" si="90"/>
        <v>109</v>
      </c>
      <c r="Q386" s="50" t="s">
        <v>43</v>
      </c>
      <c r="R386" s="51">
        <f t="shared" si="91"/>
        <v>2279844</v>
      </c>
      <c r="S386" s="32">
        <f t="shared" si="83"/>
        <v>2053913.5135135134</v>
      </c>
    </row>
    <row r="387" spans="1:19" s="63" customFormat="1">
      <c r="A387" s="72" t="s">
        <v>320</v>
      </c>
      <c r="B387" s="63" t="s">
        <v>26</v>
      </c>
      <c r="C387" s="64"/>
      <c r="D387" s="65" t="s">
        <v>43</v>
      </c>
      <c r="E387" s="66"/>
      <c r="F387" s="67">
        <v>1</v>
      </c>
      <c r="G387" s="68" t="s">
        <v>21</v>
      </c>
      <c r="H387" s="67">
        <v>20</v>
      </c>
      <c r="I387" s="68" t="s">
        <v>43</v>
      </c>
      <c r="J387" s="69">
        <f>480000/20</f>
        <v>24000</v>
      </c>
      <c r="K387" s="65" t="s">
        <v>43</v>
      </c>
      <c r="L387" s="70"/>
      <c r="M387" s="70">
        <v>0.17</v>
      </c>
      <c r="N387" s="67"/>
      <c r="O387" s="68" t="s">
        <v>43</v>
      </c>
      <c r="P387" s="64">
        <f t="shared" si="90"/>
        <v>0</v>
      </c>
      <c r="Q387" s="68" t="s">
        <v>43</v>
      </c>
      <c r="R387" s="69">
        <f t="shared" si="91"/>
        <v>0</v>
      </c>
      <c r="S387" s="23">
        <f t="shared" si="83"/>
        <v>0</v>
      </c>
    </row>
    <row r="388" spans="1:19" s="63" customFormat="1">
      <c r="A388" s="72"/>
      <c r="C388" s="64"/>
      <c r="D388" s="65"/>
      <c r="E388" s="66"/>
      <c r="F388" s="67"/>
      <c r="G388" s="68"/>
      <c r="H388" s="67"/>
      <c r="I388" s="68"/>
      <c r="J388" s="69"/>
      <c r="K388" s="65"/>
      <c r="L388" s="70"/>
      <c r="M388" s="70"/>
      <c r="N388" s="67"/>
      <c r="O388" s="68"/>
      <c r="P388" s="64"/>
      <c r="Q388" s="68"/>
      <c r="R388" s="69"/>
      <c r="S388" s="23"/>
    </row>
    <row r="389" spans="1:19">
      <c r="A389" s="15" t="s">
        <v>321</v>
      </c>
      <c r="S389" s="23">
        <f t="shared" si="83"/>
        <v>0</v>
      </c>
    </row>
    <row r="390" spans="1:19" s="26" customFormat="1">
      <c r="A390" s="25" t="s">
        <v>322</v>
      </c>
      <c r="B390" s="26" t="s">
        <v>19</v>
      </c>
      <c r="C390" s="27">
        <v>128</v>
      </c>
      <c r="D390" s="28" t="s">
        <v>34</v>
      </c>
      <c r="E390" s="29"/>
      <c r="F390" s="30">
        <v>1</v>
      </c>
      <c r="G390" s="31" t="s">
        <v>21</v>
      </c>
      <c r="H390" s="30">
        <v>64</v>
      </c>
      <c r="I390" s="31" t="s">
        <v>34</v>
      </c>
      <c r="J390" s="32">
        <f>2200*12</f>
        <v>26400</v>
      </c>
      <c r="K390" s="28" t="s">
        <v>34</v>
      </c>
      <c r="L390" s="33">
        <v>0.125</v>
      </c>
      <c r="M390" s="33">
        <v>0.05</v>
      </c>
      <c r="N390" s="30"/>
      <c r="O390" s="31" t="s">
        <v>34</v>
      </c>
      <c r="P390" s="27">
        <f t="shared" ref="P390:P400" si="92">(C390+(E390*F390*H390))-N390</f>
        <v>128</v>
      </c>
      <c r="Q390" s="31" t="s">
        <v>34</v>
      </c>
      <c r="R390" s="32">
        <f t="shared" ref="R390:R400" si="93">P390*(J390-(J390*L390)-((J390-(J390*L390))*M390))</f>
        <v>2808960</v>
      </c>
      <c r="S390" s="32">
        <f t="shared" si="83"/>
        <v>2530594.5945945946</v>
      </c>
    </row>
    <row r="391" spans="1:19" s="63" customFormat="1">
      <c r="A391" s="72" t="s">
        <v>324</v>
      </c>
      <c r="B391" s="63" t="s">
        <v>19</v>
      </c>
      <c r="C391" s="64"/>
      <c r="D391" s="65" t="s">
        <v>34</v>
      </c>
      <c r="E391" s="66">
        <v>1</v>
      </c>
      <c r="F391" s="67">
        <v>1</v>
      </c>
      <c r="G391" s="68" t="s">
        <v>21</v>
      </c>
      <c r="H391" s="67">
        <v>36</v>
      </c>
      <c r="I391" s="68" t="s">
        <v>34</v>
      </c>
      <c r="J391" s="69">
        <f>2100*24</f>
        <v>50400</v>
      </c>
      <c r="K391" s="65" t="s">
        <v>34</v>
      </c>
      <c r="L391" s="70">
        <v>0.125</v>
      </c>
      <c r="M391" s="70">
        <v>0.05</v>
      </c>
      <c r="N391" s="67">
        <v>36</v>
      </c>
      <c r="O391" s="68" t="s">
        <v>34</v>
      </c>
      <c r="P391" s="64">
        <f>(C391+(E391*F391*H391))-N391</f>
        <v>0</v>
      </c>
      <c r="Q391" s="68" t="s">
        <v>34</v>
      </c>
      <c r="R391" s="69">
        <f>P391*(J391-(J391*L391)-((J391-(J391*L391))*M391))</f>
        <v>0</v>
      </c>
      <c r="S391" s="23">
        <f>R391/1.11</f>
        <v>0</v>
      </c>
    </row>
    <row r="392" spans="1:19" s="63" customFormat="1">
      <c r="A392" s="111" t="s">
        <v>827</v>
      </c>
      <c r="B392" s="63" t="s">
        <v>19</v>
      </c>
      <c r="C392" s="64"/>
      <c r="D392" s="65" t="s">
        <v>34</v>
      </c>
      <c r="E392" s="66"/>
      <c r="F392" s="67">
        <v>1</v>
      </c>
      <c r="G392" s="68" t="s">
        <v>21</v>
      </c>
      <c r="H392" s="67">
        <v>36</v>
      </c>
      <c r="I392" s="68" t="s">
        <v>34</v>
      </c>
      <c r="J392" s="69">
        <f>2300*24</f>
        <v>55200</v>
      </c>
      <c r="K392" s="65" t="s">
        <v>34</v>
      </c>
      <c r="L392" s="70">
        <v>0.125</v>
      </c>
      <c r="M392" s="70">
        <v>0.05</v>
      </c>
      <c r="N392" s="67"/>
      <c r="O392" s="68" t="s">
        <v>34</v>
      </c>
      <c r="P392" s="64">
        <f>(C392+(E392*F392*H392))-N392</f>
        <v>0</v>
      </c>
      <c r="Q392" s="68" t="s">
        <v>34</v>
      </c>
      <c r="R392" s="69">
        <f>P392*(J392-(J392*L392)-((J392-(J392*L392))*M392))</f>
        <v>0</v>
      </c>
      <c r="S392" s="23">
        <f>R392/1.11</f>
        <v>0</v>
      </c>
    </row>
    <row r="393" spans="1:19" s="17" customFormat="1">
      <c r="A393" s="16" t="s">
        <v>826</v>
      </c>
      <c r="B393" s="17" t="s">
        <v>19</v>
      </c>
      <c r="C393" s="18"/>
      <c r="D393" s="19" t="s">
        <v>34</v>
      </c>
      <c r="E393" s="20"/>
      <c r="F393" s="21">
        <v>1</v>
      </c>
      <c r="G393" s="22" t="s">
        <v>21</v>
      </c>
      <c r="H393" s="21">
        <v>32</v>
      </c>
      <c r="I393" s="22" t="s">
        <v>34</v>
      </c>
      <c r="J393" s="23">
        <f>1300*12</f>
        <v>15600</v>
      </c>
      <c r="K393" s="19" t="s">
        <v>34</v>
      </c>
      <c r="L393" s="24">
        <v>0.125</v>
      </c>
      <c r="M393" s="24">
        <v>0.05</v>
      </c>
      <c r="N393" s="21"/>
      <c r="O393" s="22" t="s">
        <v>34</v>
      </c>
      <c r="P393" s="18">
        <f>(C393+(E393*F393*H393))-N393</f>
        <v>0</v>
      </c>
      <c r="Q393" s="22" t="s">
        <v>34</v>
      </c>
      <c r="R393" s="23">
        <f>P393*(J393-(J393*L393)-((J393-(J393*L393))*M393))</f>
        <v>0</v>
      </c>
      <c r="S393" s="23">
        <f>R393/1.11</f>
        <v>0</v>
      </c>
    </row>
    <row r="394" spans="1:19" s="26" customFormat="1">
      <c r="A394" s="25" t="s">
        <v>323</v>
      </c>
      <c r="B394" s="26" t="s">
        <v>19</v>
      </c>
      <c r="C394" s="27">
        <v>38</v>
      </c>
      <c r="D394" s="28" t="s">
        <v>34</v>
      </c>
      <c r="E394" s="29"/>
      <c r="F394" s="30">
        <v>1</v>
      </c>
      <c r="G394" s="31" t="s">
        <v>21</v>
      </c>
      <c r="H394" s="30">
        <v>54</v>
      </c>
      <c r="I394" s="31" t="s">
        <v>34</v>
      </c>
      <c r="J394" s="32">
        <f>3400*12</f>
        <v>40800</v>
      </c>
      <c r="K394" s="28" t="s">
        <v>34</v>
      </c>
      <c r="L394" s="33">
        <v>0.125</v>
      </c>
      <c r="M394" s="33">
        <v>0.05</v>
      </c>
      <c r="N394" s="30"/>
      <c r="O394" s="31" t="s">
        <v>34</v>
      </c>
      <c r="P394" s="27">
        <f t="shared" si="92"/>
        <v>38</v>
      </c>
      <c r="Q394" s="31" t="s">
        <v>34</v>
      </c>
      <c r="R394" s="32">
        <f t="shared" si="93"/>
        <v>1288770</v>
      </c>
      <c r="S394" s="32">
        <f t="shared" si="83"/>
        <v>1161054.054054054</v>
      </c>
    </row>
    <row r="395" spans="1:19" s="63" customFormat="1">
      <c r="A395" s="111" t="s">
        <v>327</v>
      </c>
      <c r="B395" s="63" t="s">
        <v>19</v>
      </c>
      <c r="C395" s="64"/>
      <c r="D395" s="65" t="s">
        <v>34</v>
      </c>
      <c r="E395" s="66">
        <v>10</v>
      </c>
      <c r="F395" s="67">
        <v>1</v>
      </c>
      <c r="G395" s="68" t="s">
        <v>21</v>
      </c>
      <c r="H395" s="67">
        <v>36</v>
      </c>
      <c r="I395" s="68" t="s">
        <v>34</v>
      </c>
      <c r="J395" s="69">
        <f>2450*24</f>
        <v>58800</v>
      </c>
      <c r="K395" s="65" t="s">
        <v>34</v>
      </c>
      <c r="L395" s="70">
        <v>0.125</v>
      </c>
      <c r="M395" s="70">
        <v>0.05</v>
      </c>
      <c r="N395" s="67">
        <f>(8640/24)</f>
        <v>360</v>
      </c>
      <c r="O395" s="68" t="s">
        <v>34</v>
      </c>
      <c r="P395" s="64">
        <f>(C395+(E395*F395*H395))-N395</f>
        <v>0</v>
      </c>
      <c r="Q395" s="68" t="s">
        <v>34</v>
      </c>
      <c r="R395" s="69">
        <f>P395*(J395-(J395*L395)-((J395-(J395*L395))*M395))</f>
        <v>0</v>
      </c>
      <c r="S395" s="69">
        <f>R395/1.11</f>
        <v>0</v>
      </c>
    </row>
    <row r="396" spans="1:19" s="45" customFormat="1">
      <c r="A396" s="44" t="s">
        <v>823</v>
      </c>
      <c r="B396" s="45" t="s">
        <v>19</v>
      </c>
      <c r="C396" s="46">
        <v>36</v>
      </c>
      <c r="D396" s="47" t="s">
        <v>34</v>
      </c>
      <c r="E396" s="48"/>
      <c r="F396" s="49">
        <v>1</v>
      </c>
      <c r="G396" s="50" t="s">
        <v>21</v>
      </c>
      <c r="H396" s="49">
        <v>36</v>
      </c>
      <c r="I396" s="50" t="s">
        <v>34</v>
      </c>
      <c r="J396" s="51">
        <f>4600*12</f>
        <v>55200</v>
      </c>
      <c r="K396" s="47" t="s">
        <v>34</v>
      </c>
      <c r="L396" s="52">
        <v>0.125</v>
      </c>
      <c r="M396" s="52">
        <v>0.05</v>
      </c>
      <c r="N396" s="49">
        <v>5</v>
      </c>
      <c r="O396" s="50" t="s">
        <v>34</v>
      </c>
      <c r="P396" s="46">
        <f t="shared" ref="P396" si="94">(C396+(E396*F396*H396))-N396</f>
        <v>31</v>
      </c>
      <c r="Q396" s="50" t="s">
        <v>34</v>
      </c>
      <c r="R396" s="51">
        <f t="shared" ref="R396" si="95">P396*(J396-(J396*L396)-((J396-(J396*L396))*M396))</f>
        <v>1422435</v>
      </c>
      <c r="S396" s="32">
        <f t="shared" ref="S396" si="96">R396/1.11</f>
        <v>1281472.9729729728</v>
      </c>
    </row>
    <row r="397" spans="1:19" s="45" customFormat="1">
      <c r="A397" s="44"/>
      <c r="C397" s="46"/>
      <c r="D397" s="47"/>
      <c r="E397" s="48"/>
      <c r="F397" s="49"/>
      <c r="G397" s="50"/>
      <c r="H397" s="49"/>
      <c r="I397" s="50"/>
      <c r="J397" s="51"/>
      <c r="K397" s="47"/>
      <c r="L397" s="52"/>
      <c r="M397" s="52"/>
      <c r="N397" s="49"/>
      <c r="O397" s="50"/>
      <c r="P397" s="46"/>
      <c r="Q397" s="50"/>
      <c r="R397" s="51"/>
      <c r="S397" s="32"/>
    </row>
    <row r="398" spans="1:19" s="63" customFormat="1">
      <c r="A398" s="72" t="s">
        <v>328</v>
      </c>
      <c r="B398" s="63" t="s">
        <v>26</v>
      </c>
      <c r="C398" s="64"/>
      <c r="D398" s="65" t="s">
        <v>34</v>
      </c>
      <c r="E398" s="66">
        <v>2</v>
      </c>
      <c r="F398" s="67">
        <v>1</v>
      </c>
      <c r="G398" s="68" t="s">
        <v>21</v>
      </c>
      <c r="H398" s="67">
        <v>36</v>
      </c>
      <c r="I398" s="68" t="s">
        <v>34</v>
      </c>
      <c r="J398" s="69">
        <f>2376000/36</f>
        <v>66000</v>
      </c>
      <c r="K398" s="65" t="s">
        <v>34</v>
      </c>
      <c r="L398" s="70"/>
      <c r="M398" s="70">
        <v>0.17</v>
      </c>
      <c r="N398" s="67">
        <v>72</v>
      </c>
      <c r="O398" s="68" t="s">
        <v>34</v>
      </c>
      <c r="P398" s="64">
        <f t="shared" si="92"/>
        <v>0</v>
      </c>
      <c r="Q398" s="68" t="s">
        <v>34</v>
      </c>
      <c r="R398" s="69">
        <f t="shared" si="93"/>
        <v>0</v>
      </c>
      <c r="S398" s="69">
        <f t="shared" si="83"/>
        <v>0</v>
      </c>
    </row>
    <row r="399" spans="1:19">
      <c r="A399" s="34" t="s">
        <v>329</v>
      </c>
      <c r="B399" s="2" t="s">
        <v>26</v>
      </c>
      <c r="C399" s="3">
        <v>154</v>
      </c>
      <c r="D399" s="4" t="s">
        <v>34</v>
      </c>
      <c r="F399" s="6">
        <v>1</v>
      </c>
      <c r="G399" s="7" t="s">
        <v>21</v>
      </c>
      <c r="H399" s="6">
        <v>36</v>
      </c>
      <c r="I399" s="7" t="s">
        <v>34</v>
      </c>
      <c r="J399" s="8">
        <f>2592000/36</f>
        <v>72000</v>
      </c>
      <c r="K399" s="4" t="s">
        <v>34</v>
      </c>
      <c r="M399" s="9">
        <v>0.17</v>
      </c>
      <c r="O399" s="7" t="s">
        <v>34</v>
      </c>
      <c r="P399" s="3">
        <f t="shared" si="92"/>
        <v>154</v>
      </c>
      <c r="Q399" s="7" t="s">
        <v>34</v>
      </c>
      <c r="R399" s="8">
        <f t="shared" si="93"/>
        <v>9203040</v>
      </c>
      <c r="S399" s="32">
        <f t="shared" si="83"/>
        <v>8291027.0270270268</v>
      </c>
    </row>
    <row r="400" spans="1:19" s="45" customFormat="1">
      <c r="A400" s="44" t="s">
        <v>330</v>
      </c>
      <c r="B400" s="45" t="s">
        <v>26</v>
      </c>
      <c r="C400" s="46">
        <v>36</v>
      </c>
      <c r="D400" s="47" t="s">
        <v>34</v>
      </c>
      <c r="E400" s="48">
        <v>2</v>
      </c>
      <c r="F400" s="49">
        <v>1</v>
      </c>
      <c r="G400" s="50" t="s">
        <v>21</v>
      </c>
      <c r="H400" s="49">
        <v>36</v>
      </c>
      <c r="I400" s="50" t="s">
        <v>34</v>
      </c>
      <c r="J400" s="51">
        <f>2160000/36</f>
        <v>60000</v>
      </c>
      <c r="K400" s="47" t="s">
        <v>34</v>
      </c>
      <c r="L400" s="52"/>
      <c r="M400" s="52">
        <v>0.17</v>
      </c>
      <c r="N400" s="49">
        <v>36</v>
      </c>
      <c r="O400" s="50" t="s">
        <v>34</v>
      </c>
      <c r="P400" s="46">
        <f t="shared" si="92"/>
        <v>72</v>
      </c>
      <c r="Q400" s="50" t="s">
        <v>34</v>
      </c>
      <c r="R400" s="51">
        <f t="shared" si="93"/>
        <v>3585600</v>
      </c>
      <c r="S400" s="32">
        <f t="shared" si="83"/>
        <v>3230270.2702702698</v>
      </c>
    </row>
    <row r="401" spans="1:19" s="45" customFormat="1">
      <c r="A401" s="44"/>
      <c r="C401" s="46"/>
      <c r="D401" s="47"/>
      <c r="E401" s="48"/>
      <c r="F401" s="49"/>
      <c r="G401" s="50"/>
      <c r="H401" s="49"/>
      <c r="I401" s="50"/>
      <c r="J401" s="51"/>
      <c r="K401" s="47"/>
      <c r="L401" s="52"/>
      <c r="M401" s="52"/>
      <c r="N401" s="49"/>
      <c r="O401" s="50"/>
      <c r="P401" s="46"/>
      <c r="Q401" s="50"/>
      <c r="R401" s="51"/>
      <c r="S401" s="32"/>
    </row>
    <row r="402" spans="1:19">
      <c r="A402" s="15" t="s">
        <v>331</v>
      </c>
      <c r="S402" s="23"/>
    </row>
    <row r="403" spans="1:19" s="63" customFormat="1">
      <c r="A403" s="72" t="s">
        <v>332</v>
      </c>
      <c r="B403" s="63" t="s">
        <v>26</v>
      </c>
      <c r="C403" s="64"/>
      <c r="D403" s="65" t="s">
        <v>108</v>
      </c>
      <c r="E403" s="66"/>
      <c r="F403" s="67">
        <v>1</v>
      </c>
      <c r="G403" s="68" t="s">
        <v>21</v>
      </c>
      <c r="H403" s="67">
        <v>60</v>
      </c>
      <c r="I403" s="68" t="s">
        <v>108</v>
      </c>
      <c r="J403" s="69">
        <v>18600</v>
      </c>
      <c r="K403" s="65" t="s">
        <v>108</v>
      </c>
      <c r="L403" s="70"/>
      <c r="M403" s="70">
        <v>0.17</v>
      </c>
      <c r="N403" s="67">
        <v>60</v>
      </c>
      <c r="O403" s="68" t="s">
        <v>108</v>
      </c>
      <c r="P403" s="64">
        <f>(C403+(E403*F403*H403))-N403</f>
        <v>-60</v>
      </c>
      <c r="Q403" s="68" t="s">
        <v>108</v>
      </c>
      <c r="R403" s="69">
        <f>P403*(J403-(J403*L403)-((J403-(J403*L403))*M403))</f>
        <v>-926280</v>
      </c>
      <c r="S403" s="23">
        <f t="shared" si="83"/>
        <v>-834486.48648648639</v>
      </c>
    </row>
    <row r="404" spans="1:19" s="63" customFormat="1">
      <c r="A404" s="72"/>
      <c r="C404" s="64"/>
      <c r="D404" s="65"/>
      <c r="E404" s="66"/>
      <c r="F404" s="67"/>
      <c r="G404" s="68"/>
      <c r="H404" s="67"/>
      <c r="I404" s="68"/>
      <c r="J404" s="69"/>
      <c r="K404" s="65"/>
      <c r="L404" s="70"/>
      <c r="M404" s="70"/>
      <c r="N404" s="67"/>
      <c r="O404" s="68"/>
      <c r="P404" s="64"/>
      <c r="Q404" s="68"/>
      <c r="R404" s="69"/>
      <c r="S404" s="23"/>
    </row>
    <row r="405" spans="1:19">
      <c r="A405" s="15" t="s">
        <v>333</v>
      </c>
      <c r="S405" s="23"/>
    </row>
    <row r="406" spans="1:19" s="45" customFormat="1">
      <c r="A406" s="44" t="s">
        <v>334</v>
      </c>
      <c r="B406" s="45" t="s">
        <v>335</v>
      </c>
      <c r="C406" s="46">
        <v>573</v>
      </c>
      <c r="D406" s="47" t="s">
        <v>336</v>
      </c>
      <c r="E406" s="48"/>
      <c r="F406" s="49">
        <v>1</v>
      </c>
      <c r="G406" s="50" t="s">
        <v>21</v>
      </c>
      <c r="H406" s="49">
        <v>25</v>
      </c>
      <c r="I406" s="50" t="s">
        <v>336</v>
      </c>
      <c r="J406" s="51">
        <v>55000</v>
      </c>
      <c r="K406" s="47" t="s">
        <v>336</v>
      </c>
      <c r="L406" s="52"/>
      <c r="M406" s="52"/>
      <c r="N406" s="49">
        <f>125+50+25</f>
        <v>200</v>
      </c>
      <c r="O406" s="50" t="s">
        <v>336</v>
      </c>
      <c r="P406" s="46">
        <f>(C406+(E406*F406*H406))-N406</f>
        <v>373</v>
      </c>
      <c r="Q406" s="50" t="s">
        <v>336</v>
      </c>
      <c r="R406" s="51">
        <f>P406*(J406-(J406*L406)-((J406-(J406*L406))*M406))</f>
        <v>20515000</v>
      </c>
      <c r="S406" s="32">
        <f t="shared" si="83"/>
        <v>18481981.981981982</v>
      </c>
    </row>
    <row r="407" spans="1:19">
      <c r="S407" s="23"/>
    </row>
    <row r="408" spans="1:19" ht="15.75">
      <c r="A408" s="14" t="s">
        <v>337</v>
      </c>
      <c r="S408" s="23"/>
    </row>
    <row r="409" spans="1:19" s="17" customFormat="1">
      <c r="A409" s="16" t="s">
        <v>338</v>
      </c>
      <c r="B409" s="17" t="s">
        <v>19</v>
      </c>
      <c r="C409" s="18"/>
      <c r="D409" s="19" t="s">
        <v>104</v>
      </c>
      <c r="E409" s="20"/>
      <c r="F409" s="21">
        <v>1</v>
      </c>
      <c r="G409" s="22" t="s">
        <v>21</v>
      </c>
      <c r="H409" s="21">
        <v>192</v>
      </c>
      <c r="I409" s="22" t="s">
        <v>104</v>
      </c>
      <c r="J409" s="23">
        <v>3450</v>
      </c>
      <c r="K409" s="19" t="s">
        <v>104</v>
      </c>
      <c r="L409" s="24">
        <v>0.125</v>
      </c>
      <c r="M409" s="24">
        <v>0.05</v>
      </c>
      <c r="N409" s="21"/>
      <c r="O409" s="22" t="s">
        <v>104</v>
      </c>
      <c r="P409" s="18">
        <f t="shared" ref="P409:P421" si="97">(C409+(E409*F409*H409))-N409</f>
        <v>0</v>
      </c>
      <c r="Q409" s="22" t="s">
        <v>104</v>
      </c>
      <c r="R409" s="23">
        <f t="shared" ref="R409:R421" si="98">P409*(J409-(J409*L409)-((J409-(J409*L409))*M409))</f>
        <v>0</v>
      </c>
      <c r="S409" s="23">
        <f t="shared" ref="S409:S493" si="99">R409/1.11</f>
        <v>0</v>
      </c>
    </row>
    <row r="410" spans="1:19" s="17" customFormat="1">
      <c r="A410" s="16" t="s">
        <v>339</v>
      </c>
      <c r="B410" s="17" t="s">
        <v>19</v>
      </c>
      <c r="C410" s="18"/>
      <c r="D410" s="19" t="s">
        <v>104</v>
      </c>
      <c r="E410" s="20"/>
      <c r="F410" s="21">
        <v>1</v>
      </c>
      <c r="G410" s="22" t="s">
        <v>21</v>
      </c>
      <c r="H410" s="21">
        <v>160</v>
      </c>
      <c r="I410" s="22" t="s">
        <v>104</v>
      </c>
      <c r="J410" s="23">
        <v>5400</v>
      </c>
      <c r="K410" s="19" t="s">
        <v>104</v>
      </c>
      <c r="L410" s="24">
        <v>0.125</v>
      </c>
      <c r="M410" s="24">
        <v>0.05</v>
      </c>
      <c r="N410" s="21"/>
      <c r="O410" s="22" t="s">
        <v>104</v>
      </c>
      <c r="P410" s="18">
        <f t="shared" si="97"/>
        <v>0</v>
      </c>
      <c r="Q410" s="22" t="s">
        <v>104</v>
      </c>
      <c r="R410" s="23">
        <f t="shared" si="98"/>
        <v>0</v>
      </c>
      <c r="S410" s="23">
        <f t="shared" si="99"/>
        <v>0</v>
      </c>
    </row>
    <row r="411" spans="1:19" s="45" customFormat="1">
      <c r="A411" s="44" t="s">
        <v>340</v>
      </c>
      <c r="B411" s="45" t="s">
        <v>19</v>
      </c>
      <c r="C411" s="46"/>
      <c r="D411" s="47" t="s">
        <v>104</v>
      </c>
      <c r="E411" s="48">
        <v>2</v>
      </c>
      <c r="F411" s="49">
        <v>1</v>
      </c>
      <c r="G411" s="50" t="s">
        <v>21</v>
      </c>
      <c r="H411" s="49">
        <v>192</v>
      </c>
      <c r="I411" s="50" t="s">
        <v>104</v>
      </c>
      <c r="J411" s="51">
        <v>3600</v>
      </c>
      <c r="K411" s="47" t="s">
        <v>104</v>
      </c>
      <c r="L411" s="52">
        <v>0.125</v>
      </c>
      <c r="M411" s="52">
        <v>0.05</v>
      </c>
      <c r="N411" s="49">
        <v>192</v>
      </c>
      <c r="O411" s="50" t="s">
        <v>104</v>
      </c>
      <c r="P411" s="46">
        <f t="shared" ref="P411" si="100">(C411+(E411*F411*H411))-N411</f>
        <v>192</v>
      </c>
      <c r="Q411" s="50" t="s">
        <v>104</v>
      </c>
      <c r="R411" s="51">
        <f t="shared" ref="R411" si="101">P411*(J411-(J411*L411)-((J411-(J411*L411))*M411))</f>
        <v>574560</v>
      </c>
      <c r="S411" s="51">
        <f t="shared" ref="S411" si="102">R411/1.11</f>
        <v>517621.6216216216</v>
      </c>
    </row>
    <row r="412" spans="1:19" s="45" customFormat="1">
      <c r="A412" s="44" t="s">
        <v>341</v>
      </c>
      <c r="B412" s="45" t="s">
        <v>19</v>
      </c>
      <c r="C412" s="46">
        <v>43</v>
      </c>
      <c r="D412" s="47" t="s">
        <v>104</v>
      </c>
      <c r="E412" s="48">
        <f>2+2</f>
        <v>4</v>
      </c>
      <c r="F412" s="49">
        <v>1</v>
      </c>
      <c r="G412" s="50" t="s">
        <v>21</v>
      </c>
      <c r="H412" s="49">
        <v>96</v>
      </c>
      <c r="I412" s="50" t="s">
        <v>104</v>
      </c>
      <c r="J412" s="51">
        <v>7000</v>
      </c>
      <c r="K412" s="47" t="s">
        <v>104</v>
      </c>
      <c r="L412" s="52">
        <v>0.125</v>
      </c>
      <c r="M412" s="52">
        <v>0.05</v>
      </c>
      <c r="N412" s="49">
        <v>96</v>
      </c>
      <c r="O412" s="50" t="s">
        <v>104</v>
      </c>
      <c r="P412" s="46">
        <f t="shared" si="97"/>
        <v>331</v>
      </c>
      <c r="Q412" s="50" t="s">
        <v>104</v>
      </c>
      <c r="R412" s="51">
        <f t="shared" si="98"/>
        <v>1926006.25</v>
      </c>
      <c r="S412" s="51">
        <f t="shared" si="99"/>
        <v>1735140.7657657657</v>
      </c>
    </row>
    <row r="413" spans="1:19" s="17" customFormat="1">
      <c r="A413" s="16" t="s">
        <v>864</v>
      </c>
      <c r="B413" s="17" t="s">
        <v>19</v>
      </c>
      <c r="C413" s="18"/>
      <c r="D413" s="19" t="s">
        <v>104</v>
      </c>
      <c r="E413" s="20">
        <v>2</v>
      </c>
      <c r="F413" s="21">
        <v>1</v>
      </c>
      <c r="G413" s="22" t="s">
        <v>21</v>
      </c>
      <c r="H413" s="21">
        <v>160</v>
      </c>
      <c r="I413" s="22" t="s">
        <v>104</v>
      </c>
      <c r="J413" s="23">
        <v>5700</v>
      </c>
      <c r="K413" s="19" t="s">
        <v>104</v>
      </c>
      <c r="L413" s="24">
        <v>0.125</v>
      </c>
      <c r="M413" s="24">
        <v>0.05</v>
      </c>
      <c r="N413" s="21">
        <f>160+160+200+5+800</f>
        <v>1325</v>
      </c>
      <c r="O413" s="22" t="s">
        <v>104</v>
      </c>
      <c r="P413" s="18">
        <f t="shared" ref="P413" si="103">(C413+(E413*F413*H413))-N413</f>
        <v>-1005</v>
      </c>
      <c r="Q413" s="22" t="s">
        <v>104</v>
      </c>
      <c r="R413" s="23">
        <f t="shared" ref="R413" si="104">P413*(J413-(J413*L413)-((J413-(J413*L413))*M413))</f>
        <v>-4761815.625</v>
      </c>
      <c r="S413" s="23">
        <f t="shared" ref="S413" si="105">R413/1.11</f>
        <v>-4289923.9864864862</v>
      </c>
    </row>
    <row r="414" spans="1:19" s="26" customFormat="1">
      <c r="A414" s="25" t="s">
        <v>342</v>
      </c>
      <c r="B414" s="26" t="s">
        <v>19</v>
      </c>
      <c r="C414" s="27"/>
      <c r="D414" s="28" t="s">
        <v>104</v>
      </c>
      <c r="E414" s="29">
        <v>2</v>
      </c>
      <c r="F414" s="30">
        <v>1</v>
      </c>
      <c r="G414" s="31" t="s">
        <v>21</v>
      </c>
      <c r="H414" s="30">
        <v>80</v>
      </c>
      <c r="I414" s="31" t="s">
        <v>104</v>
      </c>
      <c r="J414" s="32">
        <v>10800</v>
      </c>
      <c r="K414" s="28" t="s">
        <v>104</v>
      </c>
      <c r="L414" s="33">
        <v>0.125</v>
      </c>
      <c r="M414" s="33">
        <v>0.05</v>
      </c>
      <c r="N414" s="30"/>
      <c r="O414" s="31" t="s">
        <v>104</v>
      </c>
      <c r="P414" s="27">
        <f t="shared" si="97"/>
        <v>160</v>
      </c>
      <c r="Q414" s="31" t="s">
        <v>104</v>
      </c>
      <c r="R414" s="32">
        <f t="shared" si="98"/>
        <v>1436400</v>
      </c>
      <c r="S414" s="32">
        <f t="shared" si="99"/>
        <v>1294054.054054054</v>
      </c>
    </row>
    <row r="415" spans="1:19" s="17" customFormat="1">
      <c r="A415" s="16"/>
      <c r="C415" s="18"/>
      <c r="D415" s="19"/>
      <c r="E415" s="20"/>
      <c r="F415" s="21"/>
      <c r="G415" s="22"/>
      <c r="H415" s="21"/>
      <c r="I415" s="22"/>
      <c r="J415" s="23"/>
      <c r="K415" s="19"/>
      <c r="L415" s="24"/>
      <c r="M415" s="24"/>
      <c r="N415" s="21"/>
      <c r="O415" s="22"/>
      <c r="P415" s="18"/>
      <c r="Q415" s="22"/>
      <c r="R415" s="23"/>
      <c r="S415" s="23"/>
    </row>
    <row r="416" spans="1:19" s="26" customFormat="1">
      <c r="A416" s="35" t="s">
        <v>343</v>
      </c>
      <c r="B416" s="36" t="s">
        <v>26</v>
      </c>
      <c r="C416" s="37">
        <v>1840</v>
      </c>
      <c r="D416" s="38" t="s">
        <v>104</v>
      </c>
      <c r="E416" s="39"/>
      <c r="F416" s="40">
        <v>1</v>
      </c>
      <c r="G416" s="41" t="s">
        <v>21</v>
      </c>
      <c r="H416" s="40">
        <v>192</v>
      </c>
      <c r="I416" s="41" t="s">
        <v>104</v>
      </c>
      <c r="J416" s="42">
        <f>729600/192</f>
        <v>3800</v>
      </c>
      <c r="K416" s="38" t="s">
        <v>104</v>
      </c>
      <c r="L416" s="43"/>
      <c r="M416" s="43">
        <v>0.17</v>
      </c>
      <c r="N416" s="40">
        <f>25+200+384+30</f>
        <v>639</v>
      </c>
      <c r="O416" s="41" t="s">
        <v>104</v>
      </c>
      <c r="P416" s="37">
        <f t="shared" si="97"/>
        <v>1201</v>
      </c>
      <c r="Q416" s="41" t="s">
        <v>104</v>
      </c>
      <c r="R416" s="42">
        <f t="shared" si="98"/>
        <v>3787954</v>
      </c>
      <c r="S416" s="42">
        <f t="shared" si="99"/>
        <v>3412571.1711711707</v>
      </c>
    </row>
    <row r="417" spans="1:20" s="26" customFormat="1">
      <c r="A417" s="35" t="s">
        <v>343</v>
      </c>
      <c r="B417" s="36" t="s">
        <v>26</v>
      </c>
      <c r="C417" s="37">
        <v>576</v>
      </c>
      <c r="D417" s="38" t="s">
        <v>104</v>
      </c>
      <c r="E417" s="39"/>
      <c r="F417" s="40">
        <v>1</v>
      </c>
      <c r="G417" s="41" t="s">
        <v>21</v>
      </c>
      <c r="H417" s="40">
        <v>192</v>
      </c>
      <c r="I417" s="41" t="s">
        <v>104</v>
      </c>
      <c r="J417" s="42">
        <f>844800/192</f>
        <v>4400</v>
      </c>
      <c r="K417" s="38" t="s">
        <v>104</v>
      </c>
      <c r="L417" s="43"/>
      <c r="M417" s="43">
        <v>0.17</v>
      </c>
      <c r="N417" s="40"/>
      <c r="O417" s="41" t="s">
        <v>104</v>
      </c>
      <c r="P417" s="37">
        <f t="shared" si="97"/>
        <v>576</v>
      </c>
      <c r="Q417" s="41" t="s">
        <v>104</v>
      </c>
      <c r="R417" s="42">
        <f t="shared" si="98"/>
        <v>2103552</v>
      </c>
      <c r="S417" s="42">
        <f t="shared" si="99"/>
        <v>1895091.8918918918</v>
      </c>
    </row>
    <row r="418" spans="1:20" s="45" customFormat="1">
      <c r="A418" s="44" t="s">
        <v>344</v>
      </c>
      <c r="B418" s="45" t="s">
        <v>26</v>
      </c>
      <c r="C418" s="46">
        <v>125</v>
      </c>
      <c r="D418" s="47" t="s">
        <v>104</v>
      </c>
      <c r="E418" s="48"/>
      <c r="F418" s="49">
        <v>1</v>
      </c>
      <c r="G418" s="50" t="s">
        <v>21</v>
      </c>
      <c r="H418" s="49">
        <v>96</v>
      </c>
      <c r="I418" s="50" t="s">
        <v>104</v>
      </c>
      <c r="J418" s="51">
        <f>801600/96</f>
        <v>8350</v>
      </c>
      <c r="K418" s="47" t="s">
        <v>104</v>
      </c>
      <c r="L418" s="52"/>
      <c r="M418" s="52">
        <v>0.17</v>
      </c>
      <c r="N418" s="49"/>
      <c r="O418" s="50" t="s">
        <v>104</v>
      </c>
      <c r="P418" s="46">
        <f t="shared" si="97"/>
        <v>125</v>
      </c>
      <c r="Q418" s="50" t="s">
        <v>104</v>
      </c>
      <c r="R418" s="51">
        <f t="shared" si="98"/>
        <v>866312.5</v>
      </c>
      <c r="S418" s="51">
        <f t="shared" si="99"/>
        <v>780461.7117117116</v>
      </c>
    </row>
    <row r="419" spans="1:20" s="26" customFormat="1">
      <c r="A419" s="25" t="s">
        <v>345</v>
      </c>
      <c r="B419" s="26" t="s">
        <v>26</v>
      </c>
      <c r="C419" s="27"/>
      <c r="D419" s="28" t="s">
        <v>104</v>
      </c>
      <c r="E419" s="29">
        <v>2</v>
      </c>
      <c r="F419" s="30">
        <v>1</v>
      </c>
      <c r="G419" s="31" t="s">
        <v>21</v>
      </c>
      <c r="H419" s="30">
        <v>160</v>
      </c>
      <c r="I419" s="31" t="s">
        <v>104</v>
      </c>
      <c r="J419" s="32">
        <f>1104000/160</f>
        <v>6900</v>
      </c>
      <c r="K419" s="28" t="s">
        <v>104</v>
      </c>
      <c r="L419" s="33"/>
      <c r="M419" s="33">
        <v>0.17</v>
      </c>
      <c r="N419" s="30"/>
      <c r="O419" s="31" t="s">
        <v>104</v>
      </c>
      <c r="P419" s="27">
        <f t="shared" si="97"/>
        <v>320</v>
      </c>
      <c r="Q419" s="31" t="s">
        <v>104</v>
      </c>
      <c r="R419" s="32">
        <f t="shared" si="98"/>
        <v>1832640</v>
      </c>
      <c r="S419" s="32">
        <f t="shared" si="99"/>
        <v>1651027.027027027</v>
      </c>
    </row>
    <row r="420" spans="1:20" s="17" customFormat="1">
      <c r="A420" s="95" t="s">
        <v>346</v>
      </c>
      <c r="B420" s="96" t="s">
        <v>26</v>
      </c>
      <c r="C420" s="97">
        <v>84</v>
      </c>
      <c r="D420" s="98" t="s">
        <v>104</v>
      </c>
      <c r="E420" s="105"/>
      <c r="F420" s="100">
        <v>1</v>
      </c>
      <c r="G420" s="101" t="s">
        <v>21</v>
      </c>
      <c r="H420" s="100">
        <v>80</v>
      </c>
      <c r="I420" s="101" t="s">
        <v>104</v>
      </c>
      <c r="J420" s="102">
        <f>912000/80</f>
        <v>11400</v>
      </c>
      <c r="K420" s="98" t="s">
        <v>104</v>
      </c>
      <c r="L420" s="103"/>
      <c r="M420" s="103">
        <v>0.17</v>
      </c>
      <c r="N420" s="100">
        <f>80+80-76</f>
        <v>84</v>
      </c>
      <c r="O420" s="101" t="s">
        <v>104</v>
      </c>
      <c r="P420" s="97">
        <f t="shared" si="97"/>
        <v>0</v>
      </c>
      <c r="Q420" s="101" t="s">
        <v>104</v>
      </c>
      <c r="R420" s="102">
        <f t="shared" si="98"/>
        <v>0</v>
      </c>
      <c r="S420" s="102">
        <f t="shared" si="99"/>
        <v>0</v>
      </c>
    </row>
    <row r="421" spans="1:20">
      <c r="A421" s="159" t="s">
        <v>346</v>
      </c>
      <c r="B421" s="160" t="s">
        <v>26</v>
      </c>
      <c r="C421" s="161">
        <v>80</v>
      </c>
      <c r="D421" s="162" t="s">
        <v>104</v>
      </c>
      <c r="E421" s="163">
        <f>1+1+2+2</f>
        <v>6</v>
      </c>
      <c r="F421" s="164">
        <v>1</v>
      </c>
      <c r="G421" s="165" t="s">
        <v>21</v>
      </c>
      <c r="H421" s="164">
        <v>80</v>
      </c>
      <c r="I421" s="165" t="s">
        <v>104</v>
      </c>
      <c r="J421" s="166">
        <f>1040000/80</f>
        <v>13000</v>
      </c>
      <c r="K421" s="162" t="s">
        <v>104</v>
      </c>
      <c r="L421" s="167"/>
      <c r="M421" s="167">
        <v>0.17</v>
      </c>
      <c r="N421" s="164">
        <f>(80-4)+80+80</f>
        <v>236</v>
      </c>
      <c r="O421" s="165" t="s">
        <v>104</v>
      </c>
      <c r="P421" s="161">
        <f t="shared" si="97"/>
        <v>324</v>
      </c>
      <c r="Q421" s="165" t="s">
        <v>104</v>
      </c>
      <c r="R421" s="166">
        <f t="shared" si="98"/>
        <v>3495960</v>
      </c>
      <c r="S421" s="42">
        <f t="shared" si="99"/>
        <v>3149513.5135135134</v>
      </c>
    </row>
    <row r="422" spans="1:20">
      <c r="S422" s="23"/>
    </row>
    <row r="423" spans="1:20" ht="15.75">
      <c r="A423" s="14" t="s">
        <v>225</v>
      </c>
      <c r="L423" s="112"/>
      <c r="M423" s="112"/>
      <c r="S423" s="23"/>
    </row>
    <row r="424" spans="1:20">
      <c r="A424" s="15" t="s">
        <v>225</v>
      </c>
      <c r="L424" s="112"/>
      <c r="M424" s="112"/>
      <c r="S424" s="23"/>
    </row>
    <row r="425" spans="1:20" s="26" customFormat="1">
      <c r="A425" s="25" t="s">
        <v>347</v>
      </c>
      <c r="B425" s="26" t="s">
        <v>19</v>
      </c>
      <c r="C425" s="27">
        <v>1</v>
      </c>
      <c r="D425" s="28" t="s">
        <v>20</v>
      </c>
      <c r="E425" s="29">
        <f>(1+1+1+1)+(1+1+1+1)</f>
        <v>8</v>
      </c>
      <c r="F425" s="30">
        <v>1</v>
      </c>
      <c r="G425" s="31" t="s">
        <v>21</v>
      </c>
      <c r="H425" s="30">
        <v>48</v>
      </c>
      <c r="I425" s="31" t="s">
        <v>20</v>
      </c>
      <c r="J425" s="32">
        <v>17600</v>
      </c>
      <c r="K425" s="28" t="s">
        <v>20</v>
      </c>
      <c r="L425" s="33">
        <v>0.125</v>
      </c>
      <c r="M425" s="33">
        <v>0.05</v>
      </c>
      <c r="N425" s="30"/>
      <c r="O425" s="31" t="s">
        <v>20</v>
      </c>
      <c r="P425" s="27">
        <f>(C425+(E425*F425*H425))-N425</f>
        <v>385</v>
      </c>
      <c r="Q425" s="31" t="s">
        <v>20</v>
      </c>
      <c r="R425" s="32">
        <f>P425*(J425-(J425*L425)-((J425-(J425*L425))*M425))</f>
        <v>5632550</v>
      </c>
      <c r="S425" s="32">
        <f t="shared" si="99"/>
        <v>5074369.369369369</v>
      </c>
      <c r="T425" s="32"/>
    </row>
    <row r="426" spans="1:20">
      <c r="S426" s="32"/>
    </row>
    <row r="427" spans="1:20" ht="15.75">
      <c r="A427" s="14" t="s">
        <v>348</v>
      </c>
      <c r="L427" s="112"/>
      <c r="M427" s="112"/>
      <c r="S427" s="32"/>
    </row>
    <row r="428" spans="1:20">
      <c r="A428" s="15" t="s">
        <v>349</v>
      </c>
      <c r="L428" s="112"/>
      <c r="M428" s="112"/>
      <c r="S428" s="32"/>
    </row>
    <row r="429" spans="1:20" s="17" customFormat="1">
      <c r="A429" s="16" t="s">
        <v>350</v>
      </c>
      <c r="B429" s="17" t="s">
        <v>19</v>
      </c>
      <c r="C429" s="18"/>
      <c r="D429" s="19" t="s">
        <v>20</v>
      </c>
      <c r="E429" s="20"/>
      <c r="F429" s="21">
        <v>1</v>
      </c>
      <c r="G429" s="22" t="s">
        <v>21</v>
      </c>
      <c r="H429" s="21">
        <v>24</v>
      </c>
      <c r="I429" s="22" t="s">
        <v>20</v>
      </c>
      <c r="J429" s="23">
        <v>35000</v>
      </c>
      <c r="K429" s="19" t="s">
        <v>20</v>
      </c>
      <c r="L429" s="24">
        <v>0.125</v>
      </c>
      <c r="M429" s="24">
        <v>0.05</v>
      </c>
      <c r="N429" s="21"/>
      <c r="O429" s="22" t="s">
        <v>20</v>
      </c>
      <c r="P429" s="18">
        <f t="shared" ref="P429:P438" si="106">(C429+(E429*F429*H429))-N429</f>
        <v>0</v>
      </c>
      <c r="Q429" s="22" t="s">
        <v>20</v>
      </c>
      <c r="R429" s="23">
        <f t="shared" ref="R429:R436" si="107">P429*(J429-(J429*L429)-((J429-(J429*L429))*M429))</f>
        <v>0</v>
      </c>
      <c r="S429" s="23">
        <f t="shared" si="99"/>
        <v>0</v>
      </c>
    </row>
    <row r="430" spans="1:20" s="45" customFormat="1">
      <c r="A430" s="44" t="s">
        <v>351</v>
      </c>
      <c r="B430" s="45" t="s">
        <v>19</v>
      </c>
      <c r="C430" s="46">
        <v>180</v>
      </c>
      <c r="D430" s="47" t="s">
        <v>20</v>
      </c>
      <c r="E430" s="48">
        <f>(1+1+1)+2+(1+1+1)+(1+1+1+1+1+0.5+0.5+0.5+0.5)</f>
        <v>15</v>
      </c>
      <c r="F430" s="49">
        <v>1</v>
      </c>
      <c r="G430" s="50" t="s">
        <v>21</v>
      </c>
      <c r="H430" s="49">
        <v>72</v>
      </c>
      <c r="I430" s="50" t="s">
        <v>20</v>
      </c>
      <c r="J430" s="51">
        <v>15800</v>
      </c>
      <c r="K430" s="47" t="s">
        <v>20</v>
      </c>
      <c r="L430" s="52">
        <v>0.125</v>
      </c>
      <c r="M430" s="52">
        <v>0.05</v>
      </c>
      <c r="N430" s="49">
        <f>216+48+(12+12)+12+(24+24)+12+216</f>
        <v>576</v>
      </c>
      <c r="O430" s="50" t="s">
        <v>20</v>
      </c>
      <c r="P430" s="46">
        <f t="shared" si="106"/>
        <v>684</v>
      </c>
      <c r="Q430" s="50" t="s">
        <v>20</v>
      </c>
      <c r="R430" s="51">
        <f t="shared" si="107"/>
        <v>8983485</v>
      </c>
      <c r="S430" s="51">
        <f t="shared" si="99"/>
        <v>8093229.7297297288</v>
      </c>
      <c r="T430" s="51"/>
    </row>
    <row r="431" spans="1:20" s="45" customFormat="1">
      <c r="A431" s="44" t="s">
        <v>352</v>
      </c>
      <c r="B431" s="45" t="s">
        <v>19</v>
      </c>
      <c r="C431" s="46">
        <v>204</v>
      </c>
      <c r="D431" s="47" t="s">
        <v>20</v>
      </c>
      <c r="E431" s="48">
        <v>1</v>
      </c>
      <c r="F431" s="49">
        <v>1</v>
      </c>
      <c r="G431" s="50" t="s">
        <v>21</v>
      </c>
      <c r="H431" s="49">
        <v>72</v>
      </c>
      <c r="I431" s="50" t="s">
        <v>20</v>
      </c>
      <c r="J431" s="51">
        <v>15800</v>
      </c>
      <c r="K431" s="47" t="s">
        <v>20</v>
      </c>
      <c r="L431" s="52">
        <v>0.125</v>
      </c>
      <c r="M431" s="52">
        <v>0.05</v>
      </c>
      <c r="N431" s="49">
        <f>144+72</f>
        <v>216</v>
      </c>
      <c r="O431" s="50" t="s">
        <v>20</v>
      </c>
      <c r="P431" s="46">
        <f t="shared" si="106"/>
        <v>60</v>
      </c>
      <c r="Q431" s="50" t="s">
        <v>20</v>
      </c>
      <c r="R431" s="51">
        <f t="shared" si="107"/>
        <v>788025</v>
      </c>
      <c r="S431" s="51">
        <f t="shared" si="99"/>
        <v>709932.43243243243</v>
      </c>
      <c r="T431" s="51"/>
    </row>
    <row r="432" spans="1:20" s="63" customFormat="1">
      <c r="A432" s="72" t="s">
        <v>353</v>
      </c>
      <c r="B432" s="63" t="s">
        <v>19</v>
      </c>
      <c r="C432" s="64"/>
      <c r="D432" s="65" t="s">
        <v>20</v>
      </c>
      <c r="E432" s="66">
        <f>(1+1+1)+(0.5+0.5+0.5+0.5)</f>
        <v>5</v>
      </c>
      <c r="F432" s="67">
        <v>1</v>
      </c>
      <c r="G432" s="68" t="s">
        <v>21</v>
      </c>
      <c r="H432" s="67">
        <v>72</v>
      </c>
      <c r="I432" s="68" t="s">
        <v>20</v>
      </c>
      <c r="J432" s="69">
        <v>20700</v>
      </c>
      <c r="K432" s="65" t="s">
        <v>20</v>
      </c>
      <c r="L432" s="70">
        <v>0.125</v>
      </c>
      <c r="M432" s="70">
        <v>0.05</v>
      </c>
      <c r="N432" s="67">
        <f>216+144</f>
        <v>360</v>
      </c>
      <c r="O432" s="68" t="s">
        <v>20</v>
      </c>
      <c r="P432" s="64">
        <f t="shared" si="106"/>
        <v>0</v>
      </c>
      <c r="Q432" s="68" t="s">
        <v>20</v>
      </c>
      <c r="R432" s="69">
        <f t="shared" si="107"/>
        <v>0</v>
      </c>
      <c r="S432" s="69">
        <f t="shared" si="99"/>
        <v>0</v>
      </c>
    </row>
    <row r="433" spans="1:19" s="45" customFormat="1">
      <c r="A433" s="44" t="s">
        <v>354</v>
      </c>
      <c r="B433" s="45" t="s">
        <v>19</v>
      </c>
      <c r="C433" s="46">
        <v>36</v>
      </c>
      <c r="D433" s="47" t="s">
        <v>20</v>
      </c>
      <c r="E433" s="48">
        <v>2</v>
      </c>
      <c r="F433" s="49">
        <v>1</v>
      </c>
      <c r="G433" s="50" t="s">
        <v>21</v>
      </c>
      <c r="H433" s="49">
        <v>72</v>
      </c>
      <c r="I433" s="50" t="s">
        <v>20</v>
      </c>
      <c r="J433" s="51">
        <v>20700</v>
      </c>
      <c r="K433" s="47" t="s">
        <v>20</v>
      </c>
      <c r="L433" s="52">
        <v>0.125</v>
      </c>
      <c r="M433" s="52">
        <v>0.05</v>
      </c>
      <c r="N433" s="49"/>
      <c r="O433" s="50" t="s">
        <v>20</v>
      </c>
      <c r="P433" s="46">
        <f t="shared" si="106"/>
        <v>180</v>
      </c>
      <c r="Q433" s="50" t="s">
        <v>20</v>
      </c>
      <c r="R433" s="51">
        <f t="shared" si="107"/>
        <v>3097237.5</v>
      </c>
      <c r="S433" s="51">
        <f t="shared" si="99"/>
        <v>2790304.054054054</v>
      </c>
    </row>
    <row r="434" spans="1:19" s="45" customFormat="1">
      <c r="A434" s="44"/>
      <c r="C434" s="46"/>
      <c r="D434" s="47"/>
      <c r="E434" s="48"/>
      <c r="F434" s="49"/>
      <c r="G434" s="50"/>
      <c r="H434" s="49"/>
      <c r="I434" s="50"/>
      <c r="J434" s="51"/>
      <c r="K434" s="47"/>
      <c r="L434" s="52"/>
      <c r="M434" s="52"/>
      <c r="N434" s="49"/>
      <c r="O434" s="50"/>
      <c r="P434" s="46"/>
      <c r="Q434" s="50"/>
      <c r="R434" s="51"/>
      <c r="S434" s="51"/>
    </row>
    <row r="435" spans="1:19" s="63" customFormat="1">
      <c r="A435" s="72" t="s">
        <v>791</v>
      </c>
      <c r="B435" s="63" t="s">
        <v>26</v>
      </c>
      <c r="C435" s="64"/>
      <c r="D435" s="65" t="s">
        <v>20</v>
      </c>
      <c r="E435" s="66"/>
      <c r="F435" s="67">
        <v>1</v>
      </c>
      <c r="G435" s="68" t="s">
        <v>21</v>
      </c>
      <c r="H435" s="67">
        <v>72</v>
      </c>
      <c r="I435" s="68" t="s">
        <v>20</v>
      </c>
      <c r="J435" s="69">
        <f>1224000/72</f>
        <v>17000</v>
      </c>
      <c r="K435" s="65" t="s">
        <v>20</v>
      </c>
      <c r="L435" s="70"/>
      <c r="M435" s="70">
        <v>0.17</v>
      </c>
      <c r="N435" s="67"/>
      <c r="O435" s="68" t="s">
        <v>20</v>
      </c>
      <c r="P435" s="64">
        <f t="shared" si="106"/>
        <v>0</v>
      </c>
      <c r="Q435" s="68" t="s">
        <v>20</v>
      </c>
      <c r="R435" s="69">
        <f t="shared" si="107"/>
        <v>0</v>
      </c>
      <c r="S435" s="69">
        <f t="shared" si="99"/>
        <v>0</v>
      </c>
    </row>
    <row r="436" spans="1:19" s="45" customFormat="1">
      <c r="A436" s="44" t="s">
        <v>356</v>
      </c>
      <c r="B436" s="45" t="s">
        <v>26</v>
      </c>
      <c r="C436" s="46">
        <v>36</v>
      </c>
      <c r="D436" s="47" t="s">
        <v>20</v>
      </c>
      <c r="E436" s="48"/>
      <c r="F436" s="49">
        <v>1</v>
      </c>
      <c r="G436" s="50" t="s">
        <v>21</v>
      </c>
      <c r="H436" s="49">
        <v>72</v>
      </c>
      <c r="I436" s="50" t="s">
        <v>20</v>
      </c>
      <c r="J436" s="51">
        <f>1512000/72</f>
        <v>21000</v>
      </c>
      <c r="K436" s="47" t="s">
        <v>20</v>
      </c>
      <c r="L436" s="52">
        <v>0.125</v>
      </c>
      <c r="M436" s="52">
        <v>0.05</v>
      </c>
      <c r="N436" s="49"/>
      <c r="O436" s="50" t="s">
        <v>20</v>
      </c>
      <c r="P436" s="46">
        <v>36</v>
      </c>
      <c r="Q436" s="50" t="s">
        <v>20</v>
      </c>
      <c r="R436" s="51">
        <f t="shared" si="107"/>
        <v>628425</v>
      </c>
      <c r="S436" s="51">
        <f t="shared" si="99"/>
        <v>566148.64864864864</v>
      </c>
    </row>
    <row r="437" spans="1:19" s="63" customFormat="1">
      <c r="A437" s="72" t="s">
        <v>792</v>
      </c>
      <c r="B437" s="63" t="s">
        <v>26</v>
      </c>
      <c r="C437" s="64"/>
      <c r="D437" s="65" t="s">
        <v>20</v>
      </c>
      <c r="E437" s="66"/>
      <c r="F437" s="67">
        <v>1</v>
      </c>
      <c r="G437" s="68" t="s">
        <v>21</v>
      </c>
      <c r="H437" s="67">
        <v>72</v>
      </c>
      <c r="I437" s="68" t="s">
        <v>20</v>
      </c>
      <c r="J437" s="69">
        <f>1224000/72</f>
        <v>17000</v>
      </c>
      <c r="K437" s="65" t="s">
        <v>20</v>
      </c>
      <c r="L437" s="70"/>
      <c r="M437" s="70">
        <v>0.17</v>
      </c>
      <c r="N437" s="67"/>
      <c r="O437" s="68" t="s">
        <v>20</v>
      </c>
      <c r="P437" s="64">
        <f t="shared" ref="P437" si="108">(C437+(E437*F437*H437))-N437</f>
        <v>0</v>
      </c>
      <c r="Q437" s="68" t="s">
        <v>20</v>
      </c>
      <c r="R437" s="69">
        <f>P437*(J437-(J437*L437)-((J437-(J437*L437))*M437))</f>
        <v>0</v>
      </c>
      <c r="S437" s="69">
        <f t="shared" si="99"/>
        <v>0</v>
      </c>
    </row>
    <row r="438" spans="1:19" s="63" customFormat="1">
      <c r="A438" s="72" t="s">
        <v>357</v>
      </c>
      <c r="B438" s="63" t="s">
        <v>26</v>
      </c>
      <c r="C438" s="64"/>
      <c r="D438" s="65" t="s">
        <v>20</v>
      </c>
      <c r="E438" s="66"/>
      <c r="F438" s="67">
        <v>1</v>
      </c>
      <c r="G438" s="68" t="s">
        <v>21</v>
      </c>
      <c r="H438" s="67">
        <v>120</v>
      </c>
      <c r="I438" s="68" t="s">
        <v>20</v>
      </c>
      <c r="J438" s="69">
        <v>9000</v>
      </c>
      <c r="K438" s="65" t="s">
        <v>20</v>
      </c>
      <c r="L438" s="70"/>
      <c r="M438" s="70">
        <v>0.17</v>
      </c>
      <c r="N438" s="67"/>
      <c r="O438" s="68" t="s">
        <v>20</v>
      </c>
      <c r="P438" s="64">
        <f t="shared" si="106"/>
        <v>0</v>
      </c>
      <c r="Q438" s="68" t="s">
        <v>20</v>
      </c>
      <c r="R438" s="69">
        <f>P438*(J438-(J438*L438)-((J438-(J438*L438))*M438))</f>
        <v>0</v>
      </c>
      <c r="S438" s="23">
        <f t="shared" si="99"/>
        <v>0</v>
      </c>
    </row>
    <row r="439" spans="1:19" s="63" customFormat="1">
      <c r="A439" s="72"/>
      <c r="C439" s="64"/>
      <c r="D439" s="65"/>
      <c r="E439" s="66"/>
      <c r="F439" s="67"/>
      <c r="G439" s="68"/>
      <c r="H439" s="67"/>
      <c r="I439" s="68"/>
      <c r="J439" s="69"/>
      <c r="K439" s="65"/>
      <c r="L439" s="70"/>
      <c r="M439" s="70"/>
      <c r="N439" s="67"/>
      <c r="O439" s="68"/>
      <c r="P439" s="64"/>
      <c r="Q439" s="68"/>
      <c r="R439" s="69"/>
      <c r="S439" s="23"/>
    </row>
    <row r="440" spans="1:19">
      <c r="A440" s="15" t="s">
        <v>358</v>
      </c>
      <c r="S440" s="23"/>
    </row>
    <row r="441" spans="1:19" s="17" customFormat="1">
      <c r="A441" s="16" t="s">
        <v>359</v>
      </c>
      <c r="B441" s="17" t="s">
        <v>19</v>
      </c>
      <c r="C441" s="18"/>
      <c r="D441" s="19" t="s">
        <v>20</v>
      </c>
      <c r="E441" s="20"/>
      <c r="F441" s="21">
        <v>2</v>
      </c>
      <c r="G441" s="22" t="s">
        <v>34</v>
      </c>
      <c r="H441" s="21">
        <v>24</v>
      </c>
      <c r="I441" s="22" t="s">
        <v>20</v>
      </c>
      <c r="J441" s="23">
        <v>9200</v>
      </c>
      <c r="K441" s="19" t="s">
        <v>20</v>
      </c>
      <c r="L441" s="24">
        <v>0.125</v>
      </c>
      <c r="M441" s="24">
        <v>0.05</v>
      </c>
      <c r="N441" s="21"/>
      <c r="O441" s="22" t="s">
        <v>20</v>
      </c>
      <c r="P441" s="18">
        <f t="shared" ref="P441:P442" si="109">(C441+(E441*F441*H441))-N441</f>
        <v>0</v>
      </c>
      <c r="Q441" s="22" t="s">
        <v>20</v>
      </c>
      <c r="R441" s="23">
        <f t="shared" ref="R441:R442" si="110">P441*(J441-(J441*L441)-((J441-(J441*L441))*M441))</f>
        <v>0</v>
      </c>
      <c r="S441" s="23">
        <f t="shared" si="99"/>
        <v>0</v>
      </c>
    </row>
    <row r="442" spans="1:19" s="17" customFormat="1">
      <c r="A442" s="16" t="s">
        <v>838</v>
      </c>
      <c r="B442" s="17" t="s">
        <v>19</v>
      </c>
      <c r="C442" s="18"/>
      <c r="D442" s="19" t="s">
        <v>20</v>
      </c>
      <c r="E442" s="20"/>
      <c r="F442" s="21">
        <v>4</v>
      </c>
      <c r="G442" s="22" t="s">
        <v>34</v>
      </c>
      <c r="H442" s="21">
        <v>24</v>
      </c>
      <c r="I442" s="22" t="s">
        <v>20</v>
      </c>
      <c r="J442" s="23">
        <v>6300</v>
      </c>
      <c r="K442" s="19" t="s">
        <v>20</v>
      </c>
      <c r="L442" s="24">
        <v>0.125</v>
      </c>
      <c r="M442" s="24">
        <v>0.05</v>
      </c>
      <c r="N442" s="21"/>
      <c r="O442" s="22" t="s">
        <v>20</v>
      </c>
      <c r="P442" s="18">
        <f t="shared" si="109"/>
        <v>0</v>
      </c>
      <c r="Q442" s="22" t="s">
        <v>20</v>
      </c>
      <c r="R442" s="23">
        <f t="shared" si="110"/>
        <v>0</v>
      </c>
      <c r="S442" s="23">
        <f t="shared" si="99"/>
        <v>0</v>
      </c>
    </row>
    <row r="443" spans="1:19" s="17" customFormat="1">
      <c r="A443" s="16"/>
      <c r="C443" s="18"/>
      <c r="D443" s="19"/>
      <c r="E443" s="20"/>
      <c r="F443" s="21"/>
      <c r="G443" s="22"/>
      <c r="H443" s="21"/>
      <c r="I443" s="22"/>
      <c r="J443" s="23"/>
      <c r="K443" s="19"/>
      <c r="L443" s="24"/>
      <c r="M443" s="24"/>
      <c r="N443" s="21"/>
      <c r="O443" s="22"/>
      <c r="P443" s="18"/>
      <c r="Q443" s="22"/>
      <c r="R443" s="23"/>
      <c r="S443" s="23"/>
    </row>
    <row r="444" spans="1:19" s="45" customFormat="1">
      <c r="A444" s="44" t="s">
        <v>360</v>
      </c>
      <c r="B444" s="45" t="s">
        <v>26</v>
      </c>
      <c r="C444" s="46"/>
      <c r="D444" s="47" t="s">
        <v>43</v>
      </c>
      <c r="E444" s="48">
        <f>1+1</f>
        <v>2</v>
      </c>
      <c r="F444" s="49">
        <v>1</v>
      </c>
      <c r="G444" s="50" t="s">
        <v>21</v>
      </c>
      <c r="H444" s="49">
        <v>12</v>
      </c>
      <c r="I444" s="50" t="s">
        <v>43</v>
      </c>
      <c r="J444" s="51">
        <f>741600/12</f>
        <v>61800</v>
      </c>
      <c r="K444" s="47" t="s">
        <v>43</v>
      </c>
      <c r="L444" s="52"/>
      <c r="M444" s="52">
        <v>0.17</v>
      </c>
      <c r="N444" s="49">
        <f>12+12</f>
        <v>24</v>
      </c>
      <c r="O444" s="50" t="s">
        <v>43</v>
      </c>
      <c r="P444" s="46">
        <f>(C444+(E444*F444*H444))-N444</f>
        <v>0</v>
      </c>
      <c r="Q444" s="50" t="s">
        <v>43</v>
      </c>
      <c r="R444" s="51">
        <f>P444*(J444-(J444*L444)-((J444-(J444*L444))*M444))</f>
        <v>0</v>
      </c>
      <c r="S444" s="51">
        <f t="shared" si="99"/>
        <v>0</v>
      </c>
    </row>
    <row r="445" spans="1:19" s="63" customFormat="1">
      <c r="A445" s="72" t="s">
        <v>361</v>
      </c>
      <c r="B445" s="63" t="s">
        <v>26</v>
      </c>
      <c r="C445" s="64"/>
      <c r="D445" s="65" t="s">
        <v>43</v>
      </c>
      <c r="E445" s="66">
        <f>1+1</f>
        <v>2</v>
      </c>
      <c r="F445" s="67">
        <v>1</v>
      </c>
      <c r="G445" s="68" t="s">
        <v>21</v>
      </c>
      <c r="H445" s="67">
        <v>20</v>
      </c>
      <c r="I445" s="68" t="s">
        <v>43</v>
      </c>
      <c r="J445" s="69">
        <f>804000/20</f>
        <v>40200</v>
      </c>
      <c r="K445" s="65" t="s">
        <v>43</v>
      </c>
      <c r="L445" s="70"/>
      <c r="M445" s="70">
        <v>0.17</v>
      </c>
      <c r="N445" s="67">
        <f>20+20</f>
        <v>40</v>
      </c>
      <c r="O445" s="68" t="s">
        <v>43</v>
      </c>
      <c r="P445" s="64">
        <f>(C445+(E445*F445*H445))-N445</f>
        <v>0</v>
      </c>
      <c r="Q445" s="68" t="s">
        <v>43</v>
      </c>
      <c r="R445" s="69">
        <f>P445*(J445-(J445*L445)-((J445-(J445*L445))*M445))</f>
        <v>0</v>
      </c>
      <c r="S445" s="23">
        <f t="shared" si="99"/>
        <v>0</v>
      </c>
    </row>
    <row r="446" spans="1:19" s="63" customFormat="1">
      <c r="A446" s="72" t="s">
        <v>362</v>
      </c>
      <c r="B446" s="63" t="s">
        <v>26</v>
      </c>
      <c r="C446" s="64"/>
      <c r="D446" s="65" t="s">
        <v>43</v>
      </c>
      <c r="E446" s="66"/>
      <c r="F446" s="67">
        <v>1</v>
      </c>
      <c r="G446" s="68" t="s">
        <v>21</v>
      </c>
      <c r="H446" s="67">
        <v>6</v>
      </c>
      <c r="I446" s="68" t="s">
        <v>43</v>
      </c>
      <c r="J446" s="69">
        <f>810000/6</f>
        <v>135000</v>
      </c>
      <c r="K446" s="65" t="s">
        <v>43</v>
      </c>
      <c r="L446" s="70"/>
      <c r="M446" s="70">
        <v>0.17</v>
      </c>
      <c r="N446" s="67"/>
      <c r="O446" s="68" t="s">
        <v>43</v>
      </c>
      <c r="P446" s="64">
        <f>(C446+(E446*F446*H446))-N446</f>
        <v>0</v>
      </c>
      <c r="Q446" s="68" t="s">
        <v>43</v>
      </c>
      <c r="R446" s="69">
        <f>P446*(J446-(J446*L446)-((J446-(J446*L446))*M446))</f>
        <v>0</v>
      </c>
      <c r="S446" s="69">
        <f t="shared" si="99"/>
        <v>0</v>
      </c>
    </row>
    <row r="447" spans="1:19" s="45" customFormat="1">
      <c r="A447" s="44"/>
      <c r="C447" s="46"/>
      <c r="D447" s="47"/>
      <c r="E447" s="48"/>
      <c r="F447" s="49"/>
      <c r="G447" s="50"/>
      <c r="H447" s="49"/>
      <c r="I447" s="50"/>
      <c r="J447" s="51"/>
      <c r="K447" s="47"/>
      <c r="L447" s="52"/>
      <c r="M447" s="52"/>
      <c r="N447" s="49"/>
      <c r="O447" s="50"/>
      <c r="P447" s="46"/>
      <c r="Q447" s="50"/>
      <c r="R447" s="51"/>
      <c r="S447" s="51"/>
    </row>
    <row r="448" spans="1:19">
      <c r="A448" s="15" t="s">
        <v>363</v>
      </c>
      <c r="L448" s="112"/>
      <c r="M448" s="112"/>
      <c r="S448" s="23"/>
    </row>
    <row r="449" spans="1:20" s="17" customFormat="1">
      <c r="A449" s="16" t="s">
        <v>364</v>
      </c>
      <c r="B449" s="17" t="s">
        <v>19</v>
      </c>
      <c r="C449" s="18"/>
      <c r="D449" s="19" t="s">
        <v>162</v>
      </c>
      <c r="E449" s="20"/>
      <c r="F449" s="21">
        <v>36</v>
      </c>
      <c r="G449" s="22" t="s">
        <v>34</v>
      </c>
      <c r="H449" s="21">
        <v>30</v>
      </c>
      <c r="I449" s="22" t="s">
        <v>162</v>
      </c>
      <c r="J449" s="23">
        <v>3200</v>
      </c>
      <c r="K449" s="19" t="s">
        <v>162</v>
      </c>
      <c r="L449" s="24">
        <v>0.125</v>
      </c>
      <c r="M449" s="24">
        <v>0.05</v>
      </c>
      <c r="N449" s="21"/>
      <c r="O449" s="22" t="s">
        <v>162</v>
      </c>
      <c r="P449" s="18">
        <f>(C449+(E449*F449*H449))-N449</f>
        <v>0</v>
      </c>
      <c r="Q449" s="22" t="s">
        <v>162</v>
      </c>
      <c r="R449" s="23">
        <f>P449*(J449-(J449*L449)-((J449-(J449*L449))*M449))</f>
        <v>0</v>
      </c>
      <c r="S449" s="23">
        <f t="shared" si="99"/>
        <v>0</v>
      </c>
      <c r="T449" s="23"/>
    </row>
    <row r="450" spans="1:20" s="17" customFormat="1">
      <c r="A450" s="16" t="s">
        <v>365</v>
      </c>
      <c r="B450" s="17" t="s">
        <v>19</v>
      </c>
      <c r="C450" s="18"/>
      <c r="D450" s="19" t="s">
        <v>162</v>
      </c>
      <c r="E450" s="20"/>
      <c r="F450" s="21">
        <v>36</v>
      </c>
      <c r="G450" s="22" t="s">
        <v>34</v>
      </c>
      <c r="H450" s="21">
        <v>30</v>
      </c>
      <c r="I450" s="22" t="s">
        <v>162</v>
      </c>
      <c r="J450" s="23">
        <v>2900</v>
      </c>
      <c r="K450" s="19" t="s">
        <v>162</v>
      </c>
      <c r="L450" s="24">
        <v>0.125</v>
      </c>
      <c r="M450" s="24">
        <v>0.05</v>
      </c>
      <c r="N450" s="21"/>
      <c r="O450" s="22" t="s">
        <v>162</v>
      </c>
      <c r="P450" s="18">
        <f>(C450+(E450*F450*H450))-N450</f>
        <v>0</v>
      </c>
      <c r="Q450" s="22" t="s">
        <v>162</v>
      </c>
      <c r="R450" s="23">
        <f>P450*(J450-(J450*L450)-((J450-(J450*L450))*M450))</f>
        <v>0</v>
      </c>
      <c r="S450" s="23">
        <f t="shared" si="99"/>
        <v>0</v>
      </c>
      <c r="T450" s="23"/>
    </row>
    <row r="451" spans="1:20">
      <c r="S451" s="23"/>
    </row>
    <row r="452" spans="1:20" ht="15.75">
      <c r="A452" s="14" t="s">
        <v>366</v>
      </c>
      <c r="S452" s="23"/>
    </row>
    <row r="453" spans="1:20" s="17" customFormat="1">
      <c r="A453" s="93" t="s">
        <v>369</v>
      </c>
      <c r="B453" s="17" t="s">
        <v>19</v>
      </c>
      <c r="C453" s="18"/>
      <c r="D453" s="19" t="s">
        <v>104</v>
      </c>
      <c r="E453" s="20"/>
      <c r="F453" s="21">
        <v>1</v>
      </c>
      <c r="G453" s="22" t="s">
        <v>21</v>
      </c>
      <c r="H453" s="21">
        <v>100</v>
      </c>
      <c r="I453" s="22" t="s">
        <v>104</v>
      </c>
      <c r="J453" s="23">
        <v>7800</v>
      </c>
      <c r="K453" s="19" t="s">
        <v>104</v>
      </c>
      <c r="L453" s="24">
        <v>0.125</v>
      </c>
      <c r="M453" s="24">
        <v>0.05</v>
      </c>
      <c r="N453" s="21"/>
      <c r="O453" s="22" t="s">
        <v>104</v>
      </c>
      <c r="P453" s="18">
        <f>(C453+(E453*F453*H453))-N453</f>
        <v>0</v>
      </c>
      <c r="Q453" s="22" t="s">
        <v>104</v>
      </c>
      <c r="R453" s="23">
        <f>P453*(J453-(J453*L453)-((J453-(J453*L453))*M453))</f>
        <v>0</v>
      </c>
      <c r="S453" s="23">
        <f>R453/1.11</f>
        <v>0</v>
      </c>
      <c r="T453" s="23"/>
    </row>
    <row r="454" spans="1:20" s="17" customFormat="1">
      <c r="A454" s="93" t="s">
        <v>370</v>
      </c>
      <c r="B454" s="17" t="s">
        <v>19</v>
      </c>
      <c r="C454" s="18"/>
      <c r="D454" s="19" t="s">
        <v>104</v>
      </c>
      <c r="E454" s="20"/>
      <c r="F454" s="21">
        <v>1</v>
      </c>
      <c r="G454" s="22" t="s">
        <v>21</v>
      </c>
      <c r="H454" s="21">
        <v>100</v>
      </c>
      <c r="I454" s="22" t="s">
        <v>104</v>
      </c>
      <c r="J454" s="23">
        <v>7800</v>
      </c>
      <c r="K454" s="19" t="s">
        <v>104</v>
      </c>
      <c r="L454" s="24">
        <v>0.125</v>
      </c>
      <c r="M454" s="24">
        <v>0.05</v>
      </c>
      <c r="N454" s="21"/>
      <c r="O454" s="22" t="s">
        <v>104</v>
      </c>
      <c r="P454" s="18">
        <f>(C454+(E454*F454*H454))-N454</f>
        <v>0</v>
      </c>
      <c r="Q454" s="22" t="s">
        <v>104</v>
      </c>
      <c r="R454" s="23">
        <f>P454*(J454-(J454*L454)-((J454-(J454*L454))*M454))</f>
        <v>0</v>
      </c>
      <c r="S454" s="23">
        <f>R454/1.11</f>
        <v>0</v>
      </c>
      <c r="T454" s="23"/>
    </row>
    <row r="455" spans="1:20" s="17" customFormat="1">
      <c r="A455" s="93"/>
      <c r="C455" s="18"/>
      <c r="D455" s="19"/>
      <c r="E455" s="20"/>
      <c r="F455" s="21"/>
      <c r="G455" s="22"/>
      <c r="H455" s="21"/>
      <c r="I455" s="22"/>
      <c r="J455" s="23"/>
      <c r="K455" s="19"/>
      <c r="L455" s="24"/>
      <c r="M455" s="24"/>
      <c r="N455" s="21"/>
      <c r="O455" s="22"/>
      <c r="P455" s="18"/>
      <c r="Q455" s="22"/>
      <c r="R455" s="23"/>
      <c r="S455" s="23"/>
      <c r="T455" s="23"/>
    </row>
    <row r="456" spans="1:20" s="26" customFormat="1">
      <c r="A456" s="94" t="s">
        <v>367</v>
      </c>
      <c r="B456" s="26" t="s">
        <v>26</v>
      </c>
      <c r="C456" s="27">
        <v>80</v>
      </c>
      <c r="D456" s="28" t="s">
        <v>34</v>
      </c>
      <c r="E456" s="29">
        <v>1</v>
      </c>
      <c r="F456" s="30">
        <v>10</v>
      </c>
      <c r="G456" s="31" t="s">
        <v>104</v>
      </c>
      <c r="H456" s="30">
        <v>10</v>
      </c>
      <c r="I456" s="31" t="s">
        <v>34</v>
      </c>
      <c r="J456" s="32">
        <f>980000/100</f>
        <v>9800</v>
      </c>
      <c r="K456" s="28" t="s">
        <v>34</v>
      </c>
      <c r="L456" s="33"/>
      <c r="M456" s="33">
        <v>0.17</v>
      </c>
      <c r="N456" s="30">
        <f>20+100</f>
        <v>120</v>
      </c>
      <c r="O456" s="31" t="s">
        <v>34</v>
      </c>
      <c r="P456" s="27">
        <f>(C456+(E456*F456*H456))-N456</f>
        <v>60</v>
      </c>
      <c r="Q456" s="31" t="s">
        <v>34</v>
      </c>
      <c r="R456" s="32">
        <f>P456*(J456-(J456*L456)-((J456-(J456*L456))*M456))</f>
        <v>488040</v>
      </c>
      <c r="S456" s="32">
        <f t="shared" si="99"/>
        <v>439675.67567567562</v>
      </c>
    </row>
    <row r="457" spans="1:20" s="26" customFormat="1">
      <c r="A457" s="94" t="s">
        <v>368</v>
      </c>
      <c r="B457" s="26" t="s">
        <v>26</v>
      </c>
      <c r="C457" s="27">
        <v>10</v>
      </c>
      <c r="D457" s="28" t="s">
        <v>34</v>
      </c>
      <c r="E457" s="29">
        <v>1</v>
      </c>
      <c r="F457" s="30">
        <v>10</v>
      </c>
      <c r="G457" s="31" t="s">
        <v>104</v>
      </c>
      <c r="H457" s="30">
        <v>10</v>
      </c>
      <c r="I457" s="31" t="s">
        <v>34</v>
      </c>
      <c r="J457" s="32">
        <f>980000/100</f>
        <v>9800</v>
      </c>
      <c r="K457" s="28" t="s">
        <v>34</v>
      </c>
      <c r="L457" s="33"/>
      <c r="M457" s="33">
        <v>0.17</v>
      </c>
      <c r="N457" s="30">
        <v>100</v>
      </c>
      <c r="O457" s="31" t="s">
        <v>34</v>
      </c>
      <c r="P457" s="27">
        <f>(C457+(E457*F457*H457))-N457</f>
        <v>10</v>
      </c>
      <c r="Q457" s="31" t="s">
        <v>34</v>
      </c>
      <c r="R457" s="32">
        <f>P457*(J457-(J457*L457)-((J457-(J457*L457))*M457))</f>
        <v>81340</v>
      </c>
      <c r="S457" s="32">
        <f t="shared" si="99"/>
        <v>73279.279279279275</v>
      </c>
    </row>
    <row r="458" spans="1:20">
      <c r="S458" s="23"/>
    </row>
    <row r="459" spans="1:20" ht="15.75">
      <c r="A459" s="14" t="s">
        <v>371</v>
      </c>
      <c r="S459" s="23"/>
    </row>
    <row r="460" spans="1:20">
      <c r="A460" s="15" t="s">
        <v>372</v>
      </c>
      <c r="S460" s="23"/>
    </row>
    <row r="461" spans="1:20" s="17" customFormat="1">
      <c r="A461" s="16" t="s">
        <v>373</v>
      </c>
      <c r="B461" s="17" t="s">
        <v>19</v>
      </c>
      <c r="C461" s="18"/>
      <c r="D461" s="19" t="s">
        <v>43</v>
      </c>
      <c r="E461" s="20"/>
      <c r="F461" s="21">
        <v>1</v>
      </c>
      <c r="G461" s="22" t="s">
        <v>21</v>
      </c>
      <c r="H461" s="21">
        <v>144</v>
      </c>
      <c r="I461" s="22" t="s">
        <v>43</v>
      </c>
      <c r="J461" s="23">
        <v>28200</v>
      </c>
      <c r="K461" s="19" t="s">
        <v>43</v>
      </c>
      <c r="L461" s="24">
        <v>0.125</v>
      </c>
      <c r="M461" s="24">
        <v>0.05</v>
      </c>
      <c r="N461" s="21"/>
      <c r="O461" s="22" t="s">
        <v>43</v>
      </c>
      <c r="P461" s="18">
        <f t="shared" ref="P461:P479" si="111">(C461+(E461*F461*H461))-N461</f>
        <v>0</v>
      </c>
      <c r="Q461" s="22" t="s">
        <v>43</v>
      </c>
      <c r="R461" s="23">
        <f t="shared" ref="R461:R479" si="112">P461*(J461-(J461*L461)-((J461-(J461*L461))*M461))</f>
        <v>0</v>
      </c>
      <c r="S461" s="69">
        <f t="shared" si="99"/>
        <v>0</v>
      </c>
    </row>
    <row r="462" spans="1:20" s="63" customFormat="1">
      <c r="A462" s="72" t="s">
        <v>374</v>
      </c>
      <c r="B462" s="63" t="s">
        <v>19</v>
      </c>
      <c r="C462" s="64"/>
      <c r="D462" s="65" t="s">
        <v>43</v>
      </c>
      <c r="E462" s="66"/>
      <c r="F462" s="67">
        <v>1</v>
      </c>
      <c r="G462" s="68" t="s">
        <v>21</v>
      </c>
      <c r="H462" s="67">
        <v>144</v>
      </c>
      <c r="I462" s="68" t="s">
        <v>43</v>
      </c>
      <c r="J462" s="69">
        <v>7800</v>
      </c>
      <c r="K462" s="65" t="s">
        <v>43</v>
      </c>
      <c r="L462" s="70">
        <v>0.1</v>
      </c>
      <c r="M462" s="70">
        <v>0.05</v>
      </c>
      <c r="N462" s="67"/>
      <c r="O462" s="68" t="s">
        <v>43</v>
      </c>
      <c r="P462" s="64">
        <f t="shared" si="111"/>
        <v>0</v>
      </c>
      <c r="Q462" s="68" t="s">
        <v>43</v>
      </c>
      <c r="R462" s="69">
        <f t="shared" si="112"/>
        <v>0</v>
      </c>
      <c r="S462" s="69">
        <f t="shared" si="99"/>
        <v>0</v>
      </c>
    </row>
    <row r="463" spans="1:20" s="45" customFormat="1">
      <c r="A463" s="44" t="s">
        <v>376</v>
      </c>
      <c r="B463" s="45" t="s">
        <v>19</v>
      </c>
      <c r="C463" s="46">
        <v>102</v>
      </c>
      <c r="D463" s="47" t="s">
        <v>43</v>
      </c>
      <c r="E463" s="48"/>
      <c r="F463" s="49">
        <v>1</v>
      </c>
      <c r="G463" s="50" t="s">
        <v>21</v>
      </c>
      <c r="H463" s="49">
        <v>144</v>
      </c>
      <c r="I463" s="50" t="s">
        <v>43</v>
      </c>
      <c r="J463" s="51">
        <v>6900</v>
      </c>
      <c r="K463" s="47" t="s">
        <v>43</v>
      </c>
      <c r="L463" s="52">
        <v>0.125</v>
      </c>
      <c r="M463" s="52">
        <v>0.05</v>
      </c>
      <c r="N463" s="49"/>
      <c r="O463" s="50" t="s">
        <v>43</v>
      </c>
      <c r="P463" s="46">
        <f t="shared" si="111"/>
        <v>102</v>
      </c>
      <c r="Q463" s="50" t="s">
        <v>43</v>
      </c>
      <c r="R463" s="51">
        <f t="shared" si="112"/>
        <v>585033.75</v>
      </c>
      <c r="S463" s="51">
        <f t="shared" si="99"/>
        <v>527057.43243243243</v>
      </c>
    </row>
    <row r="464" spans="1:20" s="17" customFormat="1">
      <c r="A464" s="16" t="s">
        <v>863</v>
      </c>
      <c r="B464" s="17" t="s">
        <v>19</v>
      </c>
      <c r="C464" s="18"/>
      <c r="D464" s="19" t="s">
        <v>43</v>
      </c>
      <c r="E464" s="20">
        <v>1</v>
      </c>
      <c r="F464" s="21">
        <v>1</v>
      </c>
      <c r="G464" s="22" t="s">
        <v>21</v>
      </c>
      <c r="H464" s="21">
        <v>144</v>
      </c>
      <c r="I464" s="22" t="s">
        <v>43</v>
      </c>
      <c r="J464" s="23">
        <v>7020</v>
      </c>
      <c r="K464" s="19" t="s">
        <v>43</v>
      </c>
      <c r="L464" s="24">
        <v>0.125</v>
      </c>
      <c r="M464" s="24">
        <v>0.05</v>
      </c>
      <c r="N464" s="21">
        <v>144</v>
      </c>
      <c r="O464" s="22" t="s">
        <v>43</v>
      </c>
      <c r="P464" s="18">
        <f t="shared" ref="P464" si="113">(C464+(E464*F464*H464))-N464</f>
        <v>0</v>
      </c>
      <c r="Q464" s="22" t="s">
        <v>43</v>
      </c>
      <c r="R464" s="23">
        <f t="shared" ref="R464" si="114">P464*(J464-(J464*L464)-((J464-(J464*L464))*M464))</f>
        <v>0</v>
      </c>
      <c r="S464" s="23">
        <f t="shared" ref="S464" si="115">R464/1.11</f>
        <v>0</v>
      </c>
    </row>
    <row r="465" spans="1:19" s="17" customFormat="1">
      <c r="A465" s="16" t="s">
        <v>377</v>
      </c>
      <c r="B465" s="17" t="s">
        <v>19</v>
      </c>
      <c r="C465" s="18"/>
      <c r="D465" s="19" t="s">
        <v>43</v>
      </c>
      <c r="E465" s="20"/>
      <c r="F465" s="21">
        <v>1</v>
      </c>
      <c r="G465" s="22" t="s">
        <v>21</v>
      </c>
      <c r="H465" s="21">
        <v>144</v>
      </c>
      <c r="I465" s="22" t="s">
        <v>43</v>
      </c>
      <c r="J465" s="23">
        <v>7020</v>
      </c>
      <c r="K465" s="19" t="s">
        <v>43</v>
      </c>
      <c r="L465" s="24">
        <v>0.125</v>
      </c>
      <c r="M465" s="24">
        <v>0.05</v>
      </c>
      <c r="N465" s="21"/>
      <c r="O465" s="22" t="s">
        <v>43</v>
      </c>
      <c r="P465" s="18">
        <f t="shared" si="111"/>
        <v>0</v>
      </c>
      <c r="Q465" s="22" t="s">
        <v>43</v>
      </c>
      <c r="R465" s="23">
        <f t="shared" si="112"/>
        <v>0</v>
      </c>
      <c r="S465" s="23">
        <f t="shared" si="99"/>
        <v>0</v>
      </c>
    </row>
    <row r="466" spans="1:19" s="17" customFormat="1">
      <c r="A466" s="16" t="s">
        <v>825</v>
      </c>
      <c r="B466" s="17" t="s">
        <v>19</v>
      </c>
      <c r="C466" s="18"/>
      <c r="D466" s="19" t="s">
        <v>43</v>
      </c>
      <c r="E466" s="20"/>
      <c r="F466" s="21">
        <v>1</v>
      </c>
      <c r="G466" s="22" t="s">
        <v>21</v>
      </c>
      <c r="H466" s="21">
        <v>144</v>
      </c>
      <c r="I466" s="22" t="s">
        <v>43</v>
      </c>
      <c r="J466" s="23">
        <v>6600</v>
      </c>
      <c r="K466" s="19" t="s">
        <v>43</v>
      </c>
      <c r="L466" s="24">
        <v>0.125</v>
      </c>
      <c r="M466" s="24">
        <v>0.05</v>
      </c>
      <c r="N466" s="21"/>
      <c r="O466" s="22" t="s">
        <v>43</v>
      </c>
      <c r="P466" s="18">
        <f t="shared" si="111"/>
        <v>0</v>
      </c>
      <c r="Q466" s="22" t="s">
        <v>43</v>
      </c>
      <c r="R466" s="23">
        <f t="shared" si="112"/>
        <v>0</v>
      </c>
      <c r="S466" s="23">
        <f t="shared" si="99"/>
        <v>0</v>
      </c>
    </row>
    <row r="467" spans="1:19" s="17" customFormat="1">
      <c r="A467" s="16" t="s">
        <v>721</v>
      </c>
      <c r="B467" s="17" t="s">
        <v>19</v>
      </c>
      <c r="C467" s="18"/>
      <c r="D467" s="19" t="s">
        <v>43</v>
      </c>
      <c r="E467" s="20">
        <v>1</v>
      </c>
      <c r="F467" s="21">
        <v>1</v>
      </c>
      <c r="G467" s="22" t="s">
        <v>21</v>
      </c>
      <c r="H467" s="21">
        <v>144</v>
      </c>
      <c r="I467" s="22" t="s">
        <v>43</v>
      </c>
      <c r="J467" s="23">
        <v>6000</v>
      </c>
      <c r="K467" s="19" t="s">
        <v>43</v>
      </c>
      <c r="L467" s="24">
        <v>0.125</v>
      </c>
      <c r="M467" s="24">
        <v>0.05</v>
      </c>
      <c r="N467" s="21">
        <v>144</v>
      </c>
      <c r="O467" s="22" t="s">
        <v>43</v>
      </c>
      <c r="P467" s="18">
        <f t="shared" si="111"/>
        <v>0</v>
      </c>
      <c r="Q467" s="22" t="s">
        <v>43</v>
      </c>
      <c r="R467" s="23">
        <f t="shared" si="112"/>
        <v>0</v>
      </c>
      <c r="S467" s="23">
        <f t="shared" si="99"/>
        <v>0</v>
      </c>
    </row>
    <row r="468" spans="1:19" s="17" customFormat="1">
      <c r="A468" s="16" t="s">
        <v>774</v>
      </c>
      <c r="B468" s="17" t="s">
        <v>19</v>
      </c>
      <c r="C468" s="18"/>
      <c r="D468" s="19" t="s">
        <v>43</v>
      </c>
      <c r="E468" s="20"/>
      <c r="F468" s="21">
        <v>1</v>
      </c>
      <c r="G468" s="22" t="s">
        <v>21</v>
      </c>
      <c r="H468" s="21">
        <v>144</v>
      </c>
      <c r="I468" s="22" t="s">
        <v>43</v>
      </c>
      <c r="J468" s="23">
        <v>6000</v>
      </c>
      <c r="K468" s="19" t="s">
        <v>43</v>
      </c>
      <c r="L468" s="24">
        <v>0.125</v>
      </c>
      <c r="M468" s="24">
        <v>0.05</v>
      </c>
      <c r="N468" s="21"/>
      <c r="O468" s="22" t="s">
        <v>43</v>
      </c>
      <c r="P468" s="18">
        <f t="shared" si="111"/>
        <v>0</v>
      </c>
      <c r="Q468" s="22" t="s">
        <v>43</v>
      </c>
      <c r="R468" s="23">
        <f t="shared" si="112"/>
        <v>0</v>
      </c>
      <c r="S468" s="23">
        <f t="shared" si="99"/>
        <v>0</v>
      </c>
    </row>
    <row r="469" spans="1:19" s="26" customFormat="1">
      <c r="A469" s="25" t="s">
        <v>378</v>
      </c>
      <c r="B469" s="26" t="s">
        <v>19</v>
      </c>
      <c r="C469" s="27">
        <v>864</v>
      </c>
      <c r="D469" s="28" t="s">
        <v>43</v>
      </c>
      <c r="E469" s="29"/>
      <c r="F469" s="30">
        <v>1</v>
      </c>
      <c r="G469" s="31" t="s">
        <v>21</v>
      </c>
      <c r="H469" s="30">
        <v>144</v>
      </c>
      <c r="I469" s="31" t="s">
        <v>43</v>
      </c>
      <c r="J469" s="32">
        <v>5100</v>
      </c>
      <c r="K469" s="28" t="s">
        <v>43</v>
      </c>
      <c r="L469" s="33">
        <v>0.125</v>
      </c>
      <c r="M469" s="33">
        <v>0.05</v>
      </c>
      <c r="N469" s="30"/>
      <c r="O469" s="31" t="s">
        <v>43</v>
      </c>
      <c r="P469" s="27">
        <f t="shared" si="111"/>
        <v>864</v>
      </c>
      <c r="Q469" s="31" t="s">
        <v>43</v>
      </c>
      <c r="R469" s="32">
        <f t="shared" si="112"/>
        <v>3662820</v>
      </c>
      <c r="S469" s="32">
        <f t="shared" si="99"/>
        <v>3299837.8378378376</v>
      </c>
    </row>
    <row r="470" spans="1:19" s="26" customFormat="1">
      <c r="A470" s="35" t="s">
        <v>379</v>
      </c>
      <c r="B470" s="36" t="s">
        <v>19</v>
      </c>
      <c r="C470" s="198">
        <v>699</v>
      </c>
      <c r="D470" s="38" t="s">
        <v>43</v>
      </c>
      <c r="E470" s="39"/>
      <c r="F470" s="40">
        <v>1</v>
      </c>
      <c r="G470" s="41" t="s">
        <v>21</v>
      </c>
      <c r="H470" s="40">
        <v>144</v>
      </c>
      <c r="I470" s="41" t="s">
        <v>43</v>
      </c>
      <c r="J470" s="42"/>
      <c r="K470" s="38" t="s">
        <v>43</v>
      </c>
      <c r="L470" s="43">
        <v>0.1</v>
      </c>
      <c r="M470" s="43">
        <v>0.05</v>
      </c>
      <c r="N470" s="40"/>
      <c r="O470" s="41" t="s">
        <v>43</v>
      </c>
      <c r="P470" s="37">
        <f t="shared" si="111"/>
        <v>699</v>
      </c>
      <c r="Q470" s="41" t="s">
        <v>43</v>
      </c>
      <c r="R470" s="42">
        <f t="shared" si="112"/>
        <v>0</v>
      </c>
      <c r="S470" s="42">
        <f t="shared" si="99"/>
        <v>0</v>
      </c>
    </row>
    <row r="471" spans="1:19" s="26" customFormat="1">
      <c r="A471" s="35" t="s">
        <v>379</v>
      </c>
      <c r="B471" s="36" t="s">
        <v>19</v>
      </c>
      <c r="C471" s="198">
        <v>1116</v>
      </c>
      <c r="D471" s="38" t="s">
        <v>43</v>
      </c>
      <c r="E471" s="39"/>
      <c r="F471" s="40">
        <v>1</v>
      </c>
      <c r="G471" s="41" t="s">
        <v>21</v>
      </c>
      <c r="H471" s="40">
        <v>144</v>
      </c>
      <c r="I471" s="41" t="s">
        <v>43</v>
      </c>
      <c r="J471" s="42">
        <v>12600</v>
      </c>
      <c r="K471" s="38" t="s">
        <v>43</v>
      </c>
      <c r="L471" s="43">
        <v>0.125</v>
      </c>
      <c r="M471" s="43">
        <v>0.05</v>
      </c>
      <c r="N471" s="40">
        <f>24+144+144+432+144+144</f>
        <v>1032</v>
      </c>
      <c r="O471" s="41" t="s">
        <v>43</v>
      </c>
      <c r="P471" s="37">
        <f t="shared" si="111"/>
        <v>84</v>
      </c>
      <c r="Q471" s="41" t="s">
        <v>43</v>
      </c>
      <c r="R471" s="42">
        <f t="shared" si="112"/>
        <v>879795</v>
      </c>
      <c r="S471" s="42">
        <f t="shared" si="99"/>
        <v>792608.10810810805</v>
      </c>
    </row>
    <row r="472" spans="1:19" s="45" customFormat="1">
      <c r="A472" s="44"/>
      <c r="C472" s="139"/>
      <c r="D472" s="47"/>
      <c r="E472" s="48"/>
      <c r="F472" s="49"/>
      <c r="G472" s="50"/>
      <c r="H472" s="49"/>
      <c r="I472" s="50"/>
      <c r="J472" s="51"/>
      <c r="K472" s="47"/>
      <c r="L472" s="52"/>
      <c r="M472" s="52"/>
      <c r="N472" s="49"/>
      <c r="O472" s="50"/>
      <c r="P472" s="46"/>
      <c r="Q472" s="50"/>
      <c r="R472" s="51"/>
      <c r="S472" s="51"/>
    </row>
    <row r="473" spans="1:19" s="17" customFormat="1">
      <c r="A473" s="93" t="s">
        <v>380</v>
      </c>
      <c r="B473" s="17" t="s">
        <v>26</v>
      </c>
      <c r="C473" s="18"/>
      <c r="D473" s="19" t="s">
        <v>43</v>
      </c>
      <c r="E473" s="20"/>
      <c r="F473" s="21">
        <v>1</v>
      </c>
      <c r="G473" s="22" t="s">
        <v>21</v>
      </c>
      <c r="H473" s="21">
        <v>144</v>
      </c>
      <c r="I473" s="22" t="s">
        <v>43</v>
      </c>
      <c r="J473" s="23">
        <v>22200</v>
      </c>
      <c r="K473" s="19" t="s">
        <v>43</v>
      </c>
      <c r="L473" s="24"/>
      <c r="M473" s="24">
        <v>0.17</v>
      </c>
      <c r="N473" s="21"/>
      <c r="O473" s="22" t="s">
        <v>43</v>
      </c>
      <c r="P473" s="18">
        <f t="shared" si="111"/>
        <v>0</v>
      </c>
      <c r="Q473" s="22" t="s">
        <v>43</v>
      </c>
      <c r="R473" s="23">
        <f t="shared" si="112"/>
        <v>0</v>
      </c>
      <c r="S473" s="23">
        <f t="shared" si="99"/>
        <v>0</v>
      </c>
    </row>
    <row r="474" spans="1:19" s="26" customFormat="1">
      <c r="A474" s="94" t="s">
        <v>381</v>
      </c>
      <c r="B474" s="26" t="s">
        <v>26</v>
      </c>
      <c r="C474" s="27">
        <v>260</v>
      </c>
      <c r="D474" s="28" t="s">
        <v>43</v>
      </c>
      <c r="E474" s="29"/>
      <c r="F474" s="30">
        <v>1</v>
      </c>
      <c r="G474" s="31" t="s">
        <v>21</v>
      </c>
      <c r="H474" s="30">
        <v>144</v>
      </c>
      <c r="I474" s="31" t="s">
        <v>43</v>
      </c>
      <c r="J474" s="32">
        <f>1728000/144</f>
        <v>12000</v>
      </c>
      <c r="K474" s="28" t="s">
        <v>43</v>
      </c>
      <c r="L474" s="33"/>
      <c r="M474" s="33">
        <v>0.17</v>
      </c>
      <c r="N474" s="30">
        <v>12</v>
      </c>
      <c r="O474" s="31" t="s">
        <v>43</v>
      </c>
      <c r="P474" s="27">
        <f t="shared" si="111"/>
        <v>248</v>
      </c>
      <c r="Q474" s="31" t="s">
        <v>43</v>
      </c>
      <c r="R474" s="32">
        <f t="shared" si="112"/>
        <v>2470080</v>
      </c>
      <c r="S474" s="32">
        <f t="shared" si="99"/>
        <v>2225297.297297297</v>
      </c>
    </row>
    <row r="475" spans="1:19" s="17" customFormat="1">
      <c r="A475" s="93" t="s">
        <v>382</v>
      </c>
      <c r="B475" s="17" t="s">
        <v>26</v>
      </c>
      <c r="C475" s="18"/>
      <c r="D475" s="19" t="s">
        <v>43</v>
      </c>
      <c r="E475" s="20"/>
      <c r="F475" s="21">
        <v>1</v>
      </c>
      <c r="G475" s="22" t="s">
        <v>21</v>
      </c>
      <c r="H475" s="21">
        <v>144</v>
      </c>
      <c r="I475" s="22" t="s">
        <v>43</v>
      </c>
      <c r="J475" s="23">
        <v>13800</v>
      </c>
      <c r="K475" s="19" t="s">
        <v>43</v>
      </c>
      <c r="L475" s="24"/>
      <c r="M475" s="24">
        <v>0.17</v>
      </c>
      <c r="N475" s="21"/>
      <c r="O475" s="22" t="s">
        <v>43</v>
      </c>
      <c r="P475" s="18">
        <f t="shared" si="111"/>
        <v>0</v>
      </c>
      <c r="Q475" s="22" t="s">
        <v>43</v>
      </c>
      <c r="R475" s="23">
        <f t="shared" si="112"/>
        <v>0</v>
      </c>
      <c r="S475" s="23">
        <f t="shared" si="99"/>
        <v>0</v>
      </c>
    </row>
    <row r="476" spans="1:19" s="17" customFormat="1">
      <c r="A476" s="93" t="s">
        <v>383</v>
      </c>
      <c r="B476" s="17" t="s">
        <v>26</v>
      </c>
      <c r="C476" s="18"/>
      <c r="D476" s="19" t="s">
        <v>43</v>
      </c>
      <c r="E476" s="20"/>
      <c r="F476" s="21">
        <v>1</v>
      </c>
      <c r="G476" s="22" t="s">
        <v>21</v>
      </c>
      <c r="H476" s="21">
        <v>144</v>
      </c>
      <c r="I476" s="22" t="s">
        <v>43</v>
      </c>
      <c r="J476" s="23">
        <v>13800</v>
      </c>
      <c r="K476" s="19" t="s">
        <v>43</v>
      </c>
      <c r="L476" s="24"/>
      <c r="M476" s="24">
        <v>0.17</v>
      </c>
      <c r="N476" s="21"/>
      <c r="O476" s="22" t="s">
        <v>43</v>
      </c>
      <c r="P476" s="18">
        <f t="shared" si="111"/>
        <v>0</v>
      </c>
      <c r="Q476" s="22" t="s">
        <v>43</v>
      </c>
      <c r="R476" s="23">
        <f t="shared" si="112"/>
        <v>0</v>
      </c>
      <c r="S476" s="23">
        <f t="shared" si="99"/>
        <v>0</v>
      </c>
    </row>
    <row r="477" spans="1:19" s="17" customFormat="1">
      <c r="A477" s="93" t="s">
        <v>384</v>
      </c>
      <c r="B477" s="17" t="s">
        <v>26</v>
      </c>
      <c r="C477" s="18"/>
      <c r="D477" s="19" t="s">
        <v>43</v>
      </c>
      <c r="E477" s="20"/>
      <c r="F477" s="21">
        <v>1</v>
      </c>
      <c r="G477" s="22" t="s">
        <v>21</v>
      </c>
      <c r="H477" s="21">
        <v>144</v>
      </c>
      <c r="I477" s="22" t="s">
        <v>43</v>
      </c>
      <c r="J477" s="23">
        <v>13800</v>
      </c>
      <c r="K477" s="19" t="s">
        <v>43</v>
      </c>
      <c r="L477" s="24"/>
      <c r="M477" s="24">
        <v>0.17</v>
      </c>
      <c r="N477" s="21"/>
      <c r="O477" s="22" t="s">
        <v>43</v>
      </c>
      <c r="P477" s="18">
        <f t="shared" si="111"/>
        <v>0</v>
      </c>
      <c r="Q477" s="22" t="s">
        <v>43</v>
      </c>
      <c r="R477" s="23">
        <f t="shared" si="112"/>
        <v>0</v>
      </c>
      <c r="S477" s="23">
        <f t="shared" si="99"/>
        <v>0</v>
      </c>
    </row>
    <row r="478" spans="1:19" s="17" customFormat="1">
      <c r="A478" s="93" t="s">
        <v>385</v>
      </c>
      <c r="B478" s="17" t="s">
        <v>26</v>
      </c>
      <c r="C478" s="18"/>
      <c r="D478" s="19" t="s">
        <v>43</v>
      </c>
      <c r="E478" s="20"/>
      <c r="F478" s="21">
        <v>1</v>
      </c>
      <c r="G478" s="22" t="s">
        <v>21</v>
      </c>
      <c r="H478" s="21">
        <v>144</v>
      </c>
      <c r="I478" s="22" t="s">
        <v>43</v>
      </c>
      <c r="J478" s="23">
        <f>1987200/144</f>
        <v>13800</v>
      </c>
      <c r="K478" s="19" t="s">
        <v>43</v>
      </c>
      <c r="L478" s="24"/>
      <c r="M478" s="24">
        <v>0.17</v>
      </c>
      <c r="N478" s="21"/>
      <c r="O478" s="22" t="s">
        <v>43</v>
      </c>
      <c r="P478" s="18">
        <f t="shared" si="111"/>
        <v>0</v>
      </c>
      <c r="Q478" s="22" t="s">
        <v>43</v>
      </c>
      <c r="R478" s="23">
        <f t="shared" si="112"/>
        <v>0</v>
      </c>
      <c r="S478" s="23">
        <f t="shared" si="99"/>
        <v>0</v>
      </c>
    </row>
    <row r="479" spans="1:19" s="17" customFormat="1">
      <c r="A479" s="93" t="s">
        <v>386</v>
      </c>
      <c r="B479" s="17" t="s">
        <v>26</v>
      </c>
      <c r="C479" s="18"/>
      <c r="D479" s="19" t="s">
        <v>43</v>
      </c>
      <c r="E479" s="20"/>
      <c r="F479" s="21">
        <v>1</v>
      </c>
      <c r="G479" s="22" t="s">
        <v>21</v>
      </c>
      <c r="H479" s="21">
        <v>144</v>
      </c>
      <c r="I479" s="22" t="s">
        <v>43</v>
      </c>
      <c r="J479" s="23">
        <f>2073600/12/12</f>
        <v>14400</v>
      </c>
      <c r="K479" s="19" t="s">
        <v>43</v>
      </c>
      <c r="L479" s="24"/>
      <c r="M479" s="24">
        <v>0.17</v>
      </c>
      <c r="N479" s="21"/>
      <c r="O479" s="22" t="s">
        <v>43</v>
      </c>
      <c r="P479" s="18">
        <f t="shared" si="111"/>
        <v>0</v>
      </c>
      <c r="Q479" s="22" t="s">
        <v>43</v>
      </c>
      <c r="R479" s="23">
        <f t="shared" si="112"/>
        <v>0</v>
      </c>
      <c r="S479" s="23">
        <f t="shared" si="99"/>
        <v>0</v>
      </c>
    </row>
    <row r="480" spans="1:19" s="17" customFormat="1">
      <c r="A480" s="93"/>
      <c r="C480" s="18"/>
      <c r="D480" s="19"/>
      <c r="E480" s="20"/>
      <c r="F480" s="21"/>
      <c r="G480" s="22"/>
      <c r="H480" s="21"/>
      <c r="I480" s="22"/>
      <c r="J480" s="23"/>
      <c r="K480" s="19"/>
      <c r="L480" s="24"/>
      <c r="M480" s="24"/>
      <c r="N480" s="21"/>
      <c r="O480" s="22"/>
      <c r="P480" s="18"/>
      <c r="Q480" s="22"/>
      <c r="R480" s="23"/>
      <c r="S480" s="23"/>
    </row>
    <row r="481" spans="1:19">
      <c r="A481" s="15" t="s">
        <v>387</v>
      </c>
      <c r="S481" s="23"/>
    </row>
    <row r="482" spans="1:19">
      <c r="A482" s="34" t="s">
        <v>388</v>
      </c>
      <c r="B482" s="2" t="s">
        <v>192</v>
      </c>
      <c r="C482" s="3">
        <v>2109</v>
      </c>
      <c r="D482" s="4" t="s">
        <v>43</v>
      </c>
      <c r="F482" s="6">
        <v>1</v>
      </c>
      <c r="G482" s="7" t="s">
        <v>21</v>
      </c>
      <c r="H482" s="6">
        <v>240</v>
      </c>
      <c r="I482" s="7" t="s">
        <v>43</v>
      </c>
      <c r="J482" s="8">
        <v>10000</v>
      </c>
      <c r="K482" s="4" t="s">
        <v>43</v>
      </c>
      <c r="N482" s="30"/>
      <c r="O482" s="7" t="s">
        <v>43</v>
      </c>
      <c r="P482" s="3">
        <f t="shared" ref="P482:P529" si="116">(C482+(E482*F482*H482))-N482</f>
        <v>2109</v>
      </c>
      <c r="Q482" s="7" t="s">
        <v>43</v>
      </c>
      <c r="R482" s="8">
        <f t="shared" ref="R482:R529" si="117">P482*(J482-(J482*L482)-((J482-(J482*L482))*M482))</f>
        <v>21090000</v>
      </c>
      <c r="S482" s="32">
        <f t="shared" si="99"/>
        <v>19000000</v>
      </c>
    </row>
    <row r="483" spans="1:19" s="26" customFormat="1">
      <c r="A483" s="25" t="s">
        <v>389</v>
      </c>
      <c r="B483" s="26" t="s">
        <v>192</v>
      </c>
      <c r="C483" s="27">
        <v>1505</v>
      </c>
      <c r="D483" s="28" t="s">
        <v>43</v>
      </c>
      <c r="E483" s="29"/>
      <c r="F483" s="30">
        <v>1</v>
      </c>
      <c r="G483" s="31" t="s">
        <v>21</v>
      </c>
      <c r="H483" s="30">
        <v>240</v>
      </c>
      <c r="I483" s="31" t="s">
        <v>43</v>
      </c>
      <c r="J483" s="32">
        <v>10000</v>
      </c>
      <c r="K483" s="28" t="s">
        <v>43</v>
      </c>
      <c r="L483" s="33"/>
      <c r="M483" s="33"/>
      <c r="N483" s="30"/>
      <c r="O483" s="31" t="s">
        <v>43</v>
      </c>
      <c r="P483" s="27">
        <f t="shared" si="116"/>
        <v>1505</v>
      </c>
      <c r="Q483" s="31" t="s">
        <v>43</v>
      </c>
      <c r="R483" s="32">
        <f t="shared" si="117"/>
        <v>15050000</v>
      </c>
      <c r="S483" s="32">
        <f t="shared" si="99"/>
        <v>13558558.558558557</v>
      </c>
    </row>
    <row r="484" spans="1:19" s="26" customFormat="1">
      <c r="A484" s="25" t="s">
        <v>390</v>
      </c>
      <c r="B484" s="26" t="s">
        <v>192</v>
      </c>
      <c r="C484" s="27">
        <v>1154</v>
      </c>
      <c r="D484" s="28" t="s">
        <v>43</v>
      </c>
      <c r="E484" s="29"/>
      <c r="F484" s="30">
        <v>1</v>
      </c>
      <c r="G484" s="31" t="s">
        <v>21</v>
      </c>
      <c r="H484" s="30">
        <v>240</v>
      </c>
      <c r="I484" s="31" t="s">
        <v>43</v>
      </c>
      <c r="J484" s="32">
        <v>10000</v>
      </c>
      <c r="K484" s="28" t="s">
        <v>43</v>
      </c>
      <c r="L484" s="33"/>
      <c r="M484" s="33"/>
      <c r="N484" s="30"/>
      <c r="O484" s="31" t="s">
        <v>43</v>
      </c>
      <c r="P484" s="27">
        <f t="shared" si="116"/>
        <v>1154</v>
      </c>
      <c r="Q484" s="31" t="s">
        <v>43</v>
      </c>
      <c r="R484" s="32">
        <f t="shared" si="117"/>
        <v>11540000</v>
      </c>
      <c r="S484" s="32">
        <f t="shared" si="99"/>
        <v>10396396.396396395</v>
      </c>
    </row>
    <row r="485" spans="1:19" s="26" customFormat="1">
      <c r="A485" s="25" t="s">
        <v>391</v>
      </c>
      <c r="B485" s="26" t="s">
        <v>192</v>
      </c>
      <c r="C485" s="27">
        <v>19</v>
      </c>
      <c r="D485" s="28" t="s">
        <v>43</v>
      </c>
      <c r="E485" s="29"/>
      <c r="F485" s="30">
        <v>1</v>
      </c>
      <c r="G485" s="31" t="s">
        <v>21</v>
      </c>
      <c r="H485" s="30">
        <v>240</v>
      </c>
      <c r="I485" s="31" t="s">
        <v>43</v>
      </c>
      <c r="J485" s="32">
        <v>10000</v>
      </c>
      <c r="K485" s="28" t="s">
        <v>43</v>
      </c>
      <c r="L485" s="33"/>
      <c r="M485" s="33"/>
      <c r="N485" s="30"/>
      <c r="O485" s="31" t="s">
        <v>43</v>
      </c>
      <c r="P485" s="27">
        <f t="shared" si="116"/>
        <v>19</v>
      </c>
      <c r="Q485" s="31" t="s">
        <v>43</v>
      </c>
      <c r="R485" s="32">
        <f t="shared" si="117"/>
        <v>190000</v>
      </c>
      <c r="S485" s="32">
        <f t="shared" si="99"/>
        <v>171171.17117117115</v>
      </c>
    </row>
    <row r="486" spans="1:19" s="17" customFormat="1">
      <c r="A486" s="16"/>
      <c r="C486" s="18"/>
      <c r="D486" s="19"/>
      <c r="E486" s="20"/>
      <c r="F486" s="21"/>
      <c r="G486" s="22"/>
      <c r="H486" s="21"/>
      <c r="I486" s="22"/>
      <c r="J486" s="23"/>
      <c r="K486" s="19"/>
      <c r="L486" s="24"/>
      <c r="M486" s="24"/>
      <c r="N486" s="21"/>
      <c r="O486" s="22"/>
      <c r="P486" s="18"/>
      <c r="Q486" s="22"/>
      <c r="R486" s="23"/>
      <c r="S486" s="23"/>
    </row>
    <row r="487" spans="1:19" s="17" customFormat="1">
      <c r="A487" s="16" t="s">
        <v>421</v>
      </c>
      <c r="B487" s="17" t="s">
        <v>275</v>
      </c>
      <c r="C487" s="18"/>
      <c r="D487" s="19" t="s">
        <v>43</v>
      </c>
      <c r="E487" s="20"/>
      <c r="F487" s="21">
        <v>1</v>
      </c>
      <c r="G487" s="22" t="s">
        <v>21</v>
      </c>
      <c r="H487" s="21">
        <v>120</v>
      </c>
      <c r="I487" s="22" t="s">
        <v>43</v>
      </c>
      <c r="J487" s="23">
        <v>25500</v>
      </c>
      <c r="K487" s="19" t="s">
        <v>43</v>
      </c>
      <c r="L487" s="24"/>
      <c r="M487" s="24"/>
      <c r="N487" s="21"/>
      <c r="O487" s="22" t="s">
        <v>43</v>
      </c>
      <c r="P487" s="18">
        <f>(C487+(E487*F487*H487))-N487</f>
        <v>0</v>
      </c>
      <c r="Q487" s="22" t="s">
        <v>43</v>
      </c>
      <c r="R487" s="23">
        <f>P487*(J487-(J487*L487)-((J487-(J487*L487))*M487))</f>
        <v>0</v>
      </c>
      <c r="S487" s="23">
        <f>R487/1.11</f>
        <v>0</v>
      </c>
    </row>
    <row r="488" spans="1:19" s="17" customFormat="1">
      <c r="A488" s="16" t="s">
        <v>849</v>
      </c>
      <c r="B488" s="17" t="s">
        <v>275</v>
      </c>
      <c r="C488" s="18"/>
      <c r="D488" s="19" t="s">
        <v>43</v>
      </c>
      <c r="E488" s="20"/>
      <c r="F488" s="21">
        <v>1</v>
      </c>
      <c r="G488" s="22" t="s">
        <v>21</v>
      </c>
      <c r="H488" s="21">
        <v>120</v>
      </c>
      <c r="I488" s="22" t="s">
        <v>43</v>
      </c>
      <c r="J488" s="23">
        <v>19000</v>
      </c>
      <c r="K488" s="19" t="s">
        <v>43</v>
      </c>
      <c r="L488" s="24"/>
      <c r="M488" s="24"/>
      <c r="N488" s="21"/>
      <c r="O488" s="22" t="s">
        <v>43</v>
      </c>
      <c r="P488" s="18">
        <f>(C488+(E488*F488*H488))-N488</f>
        <v>0</v>
      </c>
      <c r="Q488" s="22" t="s">
        <v>43</v>
      </c>
      <c r="R488" s="23">
        <f>P488*(J488-(J488*L488)-((J488-(J488*L488))*M488))</f>
        <v>0</v>
      </c>
      <c r="S488" s="23">
        <f t="shared" ref="S488" si="118">R488/1.11</f>
        <v>0</v>
      </c>
    </row>
    <row r="489" spans="1:19" s="26" customFormat="1">
      <c r="A489" s="25"/>
      <c r="C489" s="27"/>
      <c r="D489" s="28"/>
      <c r="E489" s="29"/>
      <c r="F489" s="30"/>
      <c r="G489" s="31"/>
      <c r="H489" s="30"/>
      <c r="I489" s="31"/>
      <c r="J489" s="32"/>
      <c r="K489" s="28"/>
      <c r="L489" s="33"/>
      <c r="M489" s="33"/>
      <c r="N489" s="30"/>
      <c r="O489" s="31"/>
      <c r="P489" s="27"/>
      <c r="Q489" s="31"/>
      <c r="R489" s="32"/>
      <c r="S489" s="32"/>
    </row>
    <row r="490" spans="1:19" s="17" customFormat="1">
      <c r="A490" s="16" t="s">
        <v>392</v>
      </c>
      <c r="B490" s="17" t="s">
        <v>19</v>
      </c>
      <c r="C490" s="18"/>
      <c r="D490" s="19" t="s">
        <v>43</v>
      </c>
      <c r="E490" s="20"/>
      <c r="F490" s="21">
        <v>1</v>
      </c>
      <c r="G490" s="22" t="s">
        <v>21</v>
      </c>
      <c r="H490" s="21">
        <v>144</v>
      </c>
      <c r="I490" s="22" t="s">
        <v>43</v>
      </c>
      <c r="J490" s="23">
        <v>19800</v>
      </c>
      <c r="K490" s="19" t="s">
        <v>43</v>
      </c>
      <c r="L490" s="24">
        <v>0.125</v>
      </c>
      <c r="M490" s="24">
        <v>0.05</v>
      </c>
      <c r="N490" s="21">
        <v>144</v>
      </c>
      <c r="O490" s="22" t="s">
        <v>43</v>
      </c>
      <c r="P490" s="18">
        <f t="shared" si="116"/>
        <v>-144</v>
      </c>
      <c r="Q490" s="22" t="s">
        <v>43</v>
      </c>
      <c r="R490" s="23">
        <f t="shared" si="117"/>
        <v>-2370060</v>
      </c>
      <c r="S490" s="23">
        <f t="shared" si="99"/>
        <v>-2135189.1891891891</v>
      </c>
    </row>
    <row r="491" spans="1:19" s="17" customFormat="1">
      <c r="A491" s="16" t="s">
        <v>393</v>
      </c>
      <c r="B491" s="17" t="s">
        <v>19</v>
      </c>
      <c r="C491" s="18"/>
      <c r="D491" s="19" t="s">
        <v>43</v>
      </c>
      <c r="E491" s="20"/>
      <c r="F491" s="21">
        <v>1</v>
      </c>
      <c r="G491" s="22" t="s">
        <v>21</v>
      </c>
      <c r="H491" s="21">
        <v>144</v>
      </c>
      <c r="I491" s="22" t="s">
        <v>43</v>
      </c>
      <c r="J491" s="23">
        <v>20400</v>
      </c>
      <c r="K491" s="19" t="s">
        <v>43</v>
      </c>
      <c r="L491" s="24">
        <v>0.125</v>
      </c>
      <c r="M491" s="24">
        <v>0.05</v>
      </c>
      <c r="N491" s="21"/>
      <c r="O491" s="22" t="s">
        <v>43</v>
      </c>
      <c r="P491" s="18">
        <f t="shared" si="116"/>
        <v>0</v>
      </c>
      <c r="Q491" s="22" t="s">
        <v>43</v>
      </c>
      <c r="R491" s="23">
        <f t="shared" si="117"/>
        <v>0</v>
      </c>
      <c r="S491" s="23">
        <f t="shared" si="99"/>
        <v>0</v>
      </c>
    </row>
    <row r="492" spans="1:19" s="17" customFormat="1">
      <c r="A492" s="93" t="s">
        <v>732</v>
      </c>
      <c r="B492" s="17" t="s">
        <v>19</v>
      </c>
      <c r="C492" s="18"/>
      <c r="D492" s="19" t="s">
        <v>43</v>
      </c>
      <c r="E492" s="20"/>
      <c r="F492" s="21">
        <v>1</v>
      </c>
      <c r="G492" s="22" t="s">
        <v>21</v>
      </c>
      <c r="H492" s="21">
        <v>144</v>
      </c>
      <c r="I492" s="22" t="s">
        <v>43</v>
      </c>
      <c r="J492" s="23">
        <v>69600</v>
      </c>
      <c r="K492" s="19" t="s">
        <v>43</v>
      </c>
      <c r="L492" s="24">
        <v>0.125</v>
      </c>
      <c r="M492" s="24">
        <v>0.05</v>
      </c>
      <c r="N492" s="21"/>
      <c r="O492" s="22" t="s">
        <v>43</v>
      </c>
      <c r="P492" s="18">
        <f t="shared" si="116"/>
        <v>0</v>
      </c>
      <c r="Q492" s="22" t="s">
        <v>43</v>
      </c>
      <c r="R492" s="23">
        <f t="shared" si="117"/>
        <v>0</v>
      </c>
      <c r="S492" s="23">
        <f t="shared" si="99"/>
        <v>0</v>
      </c>
    </row>
    <row r="493" spans="1:19" s="17" customFormat="1">
      <c r="A493" s="93" t="s">
        <v>394</v>
      </c>
      <c r="B493" s="17" t="s">
        <v>19</v>
      </c>
      <c r="C493" s="18"/>
      <c r="D493" s="19" t="s">
        <v>43</v>
      </c>
      <c r="E493" s="20"/>
      <c r="F493" s="21">
        <v>1</v>
      </c>
      <c r="G493" s="22" t="s">
        <v>21</v>
      </c>
      <c r="H493" s="21">
        <v>144</v>
      </c>
      <c r="I493" s="22" t="s">
        <v>43</v>
      </c>
      <c r="J493" s="23">
        <v>27000</v>
      </c>
      <c r="K493" s="19" t="s">
        <v>43</v>
      </c>
      <c r="L493" s="24">
        <v>0.125</v>
      </c>
      <c r="M493" s="24">
        <v>0.05</v>
      </c>
      <c r="N493" s="21"/>
      <c r="O493" s="22" t="s">
        <v>43</v>
      </c>
      <c r="P493" s="18">
        <f t="shared" si="116"/>
        <v>0</v>
      </c>
      <c r="Q493" s="22" t="s">
        <v>43</v>
      </c>
      <c r="R493" s="23">
        <f t="shared" si="117"/>
        <v>0</v>
      </c>
      <c r="S493" s="23">
        <f t="shared" si="99"/>
        <v>0</v>
      </c>
    </row>
    <row r="494" spans="1:19" s="17" customFormat="1">
      <c r="A494" s="93" t="s">
        <v>797</v>
      </c>
      <c r="B494" s="17" t="s">
        <v>19</v>
      </c>
      <c r="C494" s="18"/>
      <c r="D494" s="19" t="s">
        <v>43</v>
      </c>
      <c r="E494" s="20"/>
      <c r="F494" s="21">
        <v>1</v>
      </c>
      <c r="G494" s="22" t="s">
        <v>21</v>
      </c>
      <c r="H494" s="21">
        <v>144</v>
      </c>
      <c r="I494" s="22" t="s">
        <v>43</v>
      </c>
      <c r="J494" s="23">
        <v>21600</v>
      </c>
      <c r="K494" s="19" t="s">
        <v>43</v>
      </c>
      <c r="L494" s="24">
        <v>0.125</v>
      </c>
      <c r="M494" s="24">
        <v>0.05</v>
      </c>
      <c r="N494" s="21"/>
      <c r="O494" s="22" t="s">
        <v>43</v>
      </c>
      <c r="P494" s="18">
        <f t="shared" si="116"/>
        <v>0</v>
      </c>
      <c r="Q494" s="22" t="s">
        <v>43</v>
      </c>
      <c r="R494" s="23">
        <f t="shared" si="117"/>
        <v>0</v>
      </c>
      <c r="S494" s="23">
        <f t="shared" ref="S494:S568" si="119">R494/1.11</f>
        <v>0</v>
      </c>
    </row>
    <row r="495" spans="1:19" s="17" customFormat="1">
      <c r="A495" s="93" t="s">
        <v>395</v>
      </c>
      <c r="B495" s="17" t="s">
        <v>19</v>
      </c>
      <c r="C495" s="18"/>
      <c r="D495" s="19" t="s">
        <v>43</v>
      </c>
      <c r="E495" s="20"/>
      <c r="F495" s="21">
        <v>1</v>
      </c>
      <c r="G495" s="22" t="s">
        <v>21</v>
      </c>
      <c r="H495" s="21">
        <v>144</v>
      </c>
      <c r="I495" s="22" t="s">
        <v>43</v>
      </c>
      <c r="J495" s="23">
        <v>43200</v>
      </c>
      <c r="K495" s="19" t="s">
        <v>43</v>
      </c>
      <c r="L495" s="24">
        <v>0.125</v>
      </c>
      <c r="M495" s="24">
        <v>0.05</v>
      </c>
      <c r="N495" s="21"/>
      <c r="O495" s="22" t="s">
        <v>43</v>
      </c>
      <c r="P495" s="18">
        <f t="shared" si="116"/>
        <v>0</v>
      </c>
      <c r="Q495" s="22" t="s">
        <v>43</v>
      </c>
      <c r="R495" s="23">
        <f t="shared" si="117"/>
        <v>0</v>
      </c>
      <c r="S495" s="23">
        <f t="shared" si="119"/>
        <v>0</v>
      </c>
    </row>
    <row r="496" spans="1:19" s="17" customFormat="1">
      <c r="A496" s="93" t="s">
        <v>396</v>
      </c>
      <c r="B496" s="17" t="s">
        <v>19</v>
      </c>
      <c r="C496" s="18"/>
      <c r="D496" s="19" t="s">
        <v>43</v>
      </c>
      <c r="E496" s="20"/>
      <c r="F496" s="21">
        <v>1</v>
      </c>
      <c r="G496" s="22" t="s">
        <v>21</v>
      </c>
      <c r="H496" s="21">
        <v>144</v>
      </c>
      <c r="I496" s="22" t="s">
        <v>43</v>
      </c>
      <c r="J496" s="23">
        <v>22800</v>
      </c>
      <c r="K496" s="19" t="s">
        <v>43</v>
      </c>
      <c r="L496" s="24">
        <v>0.125</v>
      </c>
      <c r="M496" s="24">
        <v>0.05</v>
      </c>
      <c r="N496" s="21"/>
      <c r="O496" s="22" t="s">
        <v>43</v>
      </c>
      <c r="P496" s="18">
        <f t="shared" si="116"/>
        <v>0</v>
      </c>
      <c r="Q496" s="22" t="s">
        <v>43</v>
      </c>
      <c r="R496" s="23">
        <f t="shared" si="117"/>
        <v>0</v>
      </c>
      <c r="S496" s="23">
        <f t="shared" si="119"/>
        <v>0</v>
      </c>
    </row>
    <row r="497" spans="1:20" s="45" customFormat="1">
      <c r="A497" s="210" t="s">
        <v>397</v>
      </c>
      <c r="B497" s="36" t="s">
        <v>19</v>
      </c>
      <c r="C497" s="37">
        <v>780</v>
      </c>
      <c r="D497" s="38" t="s">
        <v>43</v>
      </c>
      <c r="E497" s="39"/>
      <c r="F497" s="40">
        <v>1</v>
      </c>
      <c r="G497" s="41" t="s">
        <v>21</v>
      </c>
      <c r="H497" s="40">
        <v>144</v>
      </c>
      <c r="I497" s="41" t="s">
        <v>43</v>
      </c>
      <c r="J497" s="42">
        <v>26400</v>
      </c>
      <c r="K497" s="38" t="s">
        <v>43</v>
      </c>
      <c r="L497" s="43">
        <v>0.125</v>
      </c>
      <c r="M497" s="43">
        <v>0.05</v>
      </c>
      <c r="N497" s="40">
        <f>3+36+288</f>
        <v>327</v>
      </c>
      <c r="O497" s="317" t="s">
        <v>43</v>
      </c>
      <c r="P497" s="37">
        <f t="shared" si="116"/>
        <v>453</v>
      </c>
      <c r="Q497" s="41" t="s">
        <v>43</v>
      </c>
      <c r="R497" s="42">
        <f t="shared" si="117"/>
        <v>9941085</v>
      </c>
      <c r="S497" s="42">
        <f t="shared" si="119"/>
        <v>8955932.4324324317</v>
      </c>
    </row>
    <row r="498" spans="1:20" s="45" customFormat="1">
      <c r="A498" s="210" t="s">
        <v>850</v>
      </c>
      <c r="B498" s="36" t="s">
        <v>19</v>
      </c>
      <c r="C498" s="37">
        <f>138+(4+2+(26+2)+84+90)</f>
        <v>346</v>
      </c>
      <c r="D498" s="38" t="s">
        <v>43</v>
      </c>
      <c r="E498" s="39"/>
      <c r="F498" s="40">
        <v>1</v>
      </c>
      <c r="G498" s="41" t="s">
        <v>21</v>
      </c>
      <c r="H498" s="40">
        <v>144</v>
      </c>
      <c r="I498" s="41" t="s">
        <v>43</v>
      </c>
      <c r="J498" s="42">
        <v>0</v>
      </c>
      <c r="K498" s="38" t="s">
        <v>43</v>
      </c>
      <c r="L498" s="43">
        <v>0</v>
      </c>
      <c r="M498" s="43">
        <v>0</v>
      </c>
      <c r="N498" s="40"/>
      <c r="O498" s="317" t="s">
        <v>43</v>
      </c>
      <c r="P498" s="37">
        <f t="shared" si="116"/>
        <v>346</v>
      </c>
      <c r="Q498" s="41" t="s">
        <v>43</v>
      </c>
      <c r="R498" s="42">
        <f t="shared" si="117"/>
        <v>0</v>
      </c>
      <c r="S498" s="42">
        <f t="shared" si="119"/>
        <v>0</v>
      </c>
    </row>
    <row r="499" spans="1:20" s="45" customFormat="1">
      <c r="A499" s="94" t="s">
        <v>398</v>
      </c>
      <c r="B499" s="45" t="s">
        <v>19</v>
      </c>
      <c r="C499" s="46">
        <v>478</v>
      </c>
      <c r="D499" s="47" t="s">
        <v>43</v>
      </c>
      <c r="E499" s="48"/>
      <c r="F499" s="49">
        <v>1</v>
      </c>
      <c r="G499" s="50" t="s">
        <v>21</v>
      </c>
      <c r="H499" s="49">
        <v>144</v>
      </c>
      <c r="I499" s="50" t="s">
        <v>43</v>
      </c>
      <c r="J499" s="51">
        <v>27600</v>
      </c>
      <c r="K499" s="47" t="s">
        <v>43</v>
      </c>
      <c r="L499" s="52">
        <v>0.125</v>
      </c>
      <c r="M499" s="52">
        <v>0.05</v>
      </c>
      <c r="N499" s="49">
        <f>144+144</f>
        <v>288</v>
      </c>
      <c r="O499" s="50" t="s">
        <v>43</v>
      </c>
      <c r="P499" s="46">
        <f t="shared" si="116"/>
        <v>190</v>
      </c>
      <c r="Q499" s="50" t="s">
        <v>43</v>
      </c>
      <c r="R499" s="51">
        <f t="shared" si="117"/>
        <v>4359075</v>
      </c>
      <c r="S499" s="51">
        <f t="shared" si="119"/>
        <v>3927094.5945945941</v>
      </c>
    </row>
    <row r="500" spans="1:20" s="17" customFormat="1">
      <c r="A500" s="93" t="s">
        <v>399</v>
      </c>
      <c r="B500" s="17" t="s">
        <v>19</v>
      </c>
      <c r="C500" s="18"/>
      <c r="D500" s="19" t="s">
        <v>43</v>
      </c>
      <c r="E500" s="20"/>
      <c r="F500" s="21">
        <v>1</v>
      </c>
      <c r="G500" s="22" t="s">
        <v>21</v>
      </c>
      <c r="H500" s="21">
        <v>144</v>
      </c>
      <c r="I500" s="22" t="s">
        <v>43</v>
      </c>
      <c r="J500" s="23">
        <v>25800</v>
      </c>
      <c r="K500" s="19" t="s">
        <v>43</v>
      </c>
      <c r="L500" s="24">
        <v>0.125</v>
      </c>
      <c r="M500" s="24">
        <v>0.05</v>
      </c>
      <c r="N500" s="21"/>
      <c r="O500" s="22" t="s">
        <v>43</v>
      </c>
      <c r="P500" s="18">
        <f t="shared" si="116"/>
        <v>0</v>
      </c>
      <c r="Q500" s="22" t="s">
        <v>43</v>
      </c>
      <c r="R500" s="23">
        <f t="shared" si="117"/>
        <v>0</v>
      </c>
      <c r="S500" s="23">
        <f t="shared" si="119"/>
        <v>0</v>
      </c>
    </row>
    <row r="501" spans="1:20" s="26" customFormat="1">
      <c r="A501" s="25" t="s">
        <v>400</v>
      </c>
      <c r="B501" s="26" t="s">
        <v>19</v>
      </c>
      <c r="C501" s="27">
        <v>147</v>
      </c>
      <c r="D501" s="28" t="s">
        <v>43</v>
      </c>
      <c r="E501" s="29"/>
      <c r="F501" s="30">
        <v>1</v>
      </c>
      <c r="G501" s="31" t="s">
        <v>21</v>
      </c>
      <c r="H501" s="30">
        <v>144</v>
      </c>
      <c r="I501" s="31" t="s">
        <v>43</v>
      </c>
      <c r="J501" s="32">
        <v>14100</v>
      </c>
      <c r="K501" s="28" t="s">
        <v>43</v>
      </c>
      <c r="L501" s="33">
        <v>0.125</v>
      </c>
      <c r="M501" s="33">
        <v>0.05</v>
      </c>
      <c r="N501" s="30">
        <f>1+144</f>
        <v>145</v>
      </c>
      <c r="O501" s="31" t="s">
        <v>43</v>
      </c>
      <c r="P501" s="27">
        <f t="shared" si="116"/>
        <v>2</v>
      </c>
      <c r="Q501" s="31" t="s">
        <v>43</v>
      </c>
      <c r="R501" s="32">
        <f t="shared" si="117"/>
        <v>23441.25</v>
      </c>
      <c r="S501" s="32">
        <f t="shared" si="119"/>
        <v>21118.24324324324</v>
      </c>
    </row>
    <row r="502" spans="1:20" s="17" customFormat="1">
      <c r="A502" s="16" t="s">
        <v>780</v>
      </c>
      <c r="B502" s="17" t="s">
        <v>19</v>
      </c>
      <c r="C502" s="18"/>
      <c r="D502" s="19" t="s">
        <v>43</v>
      </c>
      <c r="E502" s="20"/>
      <c r="F502" s="21">
        <v>1</v>
      </c>
      <c r="G502" s="22" t="s">
        <v>21</v>
      </c>
      <c r="H502" s="21">
        <v>144</v>
      </c>
      <c r="I502" s="22" t="s">
        <v>43</v>
      </c>
      <c r="J502" s="23">
        <v>25800</v>
      </c>
      <c r="K502" s="19" t="s">
        <v>43</v>
      </c>
      <c r="L502" s="24">
        <v>0.125</v>
      </c>
      <c r="M502" s="24">
        <v>0.05</v>
      </c>
      <c r="N502" s="21"/>
      <c r="O502" s="22" t="s">
        <v>43</v>
      </c>
      <c r="P502" s="18">
        <f t="shared" si="116"/>
        <v>0</v>
      </c>
      <c r="Q502" s="22" t="s">
        <v>43</v>
      </c>
      <c r="R502" s="23">
        <f t="shared" si="117"/>
        <v>0</v>
      </c>
      <c r="S502" s="23">
        <f t="shared" si="119"/>
        <v>0</v>
      </c>
    </row>
    <row r="503" spans="1:20" s="26" customFormat="1">
      <c r="A503" s="25" t="s">
        <v>401</v>
      </c>
      <c r="B503" s="26" t="s">
        <v>19</v>
      </c>
      <c r="C503" s="27">
        <v>288</v>
      </c>
      <c r="D503" s="28" t="s">
        <v>43</v>
      </c>
      <c r="E503" s="29">
        <v>1</v>
      </c>
      <c r="F503" s="30">
        <v>1</v>
      </c>
      <c r="G503" s="31" t="s">
        <v>21</v>
      </c>
      <c r="H503" s="30">
        <v>144</v>
      </c>
      <c r="I503" s="31" t="s">
        <v>43</v>
      </c>
      <c r="J503" s="32">
        <v>20400</v>
      </c>
      <c r="K503" s="28" t="s">
        <v>43</v>
      </c>
      <c r="L503" s="33">
        <v>0.125</v>
      </c>
      <c r="M503" s="33">
        <v>0.05</v>
      </c>
      <c r="N503" s="30"/>
      <c r="O503" s="31" t="s">
        <v>43</v>
      </c>
      <c r="P503" s="27">
        <f t="shared" si="116"/>
        <v>432</v>
      </c>
      <c r="Q503" s="31" t="s">
        <v>43</v>
      </c>
      <c r="R503" s="32">
        <f t="shared" si="117"/>
        <v>7325640</v>
      </c>
      <c r="S503" s="32">
        <f t="shared" si="119"/>
        <v>6599675.6756756753</v>
      </c>
    </row>
    <row r="504" spans="1:20" s="26" customFormat="1">
      <c r="A504" s="25"/>
      <c r="C504" s="27"/>
      <c r="D504" s="28"/>
      <c r="E504" s="29"/>
      <c r="F504" s="30"/>
      <c r="G504" s="31"/>
      <c r="H504" s="30"/>
      <c r="I504" s="31"/>
      <c r="J504" s="32"/>
      <c r="K504" s="28"/>
      <c r="L504" s="33"/>
      <c r="M504" s="33"/>
      <c r="N504" s="30"/>
      <c r="O504" s="31"/>
      <c r="P504" s="27"/>
      <c r="Q504" s="31"/>
      <c r="R504" s="32"/>
      <c r="S504" s="32"/>
    </row>
    <row r="505" spans="1:20" s="17" customFormat="1">
      <c r="A505" s="16" t="s">
        <v>402</v>
      </c>
      <c r="B505" s="17" t="s">
        <v>26</v>
      </c>
      <c r="C505" s="18"/>
      <c r="D505" s="19" t="s">
        <v>43</v>
      </c>
      <c r="E505" s="20"/>
      <c r="F505" s="21">
        <v>1</v>
      </c>
      <c r="G505" s="22" t="s">
        <v>21</v>
      </c>
      <c r="H505" s="21">
        <v>144</v>
      </c>
      <c r="I505" s="22" t="s">
        <v>43</v>
      </c>
      <c r="J505" s="23">
        <v>25200</v>
      </c>
      <c r="K505" s="19" t="s">
        <v>43</v>
      </c>
      <c r="L505" s="24"/>
      <c r="M505" s="24">
        <v>0.17</v>
      </c>
      <c r="N505" s="21"/>
      <c r="O505" s="22" t="s">
        <v>43</v>
      </c>
      <c r="P505" s="18">
        <f t="shared" si="116"/>
        <v>0</v>
      </c>
      <c r="Q505" s="22" t="s">
        <v>43</v>
      </c>
      <c r="R505" s="23">
        <f t="shared" si="117"/>
        <v>0</v>
      </c>
      <c r="S505" s="23">
        <f t="shared" si="119"/>
        <v>0</v>
      </c>
    </row>
    <row r="506" spans="1:20" s="26" customFormat="1">
      <c r="A506" s="25" t="s">
        <v>751</v>
      </c>
      <c r="B506" s="26" t="s">
        <v>26</v>
      </c>
      <c r="C506" s="27">
        <v>144</v>
      </c>
      <c r="D506" s="28" t="s">
        <v>43</v>
      </c>
      <c r="E506" s="29"/>
      <c r="F506" s="30">
        <v>1</v>
      </c>
      <c r="G506" s="31" t="s">
        <v>21</v>
      </c>
      <c r="H506" s="30">
        <v>144</v>
      </c>
      <c r="I506" s="31" t="s">
        <v>43</v>
      </c>
      <c r="J506" s="32">
        <f>3758400/144</f>
        <v>26100</v>
      </c>
      <c r="K506" s="28" t="s">
        <v>43</v>
      </c>
      <c r="L506" s="33"/>
      <c r="M506" s="33">
        <v>0.17</v>
      </c>
      <c r="N506" s="30"/>
      <c r="O506" s="31" t="s">
        <v>43</v>
      </c>
      <c r="P506" s="27">
        <f t="shared" si="116"/>
        <v>144</v>
      </c>
      <c r="Q506" s="31" t="s">
        <v>43</v>
      </c>
      <c r="R506" s="32">
        <f t="shared" si="117"/>
        <v>3119472</v>
      </c>
      <c r="S506" s="32">
        <f t="shared" si="119"/>
        <v>2810335.1351351347</v>
      </c>
    </row>
    <row r="507" spans="1:20" s="26" customFormat="1">
      <c r="A507" s="25" t="s">
        <v>403</v>
      </c>
      <c r="B507" s="26" t="s">
        <v>26</v>
      </c>
      <c r="C507" s="27">
        <v>60</v>
      </c>
      <c r="D507" s="28" t="s">
        <v>43</v>
      </c>
      <c r="E507" s="29"/>
      <c r="F507" s="30">
        <v>1</v>
      </c>
      <c r="G507" s="31" t="s">
        <v>21</v>
      </c>
      <c r="H507" s="30">
        <v>144</v>
      </c>
      <c r="I507" s="31" t="s">
        <v>43</v>
      </c>
      <c r="J507" s="32">
        <f>3715200/144</f>
        <v>25800</v>
      </c>
      <c r="K507" s="28" t="s">
        <v>43</v>
      </c>
      <c r="L507" s="33"/>
      <c r="M507" s="33">
        <v>0.17</v>
      </c>
      <c r="N507" s="30"/>
      <c r="O507" s="31" t="s">
        <v>43</v>
      </c>
      <c r="P507" s="27">
        <f t="shared" si="116"/>
        <v>60</v>
      </c>
      <c r="Q507" s="31" t="s">
        <v>43</v>
      </c>
      <c r="R507" s="32">
        <f t="shared" si="117"/>
        <v>1284840</v>
      </c>
      <c r="S507" s="32">
        <f t="shared" si="119"/>
        <v>1157513.5135135134</v>
      </c>
    </row>
    <row r="508" spans="1:20" s="17" customFormat="1">
      <c r="A508" s="16" t="s">
        <v>414</v>
      </c>
      <c r="B508" s="17" t="s">
        <v>26</v>
      </c>
      <c r="C508" s="18"/>
      <c r="D508" s="19" t="s">
        <v>43</v>
      </c>
      <c r="E508" s="20"/>
      <c r="F508" s="21">
        <v>1</v>
      </c>
      <c r="G508" s="22" t="s">
        <v>21</v>
      </c>
      <c r="H508" s="21">
        <v>144</v>
      </c>
      <c r="I508" s="22" t="s">
        <v>43</v>
      </c>
      <c r="J508" s="23">
        <v>25800</v>
      </c>
      <c r="K508" s="19" t="s">
        <v>43</v>
      </c>
      <c r="L508" s="24"/>
      <c r="M508" s="24">
        <v>0.17</v>
      </c>
      <c r="N508" s="21"/>
      <c r="O508" s="22" t="s">
        <v>43</v>
      </c>
      <c r="P508" s="18">
        <f>(C508+(E508*F508*H508))-N508</f>
        <v>0</v>
      </c>
      <c r="Q508" s="22" t="s">
        <v>43</v>
      </c>
      <c r="R508" s="23">
        <f>P508*(J508-(J508*L508)-((J508-(J508*L508))*M508))</f>
        <v>0</v>
      </c>
      <c r="S508" s="23">
        <f>R508/1.11</f>
        <v>0</v>
      </c>
    </row>
    <row r="509" spans="1:20" s="26" customFormat="1">
      <c r="A509" s="94" t="s">
        <v>404</v>
      </c>
      <c r="B509" s="26" t="s">
        <v>26</v>
      </c>
      <c r="C509" s="27">
        <v>1057</v>
      </c>
      <c r="D509" s="28" t="s">
        <v>43</v>
      </c>
      <c r="E509" s="29">
        <v>2</v>
      </c>
      <c r="F509" s="30">
        <v>1</v>
      </c>
      <c r="G509" s="31" t="s">
        <v>21</v>
      </c>
      <c r="H509" s="30">
        <v>144</v>
      </c>
      <c r="I509" s="31" t="s">
        <v>43</v>
      </c>
      <c r="J509" s="32">
        <f>3758400/144</f>
        <v>26100</v>
      </c>
      <c r="K509" s="28" t="s">
        <v>43</v>
      </c>
      <c r="L509" s="33"/>
      <c r="M509" s="33">
        <v>0.17</v>
      </c>
      <c r="N509" s="30">
        <f>24+12+3+144+36+36+30+36</f>
        <v>321</v>
      </c>
      <c r="O509" s="31" t="s">
        <v>43</v>
      </c>
      <c r="P509" s="27">
        <f t="shared" si="116"/>
        <v>1024</v>
      </c>
      <c r="Q509" s="31" t="s">
        <v>43</v>
      </c>
      <c r="R509" s="32">
        <f t="shared" si="117"/>
        <v>22182912</v>
      </c>
      <c r="S509" s="32">
        <f t="shared" si="119"/>
        <v>19984605.405405402</v>
      </c>
    </row>
    <row r="510" spans="1:20">
      <c r="A510" s="93" t="s">
        <v>405</v>
      </c>
      <c r="B510" s="17" t="s">
        <v>26</v>
      </c>
      <c r="C510" s="18"/>
      <c r="D510" s="19" t="s">
        <v>43</v>
      </c>
      <c r="E510" s="20"/>
      <c r="F510" s="21">
        <v>1</v>
      </c>
      <c r="G510" s="22" t="s">
        <v>21</v>
      </c>
      <c r="H510" s="21">
        <v>144</v>
      </c>
      <c r="I510" s="22" t="s">
        <v>43</v>
      </c>
      <c r="J510" s="23">
        <f>3628800/144</f>
        <v>25200</v>
      </c>
      <c r="K510" s="19" t="s">
        <v>43</v>
      </c>
      <c r="L510" s="24"/>
      <c r="M510" s="24">
        <v>0.17</v>
      </c>
      <c r="N510" s="21">
        <v>144</v>
      </c>
      <c r="O510" s="22" t="s">
        <v>43</v>
      </c>
      <c r="P510" s="18">
        <f t="shared" si="116"/>
        <v>-144</v>
      </c>
      <c r="Q510" s="22" t="s">
        <v>43</v>
      </c>
      <c r="R510" s="23">
        <f t="shared" si="117"/>
        <v>-3011904</v>
      </c>
      <c r="S510" s="23">
        <f t="shared" si="119"/>
        <v>-2713427.0270270268</v>
      </c>
      <c r="T510" s="17"/>
    </row>
    <row r="511" spans="1:20" s="17" customFormat="1">
      <c r="A511" s="93" t="s">
        <v>406</v>
      </c>
      <c r="B511" s="17" t="s">
        <v>26</v>
      </c>
      <c r="C511" s="18"/>
      <c r="D511" s="19" t="s">
        <v>43</v>
      </c>
      <c r="E511" s="20"/>
      <c r="F511" s="21">
        <v>1</v>
      </c>
      <c r="G511" s="22" t="s">
        <v>21</v>
      </c>
      <c r="H511" s="21">
        <v>144</v>
      </c>
      <c r="I511" s="22" t="s">
        <v>43</v>
      </c>
      <c r="J511" s="23">
        <f>3628800/144</f>
        <v>25200</v>
      </c>
      <c r="K511" s="19" t="s">
        <v>43</v>
      </c>
      <c r="L511" s="24"/>
      <c r="M511" s="24">
        <v>0.17</v>
      </c>
      <c r="N511" s="21"/>
      <c r="O511" s="22" t="s">
        <v>43</v>
      </c>
      <c r="P511" s="18">
        <f t="shared" si="116"/>
        <v>0</v>
      </c>
      <c r="Q511" s="22" t="s">
        <v>43</v>
      </c>
      <c r="R511" s="23">
        <f t="shared" si="117"/>
        <v>0</v>
      </c>
      <c r="S511" s="23">
        <f t="shared" si="119"/>
        <v>0</v>
      </c>
    </row>
    <row r="512" spans="1:20" s="45" customFormat="1">
      <c r="A512" s="44" t="s">
        <v>407</v>
      </c>
      <c r="B512" s="45" t="s">
        <v>26</v>
      </c>
      <c r="C512" s="139"/>
      <c r="D512" s="47" t="s">
        <v>43</v>
      </c>
      <c r="E512" s="48">
        <f>(25+3)+15+20+10+10</f>
        <v>83</v>
      </c>
      <c r="F512" s="49">
        <v>1</v>
      </c>
      <c r="G512" s="50" t="s">
        <v>21</v>
      </c>
      <c r="H512" s="49">
        <v>144</v>
      </c>
      <c r="I512" s="50" t="s">
        <v>43</v>
      </c>
      <c r="J512" s="51">
        <f>5616000/144</f>
        <v>39000</v>
      </c>
      <c r="K512" s="47" t="s">
        <v>43</v>
      </c>
      <c r="L512" s="52"/>
      <c r="M512" s="52">
        <v>0.17</v>
      </c>
      <c r="N512" s="49">
        <f>4708+720+144+432+(24+24)+144+36+36+144+144+144+288+720+288+144+24+17+288+144+288</f>
        <v>8901</v>
      </c>
      <c r="O512" s="50" t="s">
        <v>43</v>
      </c>
      <c r="P512" s="46">
        <f t="shared" si="116"/>
        <v>3051</v>
      </c>
      <c r="Q512" s="50" t="s">
        <v>43</v>
      </c>
      <c r="R512" s="51">
        <f t="shared" si="117"/>
        <v>98760870</v>
      </c>
      <c r="S512" s="51">
        <f t="shared" si="119"/>
        <v>88973756.756756753</v>
      </c>
    </row>
    <row r="513" spans="1:20" s="17" customFormat="1">
      <c r="A513" s="16" t="s">
        <v>408</v>
      </c>
      <c r="B513" s="17" t="s">
        <v>26</v>
      </c>
      <c r="C513" s="18"/>
      <c r="D513" s="19" t="s">
        <v>43</v>
      </c>
      <c r="E513" s="20"/>
      <c r="F513" s="21">
        <v>1</v>
      </c>
      <c r="G513" s="22" t="s">
        <v>21</v>
      </c>
      <c r="H513" s="21">
        <v>144</v>
      </c>
      <c r="I513" s="22" t="s">
        <v>43</v>
      </c>
      <c r="J513" s="23">
        <f>5356800/144</f>
        <v>37200</v>
      </c>
      <c r="K513" s="19" t="s">
        <v>43</v>
      </c>
      <c r="L513" s="24"/>
      <c r="M513" s="24">
        <v>0.17</v>
      </c>
      <c r="N513" s="21"/>
      <c r="O513" s="22" t="s">
        <v>43</v>
      </c>
      <c r="P513" s="18">
        <f t="shared" si="116"/>
        <v>0</v>
      </c>
      <c r="Q513" s="22" t="s">
        <v>43</v>
      </c>
      <c r="R513" s="23">
        <f t="shared" si="117"/>
        <v>0</v>
      </c>
      <c r="S513" s="23">
        <f t="shared" si="119"/>
        <v>0</v>
      </c>
    </row>
    <row r="514" spans="1:20" s="45" customFormat="1">
      <c r="A514" s="44" t="s">
        <v>409</v>
      </c>
      <c r="B514" s="45" t="s">
        <v>26</v>
      </c>
      <c r="C514" s="46">
        <v>901</v>
      </c>
      <c r="D514" s="47" t="s">
        <v>43</v>
      </c>
      <c r="E514" s="48"/>
      <c r="F514" s="49">
        <v>1</v>
      </c>
      <c r="G514" s="50" t="s">
        <v>21</v>
      </c>
      <c r="H514" s="49">
        <v>144</v>
      </c>
      <c r="I514" s="50" t="s">
        <v>43</v>
      </c>
      <c r="J514" s="51">
        <f>5356800/144</f>
        <v>37200</v>
      </c>
      <c r="K514" s="47" t="s">
        <v>43</v>
      </c>
      <c r="L514" s="52"/>
      <c r="M514" s="52">
        <v>0.17</v>
      </c>
      <c r="N514" s="49">
        <v>48</v>
      </c>
      <c r="O514" s="50" t="s">
        <v>43</v>
      </c>
      <c r="P514" s="46">
        <f t="shared" si="116"/>
        <v>853</v>
      </c>
      <c r="Q514" s="50" t="s">
        <v>43</v>
      </c>
      <c r="R514" s="51">
        <f t="shared" si="117"/>
        <v>26337228</v>
      </c>
      <c r="S514" s="51">
        <f t="shared" si="119"/>
        <v>23727232.432432432</v>
      </c>
    </row>
    <row r="515" spans="1:20" s="45" customFormat="1">
      <c r="A515" s="44" t="s">
        <v>856</v>
      </c>
      <c r="B515" s="45" t="s">
        <v>26</v>
      </c>
      <c r="C515" s="139"/>
      <c r="D515" s="47" t="s">
        <v>43</v>
      </c>
      <c r="E515" s="48">
        <f>1+1+2</f>
        <v>4</v>
      </c>
      <c r="F515" s="49">
        <v>1</v>
      </c>
      <c r="G515" s="50" t="s">
        <v>21</v>
      </c>
      <c r="H515" s="49">
        <v>144</v>
      </c>
      <c r="I515" s="50" t="s">
        <v>43</v>
      </c>
      <c r="J515" s="51">
        <f>5702400/144</f>
        <v>39600</v>
      </c>
      <c r="K515" s="47" t="s">
        <v>43</v>
      </c>
      <c r="L515" s="52"/>
      <c r="M515" s="52">
        <v>0.17</v>
      </c>
      <c r="N515" s="49">
        <v>144</v>
      </c>
      <c r="O515" s="50" t="s">
        <v>43</v>
      </c>
      <c r="P515" s="46">
        <f t="shared" ref="P515" si="120">(C515+(E515*F515*H515))-N515</f>
        <v>432</v>
      </c>
      <c r="Q515" s="50" t="s">
        <v>43</v>
      </c>
      <c r="R515" s="51">
        <f t="shared" ref="R515" si="121">P515*(J515-(J515*L515)-((J515-(J515*L515))*M515))</f>
        <v>14198976</v>
      </c>
      <c r="S515" s="51">
        <f t="shared" ref="S515" si="122">R515/1.11</f>
        <v>12791870.270270269</v>
      </c>
    </row>
    <row r="516" spans="1:20" s="45" customFormat="1">
      <c r="A516" s="44" t="s">
        <v>857</v>
      </c>
      <c r="B516" s="45" t="s">
        <v>26</v>
      </c>
      <c r="C516" s="139"/>
      <c r="D516" s="47" t="s">
        <v>43</v>
      </c>
      <c r="E516" s="48">
        <f>1+1</f>
        <v>2</v>
      </c>
      <c r="F516" s="49">
        <v>1</v>
      </c>
      <c r="G516" s="50" t="s">
        <v>21</v>
      </c>
      <c r="H516" s="49">
        <v>144</v>
      </c>
      <c r="I516" s="50" t="s">
        <v>43</v>
      </c>
      <c r="J516" s="51">
        <f>5702400/144</f>
        <v>39600</v>
      </c>
      <c r="K516" s="47" t="s">
        <v>43</v>
      </c>
      <c r="L516" s="52"/>
      <c r="M516" s="52">
        <v>0.17</v>
      </c>
      <c r="N516" s="49"/>
      <c r="O516" s="50" t="s">
        <v>43</v>
      </c>
      <c r="P516" s="46">
        <f t="shared" si="116"/>
        <v>288</v>
      </c>
      <c r="Q516" s="50" t="s">
        <v>43</v>
      </c>
      <c r="R516" s="51">
        <f t="shared" si="117"/>
        <v>9465984</v>
      </c>
      <c r="S516" s="51">
        <f t="shared" si="119"/>
        <v>8527913.5135135129</v>
      </c>
    </row>
    <row r="517" spans="1:20" s="45" customFormat="1">
      <c r="A517" s="44" t="s">
        <v>410</v>
      </c>
      <c r="B517" s="45" t="s">
        <v>26</v>
      </c>
      <c r="C517" s="46">
        <v>193</v>
      </c>
      <c r="D517" s="47" t="s">
        <v>43</v>
      </c>
      <c r="E517" s="48">
        <f>2+1+1</f>
        <v>4</v>
      </c>
      <c r="F517" s="49">
        <v>1</v>
      </c>
      <c r="G517" s="50" t="s">
        <v>21</v>
      </c>
      <c r="H517" s="49">
        <v>144</v>
      </c>
      <c r="I517" s="50" t="s">
        <v>43</v>
      </c>
      <c r="J517" s="51">
        <f>5702400/144</f>
        <v>39600</v>
      </c>
      <c r="K517" s="47" t="s">
        <v>43</v>
      </c>
      <c r="L517" s="52"/>
      <c r="M517" s="52">
        <v>0.17</v>
      </c>
      <c r="N517" s="49">
        <f>144+24+24+24+144+36+36+(12+31)</f>
        <v>475</v>
      </c>
      <c r="O517" s="50" t="s">
        <v>43</v>
      </c>
      <c r="P517" s="46">
        <f t="shared" si="116"/>
        <v>294</v>
      </c>
      <c r="Q517" s="50" t="s">
        <v>43</v>
      </c>
      <c r="R517" s="51">
        <f t="shared" si="117"/>
        <v>9663192</v>
      </c>
      <c r="S517" s="51">
        <f t="shared" si="119"/>
        <v>8705578.3783783782</v>
      </c>
    </row>
    <row r="518" spans="1:20" s="17" customFormat="1">
      <c r="A518" s="25" t="s">
        <v>411</v>
      </c>
      <c r="B518" s="26" t="s">
        <v>26</v>
      </c>
      <c r="C518" s="27">
        <v>512</v>
      </c>
      <c r="D518" s="28" t="s">
        <v>43</v>
      </c>
      <c r="E518" s="29">
        <f>1+1</f>
        <v>2</v>
      </c>
      <c r="F518" s="30">
        <v>1</v>
      </c>
      <c r="G518" s="31" t="s">
        <v>21</v>
      </c>
      <c r="H518" s="30">
        <v>144</v>
      </c>
      <c r="I518" s="31" t="s">
        <v>43</v>
      </c>
      <c r="J518" s="32">
        <f>2764800/144</f>
        <v>19200</v>
      </c>
      <c r="K518" s="28" t="s">
        <v>43</v>
      </c>
      <c r="L518" s="33"/>
      <c r="M518" s="33">
        <v>0.17</v>
      </c>
      <c r="N518" s="30">
        <v>36</v>
      </c>
      <c r="O518" s="31" t="s">
        <v>43</v>
      </c>
      <c r="P518" s="27">
        <f t="shared" si="116"/>
        <v>764</v>
      </c>
      <c r="Q518" s="31" t="s">
        <v>43</v>
      </c>
      <c r="R518" s="32">
        <f t="shared" si="117"/>
        <v>12175104</v>
      </c>
      <c r="S518" s="32">
        <f t="shared" si="119"/>
        <v>10968562.162162161</v>
      </c>
      <c r="T518" s="26"/>
    </row>
    <row r="519" spans="1:20" s="26" customFormat="1">
      <c r="A519" s="16" t="s">
        <v>412</v>
      </c>
      <c r="B519" s="17" t="s">
        <v>26</v>
      </c>
      <c r="C519" s="18"/>
      <c r="D519" s="19" t="s">
        <v>43</v>
      </c>
      <c r="E519" s="20"/>
      <c r="F519" s="21">
        <v>1</v>
      </c>
      <c r="G519" s="22" t="s">
        <v>21</v>
      </c>
      <c r="H519" s="21">
        <v>144</v>
      </c>
      <c r="I519" s="22" t="s">
        <v>43</v>
      </c>
      <c r="J519" s="23">
        <f>2764800/144</f>
        <v>19200</v>
      </c>
      <c r="K519" s="19" t="s">
        <v>43</v>
      </c>
      <c r="L519" s="24"/>
      <c r="M519" s="24">
        <v>0.17</v>
      </c>
      <c r="N519" s="21"/>
      <c r="O519" s="22" t="s">
        <v>43</v>
      </c>
      <c r="P519" s="18">
        <f t="shared" si="116"/>
        <v>0</v>
      </c>
      <c r="Q519" s="22" t="s">
        <v>43</v>
      </c>
      <c r="R519" s="23">
        <f t="shared" si="117"/>
        <v>0</v>
      </c>
      <c r="S519" s="23">
        <f t="shared" si="119"/>
        <v>0</v>
      </c>
      <c r="T519" s="17"/>
    </row>
    <row r="520" spans="1:20" s="26" customFormat="1">
      <c r="A520" s="16" t="s">
        <v>413</v>
      </c>
      <c r="B520" s="17" t="s">
        <v>26</v>
      </c>
      <c r="C520" s="18"/>
      <c r="D520" s="19" t="s">
        <v>43</v>
      </c>
      <c r="E520" s="20"/>
      <c r="F520" s="21">
        <v>1</v>
      </c>
      <c r="G520" s="22" t="s">
        <v>21</v>
      </c>
      <c r="H520" s="21">
        <v>144</v>
      </c>
      <c r="I520" s="22" t="s">
        <v>43</v>
      </c>
      <c r="J520" s="23">
        <v>23400</v>
      </c>
      <c r="K520" s="19" t="s">
        <v>43</v>
      </c>
      <c r="L520" s="24"/>
      <c r="M520" s="24">
        <v>0.17</v>
      </c>
      <c r="N520" s="21"/>
      <c r="O520" s="22" t="s">
        <v>43</v>
      </c>
      <c r="P520" s="18">
        <f t="shared" si="116"/>
        <v>0</v>
      </c>
      <c r="Q520" s="22" t="s">
        <v>43</v>
      </c>
      <c r="R520" s="23">
        <f t="shared" si="117"/>
        <v>0</v>
      </c>
      <c r="S520" s="23">
        <f t="shared" si="119"/>
        <v>0</v>
      </c>
      <c r="T520" s="17"/>
    </row>
    <row r="521" spans="1:20" s="45" customFormat="1">
      <c r="A521" s="35" t="s">
        <v>415</v>
      </c>
      <c r="B521" s="36" t="s">
        <v>26</v>
      </c>
      <c r="C521" s="37">
        <v>190</v>
      </c>
      <c r="D521" s="38" t="s">
        <v>43</v>
      </c>
      <c r="E521" s="39"/>
      <c r="F521" s="40">
        <v>1</v>
      </c>
      <c r="G521" s="41" t="s">
        <v>21</v>
      </c>
      <c r="H521" s="40">
        <v>144</v>
      </c>
      <c r="I521" s="41" t="s">
        <v>43</v>
      </c>
      <c r="J521" s="42">
        <f>3369600/144</f>
        <v>23400</v>
      </c>
      <c r="K521" s="38" t="s">
        <v>43</v>
      </c>
      <c r="L521" s="43"/>
      <c r="M521" s="43">
        <v>0.17</v>
      </c>
      <c r="N521" s="40">
        <f>36+36+72</f>
        <v>144</v>
      </c>
      <c r="O521" s="41" t="s">
        <v>43</v>
      </c>
      <c r="P521" s="37">
        <f t="shared" si="116"/>
        <v>46</v>
      </c>
      <c r="Q521" s="41" t="s">
        <v>43</v>
      </c>
      <c r="R521" s="42">
        <f t="shared" si="117"/>
        <v>893412</v>
      </c>
      <c r="S521" s="42">
        <f t="shared" si="119"/>
        <v>804875.67567567562</v>
      </c>
    </row>
    <row r="522" spans="1:20" s="45" customFormat="1">
      <c r="A522" s="35" t="s">
        <v>415</v>
      </c>
      <c r="B522" s="36" t="s">
        <v>26</v>
      </c>
      <c r="C522" s="37">
        <v>288</v>
      </c>
      <c r="D522" s="38" t="s">
        <v>43</v>
      </c>
      <c r="E522" s="39"/>
      <c r="F522" s="40">
        <v>1</v>
      </c>
      <c r="G522" s="41" t="s">
        <v>21</v>
      </c>
      <c r="H522" s="40">
        <v>144</v>
      </c>
      <c r="I522" s="41" t="s">
        <v>43</v>
      </c>
      <c r="J522" s="42">
        <f>3542400/144</f>
        <v>24600</v>
      </c>
      <c r="K522" s="38" t="s">
        <v>43</v>
      </c>
      <c r="L522" s="43"/>
      <c r="M522" s="43">
        <v>0.17</v>
      </c>
      <c r="N522" s="40"/>
      <c r="O522" s="41" t="s">
        <v>43</v>
      </c>
      <c r="P522" s="37">
        <f t="shared" si="116"/>
        <v>288</v>
      </c>
      <c r="Q522" s="41" t="s">
        <v>43</v>
      </c>
      <c r="R522" s="42">
        <f t="shared" si="117"/>
        <v>5880384</v>
      </c>
      <c r="S522" s="42">
        <f t="shared" si="119"/>
        <v>5297643.2432432426</v>
      </c>
    </row>
    <row r="523" spans="1:20" s="45" customFormat="1">
      <c r="A523" s="44" t="s">
        <v>416</v>
      </c>
      <c r="B523" s="45" t="s">
        <v>26</v>
      </c>
      <c r="C523" s="46">
        <v>2700</v>
      </c>
      <c r="D523" s="47" t="s">
        <v>43</v>
      </c>
      <c r="E523" s="48">
        <f>3+2</f>
        <v>5</v>
      </c>
      <c r="F523" s="49">
        <v>1</v>
      </c>
      <c r="G523" s="50" t="s">
        <v>21</v>
      </c>
      <c r="H523" s="49">
        <v>144</v>
      </c>
      <c r="I523" s="50" t="s">
        <v>43</v>
      </c>
      <c r="J523" s="51">
        <f>3110400/144</f>
        <v>21600</v>
      </c>
      <c r="K523" s="47" t="s">
        <v>43</v>
      </c>
      <c r="L523" s="52"/>
      <c r="M523" s="52">
        <v>0.17</v>
      </c>
      <c r="N523" s="49">
        <f>12+72+144+288+144+288+42</f>
        <v>990</v>
      </c>
      <c r="O523" s="50" t="s">
        <v>43</v>
      </c>
      <c r="P523" s="46">
        <f t="shared" si="116"/>
        <v>2430</v>
      </c>
      <c r="Q523" s="50" t="s">
        <v>43</v>
      </c>
      <c r="R523" s="51">
        <f t="shared" si="117"/>
        <v>43565040</v>
      </c>
      <c r="S523" s="51">
        <f t="shared" si="119"/>
        <v>39247783.783783779</v>
      </c>
    </row>
    <row r="524" spans="1:20" s="45" customFormat="1">
      <c r="A524" s="44" t="s">
        <v>417</v>
      </c>
      <c r="B524" s="45" t="s">
        <v>26</v>
      </c>
      <c r="C524" s="46">
        <v>288</v>
      </c>
      <c r="D524" s="47" t="s">
        <v>43</v>
      </c>
      <c r="E524" s="48">
        <v>1</v>
      </c>
      <c r="F524" s="49">
        <v>1</v>
      </c>
      <c r="G524" s="50" t="s">
        <v>21</v>
      </c>
      <c r="H524" s="49">
        <v>144</v>
      </c>
      <c r="I524" s="50" t="s">
        <v>43</v>
      </c>
      <c r="J524" s="51">
        <f>3758400/144</f>
        <v>26100</v>
      </c>
      <c r="K524" s="47" t="s">
        <v>43</v>
      </c>
      <c r="L524" s="52"/>
      <c r="M524" s="52">
        <v>0.17</v>
      </c>
      <c r="N524" s="49">
        <v>144</v>
      </c>
      <c r="O524" s="50" t="s">
        <v>43</v>
      </c>
      <c r="P524" s="46">
        <f t="shared" si="116"/>
        <v>288</v>
      </c>
      <c r="Q524" s="50" t="s">
        <v>43</v>
      </c>
      <c r="R524" s="51">
        <f t="shared" si="117"/>
        <v>6238944</v>
      </c>
      <c r="S524" s="51">
        <f t="shared" si="119"/>
        <v>5620670.2702702694</v>
      </c>
    </row>
    <row r="525" spans="1:20" s="45" customFormat="1">
      <c r="A525" s="44" t="s">
        <v>789</v>
      </c>
      <c r="B525" s="45" t="s">
        <v>26</v>
      </c>
      <c r="C525" s="46">
        <v>48</v>
      </c>
      <c r="D525" s="47" t="s">
        <v>43</v>
      </c>
      <c r="E525" s="48"/>
      <c r="F525" s="49">
        <v>1</v>
      </c>
      <c r="G525" s="50" t="s">
        <v>21</v>
      </c>
      <c r="H525" s="49">
        <v>144</v>
      </c>
      <c r="I525" s="50" t="s">
        <v>43</v>
      </c>
      <c r="J525" s="51">
        <f>5616000/144</f>
        <v>39000</v>
      </c>
      <c r="K525" s="47" t="s">
        <v>43</v>
      </c>
      <c r="L525" s="52"/>
      <c r="M525" s="52">
        <v>0.17</v>
      </c>
      <c r="N525" s="49"/>
      <c r="O525" s="50" t="s">
        <v>43</v>
      </c>
      <c r="P525" s="46">
        <f t="shared" si="116"/>
        <v>48</v>
      </c>
      <c r="Q525" s="50" t="s">
        <v>43</v>
      </c>
      <c r="R525" s="51">
        <f t="shared" si="117"/>
        <v>1553760</v>
      </c>
      <c r="S525" s="51">
        <f t="shared" si="119"/>
        <v>1399783.7837837837</v>
      </c>
    </row>
    <row r="526" spans="1:20" s="45" customFormat="1">
      <c r="A526" s="44" t="s">
        <v>418</v>
      </c>
      <c r="B526" s="45" t="s">
        <v>26</v>
      </c>
      <c r="C526" s="46">
        <v>84</v>
      </c>
      <c r="D526" s="47" t="s">
        <v>43</v>
      </c>
      <c r="E526" s="48"/>
      <c r="F526" s="49">
        <v>1</v>
      </c>
      <c r="G526" s="50" t="s">
        <v>21</v>
      </c>
      <c r="H526" s="49">
        <v>144</v>
      </c>
      <c r="I526" s="50" t="s">
        <v>43</v>
      </c>
      <c r="J526" s="51">
        <f>5270400/144</f>
        <v>36600</v>
      </c>
      <c r="K526" s="47" t="s">
        <v>43</v>
      </c>
      <c r="L526" s="52"/>
      <c r="M526" s="52">
        <v>0.17</v>
      </c>
      <c r="N526" s="49">
        <f>5+24+36+6</f>
        <v>71</v>
      </c>
      <c r="O526" s="50" t="s">
        <v>43</v>
      </c>
      <c r="P526" s="46">
        <f t="shared" si="116"/>
        <v>13</v>
      </c>
      <c r="Q526" s="50" t="s">
        <v>43</v>
      </c>
      <c r="R526" s="51">
        <f t="shared" si="117"/>
        <v>394914</v>
      </c>
      <c r="S526" s="51">
        <f t="shared" si="119"/>
        <v>355778.37837837834</v>
      </c>
    </row>
    <row r="527" spans="1:20" s="17" customFormat="1">
      <c r="A527" s="95" t="s">
        <v>419</v>
      </c>
      <c r="B527" s="96" t="s">
        <v>26</v>
      </c>
      <c r="C527" s="97">
        <v>21</v>
      </c>
      <c r="D527" s="98" t="s">
        <v>43</v>
      </c>
      <c r="E527" s="105"/>
      <c r="F527" s="100">
        <v>1</v>
      </c>
      <c r="G527" s="101" t="s">
        <v>21</v>
      </c>
      <c r="H527" s="100">
        <v>144</v>
      </c>
      <c r="I527" s="101" t="s">
        <v>43</v>
      </c>
      <c r="J527" s="102">
        <f>5616000/144</f>
        <v>39000</v>
      </c>
      <c r="K527" s="98" t="s">
        <v>43</v>
      </c>
      <c r="L527" s="103">
        <v>0.05</v>
      </c>
      <c r="M527" s="103">
        <v>0.17</v>
      </c>
      <c r="N527" s="100">
        <f>36-15</f>
        <v>21</v>
      </c>
      <c r="O527" s="101" t="s">
        <v>43</v>
      </c>
      <c r="P527" s="97">
        <f t="shared" si="116"/>
        <v>0</v>
      </c>
      <c r="Q527" s="101" t="s">
        <v>43</v>
      </c>
      <c r="R527" s="102">
        <f t="shared" si="117"/>
        <v>0</v>
      </c>
      <c r="S527" s="102">
        <f t="shared" si="119"/>
        <v>0</v>
      </c>
    </row>
    <row r="528" spans="1:20" s="26" customFormat="1">
      <c r="A528" s="159" t="s">
        <v>419</v>
      </c>
      <c r="B528" s="160" t="s">
        <v>26</v>
      </c>
      <c r="C528" s="161">
        <v>144</v>
      </c>
      <c r="D528" s="162" t="s">
        <v>43</v>
      </c>
      <c r="E528" s="163"/>
      <c r="F528" s="164">
        <v>1</v>
      </c>
      <c r="G528" s="165" t="s">
        <v>21</v>
      </c>
      <c r="H528" s="164">
        <v>144</v>
      </c>
      <c r="I528" s="165" t="s">
        <v>43</v>
      </c>
      <c r="J528" s="166">
        <f>5616000/144</f>
        <v>39000</v>
      </c>
      <c r="K528" s="162" t="s">
        <v>43</v>
      </c>
      <c r="L528" s="167"/>
      <c r="M528" s="167">
        <v>0.17</v>
      </c>
      <c r="N528" s="164">
        <f>(36-21)+6+36</f>
        <v>57</v>
      </c>
      <c r="O528" s="165" t="s">
        <v>43</v>
      </c>
      <c r="P528" s="161">
        <f t="shared" si="116"/>
        <v>87</v>
      </c>
      <c r="Q528" s="165" t="s">
        <v>43</v>
      </c>
      <c r="R528" s="166">
        <f t="shared" si="117"/>
        <v>2816190</v>
      </c>
      <c r="S528" s="42">
        <f t="shared" si="119"/>
        <v>2537108.1081081079</v>
      </c>
      <c r="T528" s="2"/>
    </row>
    <row r="529" spans="1:20" s="26" customFormat="1">
      <c r="A529" s="25" t="s">
        <v>420</v>
      </c>
      <c r="B529" s="26" t="s">
        <v>26</v>
      </c>
      <c r="C529" s="27">
        <v>117</v>
      </c>
      <c r="D529" s="28" t="s">
        <v>43</v>
      </c>
      <c r="E529" s="29"/>
      <c r="F529" s="30">
        <v>1</v>
      </c>
      <c r="G529" s="31" t="s">
        <v>21</v>
      </c>
      <c r="H529" s="30">
        <v>144</v>
      </c>
      <c r="I529" s="31" t="s">
        <v>43</v>
      </c>
      <c r="J529" s="32">
        <f>5616000/144</f>
        <v>39000</v>
      </c>
      <c r="K529" s="28" t="s">
        <v>43</v>
      </c>
      <c r="L529" s="33"/>
      <c r="M529" s="33">
        <v>0.17</v>
      </c>
      <c r="N529" s="30">
        <f>72+36</f>
        <v>108</v>
      </c>
      <c r="O529" s="31" t="s">
        <v>43</v>
      </c>
      <c r="P529" s="27">
        <f t="shared" si="116"/>
        <v>9</v>
      </c>
      <c r="Q529" s="31" t="s">
        <v>43</v>
      </c>
      <c r="R529" s="32">
        <f t="shared" si="117"/>
        <v>291330</v>
      </c>
      <c r="S529" s="32">
        <f t="shared" si="119"/>
        <v>262459.45945945941</v>
      </c>
    </row>
    <row r="530" spans="1:20" s="26" customFormat="1">
      <c r="A530" s="25"/>
      <c r="C530" s="27"/>
      <c r="D530" s="28"/>
      <c r="E530" s="29"/>
      <c r="F530" s="30"/>
      <c r="G530" s="31"/>
      <c r="H530" s="30"/>
      <c r="I530" s="31"/>
      <c r="J530" s="32"/>
      <c r="K530" s="28"/>
      <c r="L530" s="33"/>
      <c r="M530" s="33"/>
      <c r="N530" s="30"/>
      <c r="O530" s="31"/>
      <c r="P530" s="27"/>
      <c r="Q530" s="31"/>
      <c r="R530" s="32"/>
      <c r="S530" s="32"/>
    </row>
    <row r="531" spans="1:20" s="17" customFormat="1">
      <c r="A531" s="35" t="s">
        <v>422</v>
      </c>
      <c r="B531" s="36" t="s">
        <v>275</v>
      </c>
      <c r="C531" s="37">
        <v>288</v>
      </c>
      <c r="D531" s="38" t="s">
        <v>43</v>
      </c>
      <c r="E531" s="39"/>
      <c r="F531" s="40">
        <v>1</v>
      </c>
      <c r="G531" s="41" t="s">
        <v>21</v>
      </c>
      <c r="H531" s="40">
        <v>144</v>
      </c>
      <c r="I531" s="41" t="s">
        <v>43</v>
      </c>
      <c r="J531" s="42">
        <v>21000</v>
      </c>
      <c r="K531" s="38" t="s">
        <v>43</v>
      </c>
      <c r="L531" s="43"/>
      <c r="M531" s="43"/>
      <c r="N531" s="40">
        <f>432-144</f>
        <v>288</v>
      </c>
      <c r="O531" s="41" t="s">
        <v>43</v>
      </c>
      <c r="P531" s="37">
        <f>(C531+(E531*F531*H531))-N531</f>
        <v>0</v>
      </c>
      <c r="Q531" s="41" t="s">
        <v>43</v>
      </c>
      <c r="R531" s="42">
        <f>P531*(J531-(J531*L531)-((J531-(J531*L531))*M531))</f>
        <v>0</v>
      </c>
      <c r="S531" s="42">
        <f t="shared" si="119"/>
        <v>0</v>
      </c>
      <c r="T531" s="26"/>
    </row>
    <row r="532" spans="1:20" s="17" customFormat="1">
      <c r="A532" s="35" t="s">
        <v>422</v>
      </c>
      <c r="B532" s="36" t="s">
        <v>275</v>
      </c>
      <c r="C532" s="37"/>
      <c r="D532" s="38" t="s">
        <v>43</v>
      </c>
      <c r="E532" s="39">
        <f>12+5</f>
        <v>17</v>
      </c>
      <c r="F532" s="40">
        <v>1</v>
      </c>
      <c r="G532" s="41" t="s">
        <v>21</v>
      </c>
      <c r="H532" s="40">
        <v>144</v>
      </c>
      <c r="I532" s="41" t="s">
        <v>43</v>
      </c>
      <c r="J532" s="42">
        <v>22500</v>
      </c>
      <c r="K532" s="38" t="s">
        <v>43</v>
      </c>
      <c r="L532" s="43"/>
      <c r="M532" s="43"/>
      <c r="N532" s="40">
        <f>(432-288)</f>
        <v>144</v>
      </c>
      <c r="O532" s="41" t="s">
        <v>43</v>
      </c>
      <c r="P532" s="37">
        <f>(C532+(E532*F532*H532))-N532</f>
        <v>2304</v>
      </c>
      <c r="Q532" s="41" t="s">
        <v>43</v>
      </c>
      <c r="R532" s="42">
        <f>P532*(J532-(J532*L532)-((J532-(J532*L532))*M532))</f>
        <v>51840000</v>
      </c>
      <c r="S532" s="42">
        <f t="shared" ref="S532" si="123">R532/1.11</f>
        <v>46702702.702702701</v>
      </c>
      <c r="T532" s="26"/>
    </row>
    <row r="533" spans="1:20" s="17" customFormat="1">
      <c r="A533" s="16" t="s">
        <v>423</v>
      </c>
      <c r="B533" s="17" t="s">
        <v>275</v>
      </c>
      <c r="C533" s="18"/>
      <c r="D533" s="19" t="s">
        <v>43</v>
      </c>
      <c r="E533" s="20"/>
      <c r="F533" s="21">
        <v>1</v>
      </c>
      <c r="G533" s="22" t="s">
        <v>21</v>
      </c>
      <c r="H533" s="21">
        <v>144</v>
      </c>
      <c r="I533" s="22" t="s">
        <v>43</v>
      </c>
      <c r="J533" s="23">
        <v>26000</v>
      </c>
      <c r="K533" s="19" t="s">
        <v>43</v>
      </c>
      <c r="L533" s="24"/>
      <c r="M533" s="24"/>
      <c r="N533" s="21"/>
      <c r="O533" s="22" t="s">
        <v>43</v>
      </c>
      <c r="P533" s="18">
        <f t="shared" ref="P533:P565" si="124">(C533+(E533*F533*H533))-N533</f>
        <v>0</v>
      </c>
      <c r="Q533" s="22" t="s">
        <v>43</v>
      </c>
      <c r="R533" s="23">
        <f t="shared" ref="R533:R565" si="125">P533*(J533-(J533*L533)-((J533-(J533*L533))*M533))</f>
        <v>0</v>
      </c>
      <c r="S533" s="23">
        <f t="shared" si="119"/>
        <v>0</v>
      </c>
    </row>
    <row r="534" spans="1:20" s="17" customFormat="1">
      <c r="A534" s="95" t="s">
        <v>424</v>
      </c>
      <c r="B534" s="96" t="s">
        <v>275</v>
      </c>
      <c r="C534" s="97">
        <v>114</v>
      </c>
      <c r="D534" s="98" t="s">
        <v>43</v>
      </c>
      <c r="E534" s="105"/>
      <c r="F534" s="100">
        <v>1</v>
      </c>
      <c r="G534" s="101" t="s">
        <v>21</v>
      </c>
      <c r="H534" s="100">
        <v>96</v>
      </c>
      <c r="I534" s="101" t="s">
        <v>43</v>
      </c>
      <c r="J534" s="102">
        <v>29500</v>
      </c>
      <c r="K534" s="98" t="s">
        <v>43</v>
      </c>
      <c r="L534" s="103"/>
      <c r="M534" s="103"/>
      <c r="N534" s="100">
        <f>288-174</f>
        <v>114</v>
      </c>
      <c r="O534" s="101" t="s">
        <v>43</v>
      </c>
      <c r="P534" s="97">
        <f t="shared" si="124"/>
        <v>0</v>
      </c>
      <c r="Q534" s="101" t="s">
        <v>43</v>
      </c>
      <c r="R534" s="102">
        <f t="shared" si="125"/>
        <v>0</v>
      </c>
      <c r="S534" s="102">
        <f t="shared" si="119"/>
        <v>0</v>
      </c>
    </row>
    <row r="535" spans="1:20" s="26" customFormat="1">
      <c r="A535" s="35" t="s">
        <v>424</v>
      </c>
      <c r="B535" s="36" t="s">
        <v>275</v>
      </c>
      <c r="C535" s="37"/>
      <c r="D535" s="38" t="s">
        <v>43</v>
      </c>
      <c r="E535" s="39">
        <f>3+3</f>
        <v>6</v>
      </c>
      <c r="F535" s="40">
        <v>1</v>
      </c>
      <c r="G535" s="41" t="s">
        <v>21</v>
      </c>
      <c r="H535" s="40">
        <v>96</v>
      </c>
      <c r="I535" s="41" t="s">
        <v>43</v>
      </c>
      <c r="J535" s="42">
        <v>31500</v>
      </c>
      <c r="K535" s="38" t="s">
        <v>43</v>
      </c>
      <c r="L535" s="43"/>
      <c r="M535" s="43"/>
      <c r="N535" s="40">
        <f>(288-114)+288</f>
        <v>462</v>
      </c>
      <c r="O535" s="41" t="s">
        <v>43</v>
      </c>
      <c r="P535" s="37">
        <f t="shared" ref="P535" si="126">(C535+(E535*F535*H535))-N535</f>
        <v>114</v>
      </c>
      <c r="Q535" s="41" t="s">
        <v>43</v>
      </c>
      <c r="R535" s="42">
        <f t="shared" ref="R535" si="127">P535*(J535-(J535*L535)-((J535-(J535*L535))*M535))</f>
        <v>3591000</v>
      </c>
      <c r="S535" s="42">
        <f t="shared" ref="S535" si="128">R535/1.11</f>
        <v>3235135.1351351347</v>
      </c>
    </row>
    <row r="536" spans="1:20" s="17" customFormat="1">
      <c r="A536" s="16" t="s">
        <v>798</v>
      </c>
      <c r="B536" s="17" t="s">
        <v>275</v>
      </c>
      <c r="C536" s="18"/>
      <c r="D536" s="19" t="s">
        <v>43</v>
      </c>
      <c r="E536" s="20"/>
      <c r="F536" s="21">
        <v>1</v>
      </c>
      <c r="G536" s="22" t="s">
        <v>21</v>
      </c>
      <c r="H536" s="21">
        <v>144</v>
      </c>
      <c r="I536" s="22" t="s">
        <v>43</v>
      </c>
      <c r="J536" s="23">
        <f>31818+(31818*10%)</f>
        <v>34999.800000000003</v>
      </c>
      <c r="K536" s="19" t="s">
        <v>43</v>
      </c>
      <c r="L536" s="24"/>
      <c r="M536" s="24"/>
      <c r="N536" s="21"/>
      <c r="O536" s="22" t="s">
        <v>43</v>
      </c>
      <c r="P536" s="18">
        <f t="shared" si="124"/>
        <v>0</v>
      </c>
      <c r="Q536" s="22" t="s">
        <v>43</v>
      </c>
      <c r="R536" s="23">
        <f t="shared" si="125"/>
        <v>0</v>
      </c>
      <c r="S536" s="23">
        <f t="shared" si="119"/>
        <v>0</v>
      </c>
    </row>
    <row r="537" spans="1:20" s="17" customFormat="1">
      <c r="A537" s="16" t="s">
        <v>799</v>
      </c>
      <c r="B537" s="17" t="s">
        <v>275</v>
      </c>
      <c r="C537" s="18"/>
      <c r="D537" s="19" t="s">
        <v>43</v>
      </c>
      <c r="E537" s="20"/>
      <c r="F537" s="21">
        <v>1</v>
      </c>
      <c r="G537" s="22" t="s">
        <v>21</v>
      </c>
      <c r="H537" s="21">
        <v>144</v>
      </c>
      <c r="I537" s="22" t="s">
        <v>43</v>
      </c>
      <c r="J537" s="23">
        <v>16175</v>
      </c>
      <c r="K537" s="19" t="s">
        <v>43</v>
      </c>
      <c r="L537" s="24"/>
      <c r="M537" s="24"/>
      <c r="N537" s="21"/>
      <c r="O537" s="22" t="s">
        <v>43</v>
      </c>
      <c r="P537" s="18">
        <f t="shared" si="124"/>
        <v>0</v>
      </c>
      <c r="Q537" s="22" t="s">
        <v>43</v>
      </c>
      <c r="R537" s="23">
        <f t="shared" si="125"/>
        <v>0</v>
      </c>
      <c r="S537" s="23">
        <f t="shared" si="119"/>
        <v>0</v>
      </c>
    </row>
    <row r="538" spans="1:20" s="17" customFormat="1">
      <c r="A538" s="16" t="s">
        <v>800</v>
      </c>
      <c r="B538" s="17" t="s">
        <v>275</v>
      </c>
      <c r="C538" s="18"/>
      <c r="D538" s="19" t="s">
        <v>43</v>
      </c>
      <c r="E538" s="20"/>
      <c r="F538" s="21">
        <v>1</v>
      </c>
      <c r="G538" s="22" t="s">
        <v>21</v>
      </c>
      <c r="H538" s="21">
        <v>144</v>
      </c>
      <c r="I538" s="22" t="s">
        <v>43</v>
      </c>
      <c r="J538" s="23">
        <v>16175</v>
      </c>
      <c r="K538" s="19" t="s">
        <v>43</v>
      </c>
      <c r="L538" s="24"/>
      <c r="M538" s="24"/>
      <c r="N538" s="21"/>
      <c r="O538" s="22" t="s">
        <v>43</v>
      </c>
      <c r="P538" s="18">
        <f t="shared" si="124"/>
        <v>0</v>
      </c>
      <c r="Q538" s="22" t="s">
        <v>43</v>
      </c>
      <c r="R538" s="23">
        <f t="shared" si="125"/>
        <v>0</v>
      </c>
      <c r="S538" s="23">
        <f t="shared" si="119"/>
        <v>0</v>
      </c>
    </row>
    <row r="539" spans="1:20" s="17" customFormat="1">
      <c r="A539" s="16" t="s">
        <v>801</v>
      </c>
      <c r="B539" s="17" t="s">
        <v>275</v>
      </c>
      <c r="C539" s="18"/>
      <c r="D539" s="19" t="s">
        <v>43</v>
      </c>
      <c r="E539" s="20"/>
      <c r="F539" s="21">
        <v>1</v>
      </c>
      <c r="G539" s="22" t="s">
        <v>21</v>
      </c>
      <c r="H539" s="21">
        <v>144</v>
      </c>
      <c r="I539" s="22" t="s">
        <v>43</v>
      </c>
      <c r="J539" s="23">
        <v>16175</v>
      </c>
      <c r="K539" s="19" t="s">
        <v>43</v>
      </c>
      <c r="L539" s="24"/>
      <c r="M539" s="24"/>
      <c r="N539" s="21"/>
      <c r="O539" s="22" t="s">
        <v>43</v>
      </c>
      <c r="P539" s="18">
        <f t="shared" si="124"/>
        <v>0</v>
      </c>
      <c r="Q539" s="22" t="s">
        <v>43</v>
      </c>
      <c r="R539" s="23">
        <f t="shared" si="125"/>
        <v>0</v>
      </c>
      <c r="S539" s="23">
        <f t="shared" si="119"/>
        <v>0</v>
      </c>
    </row>
    <row r="540" spans="1:20" s="17" customFormat="1">
      <c r="A540" s="16" t="s">
        <v>802</v>
      </c>
      <c r="B540" s="17" t="s">
        <v>275</v>
      </c>
      <c r="C540" s="18"/>
      <c r="D540" s="19" t="s">
        <v>43</v>
      </c>
      <c r="E540" s="20"/>
      <c r="F540" s="21">
        <v>1</v>
      </c>
      <c r="G540" s="22" t="s">
        <v>21</v>
      </c>
      <c r="H540" s="21">
        <v>144</v>
      </c>
      <c r="I540" s="22" t="s">
        <v>43</v>
      </c>
      <c r="J540" s="23">
        <v>16175</v>
      </c>
      <c r="K540" s="19" t="s">
        <v>43</v>
      </c>
      <c r="L540" s="24"/>
      <c r="M540" s="24"/>
      <c r="N540" s="21"/>
      <c r="O540" s="22" t="s">
        <v>43</v>
      </c>
      <c r="P540" s="18">
        <f t="shared" si="124"/>
        <v>0</v>
      </c>
      <c r="Q540" s="22" t="s">
        <v>43</v>
      </c>
      <c r="R540" s="23">
        <f t="shared" si="125"/>
        <v>0</v>
      </c>
      <c r="S540" s="23">
        <f t="shared" si="119"/>
        <v>0</v>
      </c>
    </row>
    <row r="541" spans="1:20" s="17" customFormat="1">
      <c r="A541" s="16" t="s">
        <v>803</v>
      </c>
      <c r="B541" s="17" t="s">
        <v>275</v>
      </c>
      <c r="C541" s="18"/>
      <c r="D541" s="19" t="s">
        <v>43</v>
      </c>
      <c r="E541" s="20"/>
      <c r="F541" s="21">
        <v>1</v>
      </c>
      <c r="G541" s="22" t="s">
        <v>21</v>
      </c>
      <c r="H541" s="21">
        <v>144</v>
      </c>
      <c r="I541" s="22" t="s">
        <v>43</v>
      </c>
      <c r="J541" s="23">
        <v>16175</v>
      </c>
      <c r="K541" s="19" t="s">
        <v>43</v>
      </c>
      <c r="L541" s="24"/>
      <c r="M541" s="24"/>
      <c r="N541" s="21"/>
      <c r="O541" s="22" t="s">
        <v>43</v>
      </c>
      <c r="P541" s="18">
        <f t="shared" si="124"/>
        <v>0</v>
      </c>
      <c r="Q541" s="22" t="s">
        <v>43</v>
      </c>
      <c r="R541" s="23">
        <f t="shared" si="125"/>
        <v>0</v>
      </c>
      <c r="S541" s="23">
        <f t="shared" si="119"/>
        <v>0</v>
      </c>
    </row>
    <row r="542" spans="1:20" s="17" customFormat="1">
      <c r="A542" s="16" t="s">
        <v>804</v>
      </c>
      <c r="B542" s="17" t="s">
        <v>275</v>
      </c>
      <c r="C542" s="18"/>
      <c r="D542" s="19" t="s">
        <v>43</v>
      </c>
      <c r="E542" s="20"/>
      <c r="F542" s="21">
        <v>1</v>
      </c>
      <c r="G542" s="22" t="s">
        <v>21</v>
      </c>
      <c r="H542" s="21">
        <v>144</v>
      </c>
      <c r="I542" s="22" t="s">
        <v>43</v>
      </c>
      <c r="J542" s="23">
        <v>16175</v>
      </c>
      <c r="K542" s="19" t="s">
        <v>43</v>
      </c>
      <c r="L542" s="24"/>
      <c r="M542" s="24"/>
      <c r="N542" s="21"/>
      <c r="O542" s="22" t="s">
        <v>43</v>
      </c>
      <c r="P542" s="18">
        <f t="shared" si="124"/>
        <v>0</v>
      </c>
      <c r="Q542" s="22" t="s">
        <v>43</v>
      </c>
      <c r="R542" s="23">
        <f t="shared" si="125"/>
        <v>0</v>
      </c>
      <c r="S542" s="23">
        <f t="shared" si="119"/>
        <v>0</v>
      </c>
    </row>
    <row r="543" spans="1:20" s="17" customFormat="1">
      <c r="A543" s="16" t="s">
        <v>805</v>
      </c>
      <c r="B543" s="17" t="s">
        <v>275</v>
      </c>
      <c r="C543" s="18"/>
      <c r="D543" s="19" t="s">
        <v>43</v>
      </c>
      <c r="E543" s="20"/>
      <c r="F543" s="21">
        <v>1</v>
      </c>
      <c r="G543" s="22" t="s">
        <v>21</v>
      </c>
      <c r="H543" s="21">
        <v>144</v>
      </c>
      <c r="I543" s="22" t="s">
        <v>43</v>
      </c>
      <c r="J543" s="23">
        <v>16175</v>
      </c>
      <c r="K543" s="19" t="s">
        <v>43</v>
      </c>
      <c r="L543" s="24"/>
      <c r="M543" s="24"/>
      <c r="N543" s="21"/>
      <c r="O543" s="22" t="s">
        <v>43</v>
      </c>
      <c r="P543" s="18">
        <f t="shared" si="124"/>
        <v>0</v>
      </c>
      <c r="Q543" s="22" t="s">
        <v>43</v>
      </c>
      <c r="R543" s="23">
        <f t="shared" si="125"/>
        <v>0</v>
      </c>
      <c r="S543" s="23">
        <f t="shared" si="119"/>
        <v>0</v>
      </c>
    </row>
    <row r="544" spans="1:20" s="26" customFormat="1">
      <c r="A544" s="25" t="s">
        <v>806</v>
      </c>
      <c r="B544" s="26" t="s">
        <v>275</v>
      </c>
      <c r="C544" s="27">
        <v>121</v>
      </c>
      <c r="D544" s="28" t="s">
        <v>43</v>
      </c>
      <c r="E544" s="29"/>
      <c r="F544" s="30">
        <v>1</v>
      </c>
      <c r="G544" s="31" t="s">
        <v>21</v>
      </c>
      <c r="H544" s="30">
        <v>144</v>
      </c>
      <c r="I544" s="31" t="s">
        <v>43</v>
      </c>
      <c r="J544" s="32">
        <v>16175</v>
      </c>
      <c r="K544" s="28" t="s">
        <v>43</v>
      </c>
      <c r="L544" s="33"/>
      <c r="M544" s="33"/>
      <c r="N544" s="30"/>
      <c r="O544" s="31" t="s">
        <v>43</v>
      </c>
      <c r="P544" s="27">
        <f t="shared" si="124"/>
        <v>121</v>
      </c>
      <c r="Q544" s="31" t="s">
        <v>43</v>
      </c>
      <c r="R544" s="32">
        <f t="shared" si="125"/>
        <v>1957175</v>
      </c>
      <c r="S544" s="32">
        <f t="shared" si="119"/>
        <v>1763220.7207207205</v>
      </c>
    </row>
    <row r="545" spans="1:19" s="17" customFormat="1">
      <c r="A545" s="16" t="s">
        <v>807</v>
      </c>
      <c r="B545" s="17" t="s">
        <v>275</v>
      </c>
      <c r="C545" s="18"/>
      <c r="D545" s="19" t="s">
        <v>43</v>
      </c>
      <c r="E545" s="20"/>
      <c r="F545" s="21">
        <v>1</v>
      </c>
      <c r="G545" s="22" t="s">
        <v>21</v>
      </c>
      <c r="H545" s="21">
        <v>144</v>
      </c>
      <c r="I545" s="22" t="s">
        <v>43</v>
      </c>
      <c r="J545" s="23">
        <v>16175</v>
      </c>
      <c r="K545" s="19" t="s">
        <v>43</v>
      </c>
      <c r="L545" s="24"/>
      <c r="M545" s="24"/>
      <c r="N545" s="21"/>
      <c r="O545" s="22" t="s">
        <v>43</v>
      </c>
      <c r="P545" s="18">
        <f t="shared" si="124"/>
        <v>0</v>
      </c>
      <c r="Q545" s="22" t="s">
        <v>43</v>
      </c>
      <c r="R545" s="23">
        <f t="shared" si="125"/>
        <v>0</v>
      </c>
      <c r="S545" s="23">
        <f t="shared" si="119"/>
        <v>0</v>
      </c>
    </row>
    <row r="546" spans="1:19" s="17" customFormat="1">
      <c r="A546" s="16" t="s">
        <v>808</v>
      </c>
      <c r="B546" s="17" t="s">
        <v>275</v>
      </c>
      <c r="C546" s="18"/>
      <c r="D546" s="19" t="s">
        <v>43</v>
      </c>
      <c r="E546" s="20"/>
      <c r="F546" s="21">
        <v>1</v>
      </c>
      <c r="G546" s="22" t="s">
        <v>21</v>
      </c>
      <c r="H546" s="21">
        <v>144</v>
      </c>
      <c r="I546" s="22" t="s">
        <v>43</v>
      </c>
      <c r="J546" s="23">
        <v>16175</v>
      </c>
      <c r="K546" s="19" t="s">
        <v>43</v>
      </c>
      <c r="L546" s="24"/>
      <c r="M546" s="24"/>
      <c r="N546" s="21"/>
      <c r="O546" s="22" t="s">
        <v>43</v>
      </c>
      <c r="P546" s="18">
        <f t="shared" si="124"/>
        <v>0</v>
      </c>
      <c r="Q546" s="22" t="s">
        <v>43</v>
      </c>
      <c r="R546" s="23">
        <f t="shared" si="125"/>
        <v>0</v>
      </c>
      <c r="S546" s="23">
        <f t="shared" si="119"/>
        <v>0</v>
      </c>
    </row>
    <row r="547" spans="1:19" s="17" customFormat="1">
      <c r="A547" s="16" t="s">
        <v>809</v>
      </c>
      <c r="B547" s="17" t="s">
        <v>275</v>
      </c>
      <c r="C547" s="18"/>
      <c r="D547" s="19" t="s">
        <v>43</v>
      </c>
      <c r="E547" s="20"/>
      <c r="F547" s="21">
        <v>1</v>
      </c>
      <c r="G547" s="22" t="s">
        <v>21</v>
      </c>
      <c r="H547" s="21">
        <v>144</v>
      </c>
      <c r="I547" s="22" t="s">
        <v>43</v>
      </c>
      <c r="J547" s="23">
        <v>16175</v>
      </c>
      <c r="K547" s="19" t="s">
        <v>43</v>
      </c>
      <c r="L547" s="24"/>
      <c r="M547" s="24"/>
      <c r="N547" s="21"/>
      <c r="O547" s="22" t="s">
        <v>43</v>
      </c>
      <c r="P547" s="18">
        <f t="shared" si="124"/>
        <v>0</v>
      </c>
      <c r="Q547" s="22" t="s">
        <v>43</v>
      </c>
      <c r="R547" s="23">
        <f t="shared" si="125"/>
        <v>0</v>
      </c>
      <c r="S547" s="23">
        <f t="shared" si="119"/>
        <v>0</v>
      </c>
    </row>
    <row r="548" spans="1:19" s="26" customFormat="1">
      <c r="A548" s="25" t="s">
        <v>810</v>
      </c>
      <c r="B548" s="26" t="s">
        <v>275</v>
      </c>
      <c r="C548" s="27">
        <v>8</v>
      </c>
      <c r="D548" s="28" t="s">
        <v>43</v>
      </c>
      <c r="E548" s="29"/>
      <c r="F548" s="30">
        <v>1</v>
      </c>
      <c r="G548" s="31" t="s">
        <v>21</v>
      </c>
      <c r="H548" s="30">
        <v>144</v>
      </c>
      <c r="I548" s="31" t="s">
        <v>43</v>
      </c>
      <c r="J548" s="32">
        <v>16175</v>
      </c>
      <c r="K548" s="28" t="s">
        <v>43</v>
      </c>
      <c r="L548" s="33"/>
      <c r="M548" s="33"/>
      <c r="N548" s="30"/>
      <c r="O548" s="31" t="s">
        <v>43</v>
      </c>
      <c r="P548" s="27">
        <f t="shared" si="124"/>
        <v>8</v>
      </c>
      <c r="Q548" s="31" t="s">
        <v>43</v>
      </c>
      <c r="R548" s="32">
        <f t="shared" si="125"/>
        <v>129400</v>
      </c>
      <c r="S548" s="32">
        <f t="shared" si="119"/>
        <v>116576.57657657657</v>
      </c>
    </row>
    <row r="549" spans="1:19" s="17" customFormat="1">
      <c r="A549" s="16" t="s">
        <v>811</v>
      </c>
      <c r="B549" s="17" t="s">
        <v>275</v>
      </c>
      <c r="C549" s="18"/>
      <c r="D549" s="19" t="s">
        <v>43</v>
      </c>
      <c r="E549" s="20"/>
      <c r="F549" s="21">
        <v>1</v>
      </c>
      <c r="G549" s="22" t="s">
        <v>21</v>
      </c>
      <c r="H549" s="21">
        <v>144</v>
      </c>
      <c r="I549" s="22" t="s">
        <v>43</v>
      </c>
      <c r="J549" s="23">
        <v>16175</v>
      </c>
      <c r="K549" s="19" t="s">
        <v>43</v>
      </c>
      <c r="L549" s="24"/>
      <c r="M549" s="24"/>
      <c r="N549" s="21"/>
      <c r="O549" s="22" t="s">
        <v>43</v>
      </c>
      <c r="P549" s="18">
        <f t="shared" si="124"/>
        <v>0</v>
      </c>
      <c r="Q549" s="22" t="s">
        <v>43</v>
      </c>
      <c r="R549" s="23">
        <f t="shared" si="125"/>
        <v>0</v>
      </c>
      <c r="S549" s="23">
        <f t="shared" si="119"/>
        <v>0</v>
      </c>
    </row>
    <row r="550" spans="1:19" s="17" customFormat="1">
      <c r="A550" s="16" t="s">
        <v>812</v>
      </c>
      <c r="B550" s="17" t="s">
        <v>275</v>
      </c>
      <c r="C550" s="18"/>
      <c r="D550" s="19" t="s">
        <v>43</v>
      </c>
      <c r="E550" s="20"/>
      <c r="F550" s="21">
        <v>1</v>
      </c>
      <c r="G550" s="22" t="s">
        <v>21</v>
      </c>
      <c r="H550" s="21">
        <v>144</v>
      </c>
      <c r="I550" s="22" t="s">
        <v>43</v>
      </c>
      <c r="J550" s="23">
        <v>16175</v>
      </c>
      <c r="K550" s="19" t="s">
        <v>43</v>
      </c>
      <c r="L550" s="24"/>
      <c r="M550" s="24"/>
      <c r="N550" s="21"/>
      <c r="O550" s="22" t="s">
        <v>43</v>
      </c>
      <c r="P550" s="18">
        <f t="shared" si="124"/>
        <v>0</v>
      </c>
      <c r="Q550" s="22" t="s">
        <v>43</v>
      </c>
      <c r="R550" s="23">
        <f t="shared" si="125"/>
        <v>0</v>
      </c>
      <c r="S550" s="23">
        <f t="shared" si="119"/>
        <v>0</v>
      </c>
    </row>
    <row r="551" spans="1:19" s="26" customFormat="1">
      <c r="A551" s="25" t="s">
        <v>813</v>
      </c>
      <c r="B551" s="26" t="s">
        <v>275</v>
      </c>
      <c r="C551" s="27">
        <v>69</v>
      </c>
      <c r="D551" s="28" t="s">
        <v>43</v>
      </c>
      <c r="E551" s="29"/>
      <c r="F551" s="30">
        <v>1</v>
      </c>
      <c r="G551" s="31" t="s">
        <v>21</v>
      </c>
      <c r="H551" s="30">
        <v>144</v>
      </c>
      <c r="I551" s="31" t="s">
        <v>43</v>
      </c>
      <c r="J551" s="32">
        <v>16175</v>
      </c>
      <c r="K551" s="28" t="s">
        <v>43</v>
      </c>
      <c r="L551" s="33"/>
      <c r="M551" s="33"/>
      <c r="N551" s="30"/>
      <c r="O551" s="31" t="s">
        <v>43</v>
      </c>
      <c r="P551" s="27">
        <f t="shared" si="124"/>
        <v>69</v>
      </c>
      <c r="Q551" s="31" t="s">
        <v>43</v>
      </c>
      <c r="R551" s="32">
        <f t="shared" si="125"/>
        <v>1116075</v>
      </c>
      <c r="S551" s="32">
        <f t="shared" si="119"/>
        <v>1005472.9729729729</v>
      </c>
    </row>
    <row r="552" spans="1:19" s="17" customFormat="1">
      <c r="A552" s="16" t="s">
        <v>814</v>
      </c>
      <c r="B552" s="17" t="s">
        <v>275</v>
      </c>
      <c r="C552" s="18"/>
      <c r="D552" s="19" t="s">
        <v>43</v>
      </c>
      <c r="E552" s="20"/>
      <c r="F552" s="21">
        <v>1</v>
      </c>
      <c r="G552" s="22" t="s">
        <v>21</v>
      </c>
      <c r="H552" s="21">
        <v>144</v>
      </c>
      <c r="I552" s="22" t="s">
        <v>43</v>
      </c>
      <c r="J552" s="23">
        <v>16175</v>
      </c>
      <c r="K552" s="19" t="s">
        <v>43</v>
      </c>
      <c r="L552" s="24"/>
      <c r="M552" s="24"/>
      <c r="N552" s="21"/>
      <c r="O552" s="22" t="s">
        <v>43</v>
      </c>
      <c r="P552" s="18">
        <f t="shared" si="124"/>
        <v>0</v>
      </c>
      <c r="Q552" s="22" t="s">
        <v>43</v>
      </c>
      <c r="R552" s="23">
        <f t="shared" si="125"/>
        <v>0</v>
      </c>
      <c r="S552" s="23">
        <f t="shared" si="119"/>
        <v>0</v>
      </c>
    </row>
    <row r="553" spans="1:19" s="17" customFormat="1">
      <c r="A553" s="16" t="s">
        <v>815</v>
      </c>
      <c r="B553" s="17" t="s">
        <v>275</v>
      </c>
      <c r="C553" s="18"/>
      <c r="D553" s="19" t="s">
        <v>43</v>
      </c>
      <c r="E553" s="20"/>
      <c r="F553" s="21">
        <v>1</v>
      </c>
      <c r="G553" s="22" t="s">
        <v>21</v>
      </c>
      <c r="H553" s="21">
        <v>144</v>
      </c>
      <c r="I553" s="22" t="s">
        <v>43</v>
      </c>
      <c r="J553" s="23">
        <v>16175</v>
      </c>
      <c r="K553" s="19" t="s">
        <v>43</v>
      </c>
      <c r="L553" s="24"/>
      <c r="M553" s="24"/>
      <c r="N553" s="21"/>
      <c r="O553" s="22" t="s">
        <v>43</v>
      </c>
      <c r="P553" s="18">
        <f t="shared" si="124"/>
        <v>0</v>
      </c>
      <c r="Q553" s="22" t="s">
        <v>43</v>
      </c>
      <c r="R553" s="23">
        <f t="shared" si="125"/>
        <v>0</v>
      </c>
      <c r="S553" s="23">
        <f t="shared" si="119"/>
        <v>0</v>
      </c>
    </row>
    <row r="554" spans="1:19" s="45" customFormat="1">
      <c r="A554" s="44" t="s">
        <v>443</v>
      </c>
      <c r="B554" s="45" t="s">
        <v>275</v>
      </c>
      <c r="C554" s="46">
        <v>60</v>
      </c>
      <c r="D554" s="47" t="s">
        <v>43</v>
      </c>
      <c r="E554" s="48"/>
      <c r="F554" s="49">
        <v>1</v>
      </c>
      <c r="G554" s="50" t="s">
        <v>21</v>
      </c>
      <c r="H554" s="49">
        <v>144</v>
      </c>
      <c r="I554" s="50" t="s">
        <v>43</v>
      </c>
      <c r="J554" s="51">
        <v>16175</v>
      </c>
      <c r="K554" s="47" t="s">
        <v>43</v>
      </c>
      <c r="L554" s="52"/>
      <c r="M554" s="52"/>
      <c r="N554" s="49"/>
      <c r="O554" s="50" t="s">
        <v>43</v>
      </c>
      <c r="P554" s="46">
        <f t="shared" si="124"/>
        <v>60</v>
      </c>
      <c r="Q554" s="50" t="s">
        <v>43</v>
      </c>
      <c r="R554" s="51">
        <f t="shared" si="125"/>
        <v>970500</v>
      </c>
      <c r="S554" s="51">
        <f t="shared" si="119"/>
        <v>874324.32432432426</v>
      </c>
    </row>
    <row r="555" spans="1:19" s="17" customFormat="1">
      <c r="A555" s="16" t="s">
        <v>816</v>
      </c>
      <c r="B555" s="17" t="s">
        <v>275</v>
      </c>
      <c r="C555" s="18"/>
      <c r="D555" s="19" t="s">
        <v>43</v>
      </c>
      <c r="E555" s="20"/>
      <c r="F555" s="21">
        <v>1</v>
      </c>
      <c r="G555" s="22" t="s">
        <v>21</v>
      </c>
      <c r="H555" s="21">
        <v>144</v>
      </c>
      <c r="I555" s="22" t="s">
        <v>43</v>
      </c>
      <c r="J555" s="23">
        <v>16175</v>
      </c>
      <c r="K555" s="19" t="s">
        <v>43</v>
      </c>
      <c r="L555" s="24"/>
      <c r="M555" s="24"/>
      <c r="N555" s="21"/>
      <c r="O555" s="22" t="s">
        <v>43</v>
      </c>
      <c r="P555" s="18">
        <f t="shared" si="124"/>
        <v>0</v>
      </c>
      <c r="Q555" s="22" t="s">
        <v>43</v>
      </c>
      <c r="R555" s="23">
        <f t="shared" si="125"/>
        <v>0</v>
      </c>
      <c r="S555" s="23">
        <f t="shared" si="119"/>
        <v>0</v>
      </c>
    </row>
    <row r="556" spans="1:19" s="26" customFormat="1">
      <c r="A556" s="25" t="s">
        <v>817</v>
      </c>
      <c r="B556" s="26" t="s">
        <v>275</v>
      </c>
      <c r="C556" s="27">
        <v>144</v>
      </c>
      <c r="D556" s="28" t="s">
        <v>43</v>
      </c>
      <c r="E556" s="29"/>
      <c r="F556" s="30">
        <v>1</v>
      </c>
      <c r="G556" s="31" t="s">
        <v>21</v>
      </c>
      <c r="H556" s="30">
        <v>144</v>
      </c>
      <c r="I556" s="31" t="s">
        <v>43</v>
      </c>
      <c r="J556" s="32">
        <v>16175</v>
      </c>
      <c r="K556" s="28" t="s">
        <v>43</v>
      </c>
      <c r="L556" s="33"/>
      <c r="M556" s="33"/>
      <c r="N556" s="30"/>
      <c r="O556" s="31" t="s">
        <v>43</v>
      </c>
      <c r="P556" s="27">
        <f t="shared" si="124"/>
        <v>144</v>
      </c>
      <c r="Q556" s="31" t="s">
        <v>43</v>
      </c>
      <c r="R556" s="32">
        <f t="shared" si="125"/>
        <v>2329200</v>
      </c>
      <c r="S556" s="32">
        <f t="shared" si="119"/>
        <v>2098378.3783783782</v>
      </c>
    </row>
    <row r="557" spans="1:19" s="17" customFormat="1">
      <c r="A557" s="16" t="s">
        <v>818</v>
      </c>
      <c r="B557" s="17" t="s">
        <v>275</v>
      </c>
      <c r="C557" s="18"/>
      <c r="D557" s="19" t="s">
        <v>43</v>
      </c>
      <c r="E557" s="20"/>
      <c r="F557" s="21">
        <v>1</v>
      </c>
      <c r="G557" s="22" t="s">
        <v>21</v>
      </c>
      <c r="H557" s="21">
        <v>144</v>
      </c>
      <c r="I557" s="22" t="s">
        <v>43</v>
      </c>
      <c r="J557" s="23">
        <v>16175</v>
      </c>
      <c r="K557" s="19" t="s">
        <v>43</v>
      </c>
      <c r="L557" s="24"/>
      <c r="M557" s="24"/>
      <c r="N557" s="21"/>
      <c r="O557" s="22" t="s">
        <v>43</v>
      </c>
      <c r="P557" s="18">
        <f t="shared" si="124"/>
        <v>0</v>
      </c>
      <c r="Q557" s="22" t="s">
        <v>43</v>
      </c>
      <c r="R557" s="23">
        <f t="shared" si="125"/>
        <v>0</v>
      </c>
      <c r="S557" s="23">
        <f t="shared" si="119"/>
        <v>0</v>
      </c>
    </row>
    <row r="558" spans="1:19" s="17" customFormat="1">
      <c r="A558" s="16" t="s">
        <v>819</v>
      </c>
      <c r="B558" s="17" t="s">
        <v>275</v>
      </c>
      <c r="C558" s="18"/>
      <c r="D558" s="19" t="s">
        <v>43</v>
      </c>
      <c r="E558" s="20"/>
      <c r="F558" s="21">
        <v>1</v>
      </c>
      <c r="G558" s="22" t="s">
        <v>21</v>
      </c>
      <c r="H558" s="21">
        <v>144</v>
      </c>
      <c r="I558" s="22" t="s">
        <v>43</v>
      </c>
      <c r="J558" s="23">
        <v>16175</v>
      </c>
      <c r="K558" s="19" t="s">
        <v>43</v>
      </c>
      <c r="L558" s="24"/>
      <c r="M558" s="24"/>
      <c r="N558" s="21"/>
      <c r="O558" s="22" t="s">
        <v>43</v>
      </c>
      <c r="P558" s="18">
        <f t="shared" si="124"/>
        <v>0</v>
      </c>
      <c r="Q558" s="22" t="s">
        <v>43</v>
      </c>
      <c r="R558" s="23">
        <f t="shared" si="125"/>
        <v>0</v>
      </c>
      <c r="S558" s="23">
        <f t="shared" si="119"/>
        <v>0</v>
      </c>
    </row>
    <row r="559" spans="1:19" s="17" customFormat="1">
      <c r="A559" s="16" t="s">
        <v>820</v>
      </c>
      <c r="B559" s="17" t="s">
        <v>275</v>
      </c>
      <c r="C559" s="18"/>
      <c r="D559" s="19" t="s">
        <v>43</v>
      </c>
      <c r="E559" s="20"/>
      <c r="F559" s="21">
        <v>1</v>
      </c>
      <c r="G559" s="22" t="s">
        <v>21</v>
      </c>
      <c r="H559" s="21">
        <v>144</v>
      </c>
      <c r="I559" s="22" t="s">
        <v>43</v>
      </c>
      <c r="J559" s="23">
        <v>16175</v>
      </c>
      <c r="K559" s="19" t="s">
        <v>43</v>
      </c>
      <c r="L559" s="24"/>
      <c r="M559" s="24"/>
      <c r="N559" s="21"/>
      <c r="O559" s="22" t="s">
        <v>43</v>
      </c>
      <c r="P559" s="18">
        <f t="shared" si="124"/>
        <v>0</v>
      </c>
      <c r="Q559" s="22" t="s">
        <v>43</v>
      </c>
      <c r="R559" s="23">
        <f t="shared" si="125"/>
        <v>0</v>
      </c>
      <c r="S559" s="23">
        <f t="shared" si="119"/>
        <v>0</v>
      </c>
    </row>
    <row r="560" spans="1:19" s="17" customFormat="1">
      <c r="A560" s="16" t="s">
        <v>821</v>
      </c>
      <c r="B560" s="17" t="s">
        <v>275</v>
      </c>
      <c r="C560" s="18"/>
      <c r="D560" s="19" t="s">
        <v>43</v>
      </c>
      <c r="E560" s="20"/>
      <c r="F560" s="21">
        <v>1</v>
      </c>
      <c r="G560" s="22" t="s">
        <v>21</v>
      </c>
      <c r="H560" s="21">
        <v>144</v>
      </c>
      <c r="I560" s="22" t="s">
        <v>43</v>
      </c>
      <c r="J560" s="23">
        <v>16175</v>
      </c>
      <c r="K560" s="19" t="s">
        <v>43</v>
      </c>
      <c r="L560" s="24"/>
      <c r="M560" s="24"/>
      <c r="N560" s="21"/>
      <c r="O560" s="22" t="s">
        <v>43</v>
      </c>
      <c r="P560" s="18">
        <f t="shared" si="124"/>
        <v>0</v>
      </c>
      <c r="Q560" s="22" t="s">
        <v>43</v>
      </c>
      <c r="R560" s="23">
        <f t="shared" si="125"/>
        <v>0</v>
      </c>
      <c r="S560" s="23">
        <f t="shared" si="119"/>
        <v>0</v>
      </c>
    </row>
    <row r="561" spans="1:19" s="17" customFormat="1">
      <c r="A561" s="16"/>
      <c r="C561" s="18"/>
      <c r="D561" s="19"/>
      <c r="E561" s="20"/>
      <c r="F561" s="21"/>
      <c r="G561" s="22"/>
      <c r="H561" s="21"/>
      <c r="I561" s="22"/>
      <c r="J561" s="23"/>
      <c r="K561" s="19"/>
      <c r="L561" s="24"/>
      <c r="M561" s="24"/>
      <c r="N561" s="21"/>
      <c r="O561" s="22"/>
      <c r="P561" s="18"/>
      <c r="Q561" s="22"/>
      <c r="R561" s="23"/>
      <c r="S561" s="23"/>
    </row>
    <row r="562" spans="1:19" s="26" customFormat="1">
      <c r="A562" s="25" t="s">
        <v>783</v>
      </c>
      <c r="B562" s="26" t="s">
        <v>768</v>
      </c>
      <c r="C562" s="27">
        <v>236</v>
      </c>
      <c r="D562" s="28" t="s">
        <v>43</v>
      </c>
      <c r="E562" s="29"/>
      <c r="F562" s="30">
        <v>1</v>
      </c>
      <c r="G562" s="31" t="s">
        <v>21</v>
      </c>
      <c r="H562" s="30">
        <v>96</v>
      </c>
      <c r="I562" s="31" t="s">
        <v>43</v>
      </c>
      <c r="J562" s="32">
        <v>26500</v>
      </c>
      <c r="K562" s="28" t="s">
        <v>43</v>
      </c>
      <c r="L562" s="33"/>
      <c r="M562" s="33"/>
      <c r="N562" s="30">
        <f>1+36+(12+12)+12+36+(24+24)</f>
        <v>157</v>
      </c>
      <c r="O562" s="31" t="s">
        <v>43</v>
      </c>
      <c r="P562" s="27">
        <f t="shared" si="124"/>
        <v>79</v>
      </c>
      <c r="Q562" s="31" t="s">
        <v>43</v>
      </c>
      <c r="R562" s="32">
        <f t="shared" si="125"/>
        <v>2093500</v>
      </c>
      <c r="S562" s="32">
        <f t="shared" si="119"/>
        <v>1886036.036036036</v>
      </c>
    </row>
    <row r="563" spans="1:19" s="26" customFormat="1">
      <c r="A563" s="25"/>
      <c r="C563" s="27"/>
      <c r="D563" s="28"/>
      <c r="E563" s="29"/>
      <c r="F563" s="30"/>
      <c r="G563" s="31"/>
      <c r="H563" s="30"/>
      <c r="I563" s="31"/>
      <c r="J563" s="32"/>
      <c r="K563" s="28"/>
      <c r="L563" s="33"/>
      <c r="M563" s="33"/>
      <c r="N563" s="30"/>
      <c r="O563" s="31"/>
      <c r="P563" s="27"/>
      <c r="Q563" s="31"/>
      <c r="R563" s="32"/>
      <c r="S563" s="32"/>
    </row>
    <row r="564" spans="1:19" s="26" customFormat="1">
      <c r="A564" s="25" t="s">
        <v>851</v>
      </c>
      <c r="B564" s="26" t="s">
        <v>182</v>
      </c>
      <c r="C564" s="27">
        <v>828</v>
      </c>
      <c r="D564" s="28" t="s">
        <v>43</v>
      </c>
      <c r="E564" s="29"/>
      <c r="F564" s="30">
        <v>1</v>
      </c>
      <c r="G564" s="31" t="s">
        <v>21</v>
      </c>
      <c r="H564" s="30">
        <v>144</v>
      </c>
      <c r="I564" s="31" t="s">
        <v>43</v>
      </c>
      <c r="J564" s="32">
        <v>19000</v>
      </c>
      <c r="K564" s="28" t="s">
        <v>43</v>
      </c>
      <c r="L564" s="33">
        <v>0.02</v>
      </c>
      <c r="M564" s="33"/>
      <c r="N564" s="30">
        <f>24+3+24+24+12</f>
        <v>87</v>
      </c>
      <c r="O564" s="31" t="s">
        <v>43</v>
      </c>
      <c r="P564" s="27">
        <f t="shared" ref="P564" si="129">(C564+(E564*F564*H564))-N564</f>
        <v>741</v>
      </c>
      <c r="Q564" s="31" t="s">
        <v>43</v>
      </c>
      <c r="R564" s="32">
        <f t="shared" ref="R564" si="130">P564*(J564-(J564*L564)-((J564-(J564*L564))*M564))</f>
        <v>13797420</v>
      </c>
      <c r="S564" s="32">
        <f t="shared" ref="S564" si="131">R564/1.11</f>
        <v>12430108.108108107</v>
      </c>
    </row>
    <row r="565" spans="1:19" s="26" customFormat="1">
      <c r="A565" s="25" t="s">
        <v>450</v>
      </c>
      <c r="B565" s="26" t="s">
        <v>182</v>
      </c>
      <c r="C565" s="27">
        <v>384</v>
      </c>
      <c r="D565" s="28" t="s">
        <v>43</v>
      </c>
      <c r="E565" s="29"/>
      <c r="F565" s="30">
        <v>1</v>
      </c>
      <c r="G565" s="31" t="s">
        <v>21</v>
      </c>
      <c r="H565" s="30">
        <v>192</v>
      </c>
      <c r="I565" s="31" t="s">
        <v>43</v>
      </c>
      <c r="J565" s="32">
        <v>12750</v>
      </c>
      <c r="K565" s="28" t="s">
        <v>43</v>
      </c>
      <c r="L565" s="33">
        <v>0.05</v>
      </c>
      <c r="M565" s="33"/>
      <c r="N565" s="30"/>
      <c r="O565" s="31" t="s">
        <v>43</v>
      </c>
      <c r="P565" s="27">
        <f t="shared" si="124"/>
        <v>384</v>
      </c>
      <c r="Q565" s="31" t="s">
        <v>43</v>
      </c>
      <c r="R565" s="32">
        <f t="shared" si="125"/>
        <v>4651200</v>
      </c>
      <c r="S565" s="32">
        <f t="shared" si="119"/>
        <v>4190270.2702702698</v>
      </c>
    </row>
    <row r="566" spans="1:19" s="26" customFormat="1">
      <c r="A566" s="25"/>
      <c r="C566" s="27"/>
      <c r="D566" s="28"/>
      <c r="E566" s="29"/>
      <c r="F566" s="30"/>
      <c r="G566" s="31"/>
      <c r="H566" s="30"/>
      <c r="I566" s="31"/>
      <c r="J566" s="32"/>
      <c r="K566" s="28"/>
      <c r="L566" s="33"/>
      <c r="M566" s="33"/>
      <c r="N566" s="30"/>
      <c r="O566" s="31"/>
      <c r="P566" s="27"/>
      <c r="Q566" s="31"/>
      <c r="R566" s="32"/>
      <c r="S566" s="32"/>
    </row>
    <row r="567" spans="1:19">
      <c r="A567" s="15" t="s">
        <v>451</v>
      </c>
      <c r="S567" s="23"/>
    </row>
    <row r="568" spans="1:19" s="17" customFormat="1">
      <c r="A568" s="118" t="s">
        <v>452</v>
      </c>
      <c r="B568" s="96" t="s">
        <v>19</v>
      </c>
      <c r="C568" s="97"/>
      <c r="D568" s="98" t="s">
        <v>162</v>
      </c>
      <c r="E568" s="105"/>
      <c r="F568" s="100">
        <v>8</v>
      </c>
      <c r="G568" s="101" t="s">
        <v>34</v>
      </c>
      <c r="H568" s="100">
        <v>24</v>
      </c>
      <c r="I568" s="101" t="s">
        <v>162</v>
      </c>
      <c r="J568" s="102">
        <v>16500</v>
      </c>
      <c r="K568" s="98" t="s">
        <v>162</v>
      </c>
      <c r="L568" s="103">
        <v>0.125</v>
      </c>
      <c r="M568" s="103">
        <v>0.05</v>
      </c>
      <c r="N568" s="100"/>
      <c r="O568" s="101" t="s">
        <v>162</v>
      </c>
      <c r="P568" s="97">
        <f t="shared" ref="P568:P576" si="132">(C568+(E568*F568*H568))-N568</f>
        <v>0</v>
      </c>
      <c r="Q568" s="101" t="s">
        <v>162</v>
      </c>
      <c r="R568" s="102">
        <f t="shared" ref="R568:R576" si="133">P568*(J568-(J568*L568)-((J568-(J568*L568))*M568))</f>
        <v>0</v>
      </c>
      <c r="S568" s="102">
        <f t="shared" si="119"/>
        <v>0</v>
      </c>
    </row>
    <row r="569" spans="1:19" s="26" customFormat="1">
      <c r="A569" s="119" t="s">
        <v>453</v>
      </c>
      <c r="B569" s="36" t="s">
        <v>19</v>
      </c>
      <c r="C569" s="37">
        <v>48</v>
      </c>
      <c r="D569" s="38" t="s">
        <v>162</v>
      </c>
      <c r="E569" s="39"/>
      <c r="F569" s="40">
        <v>8</v>
      </c>
      <c r="G569" s="41" t="s">
        <v>34</v>
      </c>
      <c r="H569" s="40">
        <v>24</v>
      </c>
      <c r="I569" s="41" t="s">
        <v>162</v>
      </c>
      <c r="J569" s="42"/>
      <c r="K569" s="38" t="s">
        <v>162</v>
      </c>
      <c r="L569" s="43">
        <v>0.1</v>
      </c>
      <c r="M569" s="43">
        <v>0.05</v>
      </c>
      <c r="N569" s="40"/>
      <c r="O569" s="41" t="s">
        <v>162</v>
      </c>
      <c r="P569" s="37">
        <f t="shared" si="132"/>
        <v>48</v>
      </c>
      <c r="Q569" s="41" t="s">
        <v>162</v>
      </c>
      <c r="R569" s="42">
        <f t="shared" si="133"/>
        <v>0</v>
      </c>
      <c r="S569" s="42">
        <f t="shared" ref="S569:S663" si="134">R569/1.11</f>
        <v>0</v>
      </c>
    </row>
    <row r="570" spans="1:19" s="26" customFormat="1">
      <c r="A570" s="120" t="s">
        <v>454</v>
      </c>
      <c r="B570" s="26" t="s">
        <v>19</v>
      </c>
      <c r="C570" s="27">
        <v>7</v>
      </c>
      <c r="D570" s="28" t="s">
        <v>162</v>
      </c>
      <c r="E570" s="29"/>
      <c r="F570" s="30">
        <v>8</v>
      </c>
      <c r="G570" s="31" t="s">
        <v>34</v>
      </c>
      <c r="H570" s="30">
        <v>30</v>
      </c>
      <c r="I570" s="31" t="s">
        <v>162</v>
      </c>
      <c r="J570" s="32"/>
      <c r="K570" s="28" t="s">
        <v>162</v>
      </c>
      <c r="L570" s="33">
        <v>0.1</v>
      </c>
      <c r="M570" s="33">
        <v>0.05</v>
      </c>
      <c r="N570" s="30"/>
      <c r="O570" s="31" t="s">
        <v>162</v>
      </c>
      <c r="P570" s="27">
        <f t="shared" si="132"/>
        <v>7</v>
      </c>
      <c r="Q570" s="31" t="s">
        <v>162</v>
      </c>
      <c r="R570" s="32">
        <f t="shared" si="133"/>
        <v>0</v>
      </c>
      <c r="S570" s="32">
        <f t="shared" si="134"/>
        <v>0</v>
      </c>
    </row>
    <row r="571" spans="1:19" s="17" customFormat="1">
      <c r="A571" s="121" t="s">
        <v>455</v>
      </c>
      <c r="B571" s="17" t="s">
        <v>19</v>
      </c>
      <c r="C571" s="18"/>
      <c r="D571" s="19" t="s">
        <v>162</v>
      </c>
      <c r="E571" s="20"/>
      <c r="F571" s="21">
        <v>8</v>
      </c>
      <c r="G571" s="22" t="s">
        <v>34</v>
      </c>
      <c r="H571" s="21">
        <v>24</v>
      </c>
      <c r="I571" s="22" t="s">
        <v>162</v>
      </c>
      <c r="J571" s="23">
        <v>21000</v>
      </c>
      <c r="K571" s="19" t="s">
        <v>162</v>
      </c>
      <c r="L571" s="24">
        <v>0.125</v>
      </c>
      <c r="M571" s="24">
        <v>0.05</v>
      </c>
      <c r="N571" s="21"/>
      <c r="O571" s="22" t="s">
        <v>162</v>
      </c>
      <c r="P571" s="18">
        <f t="shared" si="132"/>
        <v>0</v>
      </c>
      <c r="Q571" s="22" t="s">
        <v>162</v>
      </c>
      <c r="R571" s="23">
        <f t="shared" si="133"/>
        <v>0</v>
      </c>
      <c r="S571" s="23">
        <f t="shared" si="134"/>
        <v>0</v>
      </c>
    </row>
    <row r="572" spans="1:19" s="17" customFormat="1">
      <c r="A572" s="121" t="s">
        <v>456</v>
      </c>
      <c r="B572" s="17" t="s">
        <v>19</v>
      </c>
      <c r="C572" s="18"/>
      <c r="D572" s="19" t="s">
        <v>162</v>
      </c>
      <c r="E572" s="20">
        <v>2</v>
      </c>
      <c r="F572" s="21">
        <v>8</v>
      </c>
      <c r="G572" s="22" t="s">
        <v>34</v>
      </c>
      <c r="H572" s="21">
        <v>24</v>
      </c>
      <c r="I572" s="22" t="s">
        <v>162</v>
      </c>
      <c r="J572" s="23">
        <v>16200</v>
      </c>
      <c r="K572" s="19" t="s">
        <v>162</v>
      </c>
      <c r="L572" s="24">
        <v>0.125</v>
      </c>
      <c r="M572" s="24">
        <v>0.05</v>
      </c>
      <c r="N572" s="21">
        <v>384</v>
      </c>
      <c r="O572" s="22" t="s">
        <v>162</v>
      </c>
      <c r="P572" s="18">
        <f t="shared" si="132"/>
        <v>0</v>
      </c>
      <c r="Q572" s="22" t="s">
        <v>162</v>
      </c>
      <c r="R572" s="23">
        <f t="shared" si="133"/>
        <v>0</v>
      </c>
      <c r="S572" s="23">
        <f t="shared" si="134"/>
        <v>0</v>
      </c>
    </row>
    <row r="573" spans="1:19" s="17" customFormat="1">
      <c r="A573" s="121" t="s">
        <v>457</v>
      </c>
      <c r="B573" s="17" t="s">
        <v>19</v>
      </c>
      <c r="C573" s="18"/>
      <c r="D573" s="19" t="s">
        <v>162</v>
      </c>
      <c r="E573" s="20"/>
      <c r="F573" s="21">
        <v>6</v>
      </c>
      <c r="G573" s="22" t="s">
        <v>34</v>
      </c>
      <c r="H573" s="21">
        <v>24</v>
      </c>
      <c r="I573" s="22" t="s">
        <v>162</v>
      </c>
      <c r="J573" s="23">
        <v>21000</v>
      </c>
      <c r="K573" s="19" t="s">
        <v>162</v>
      </c>
      <c r="L573" s="24">
        <v>0.125</v>
      </c>
      <c r="M573" s="24">
        <v>0.05</v>
      </c>
      <c r="N573" s="21"/>
      <c r="O573" s="22" t="s">
        <v>162</v>
      </c>
      <c r="P573" s="18">
        <f t="shared" si="132"/>
        <v>0</v>
      </c>
      <c r="Q573" s="22" t="s">
        <v>162</v>
      </c>
      <c r="R573" s="23">
        <f t="shared" si="133"/>
        <v>0</v>
      </c>
      <c r="S573" s="23">
        <f t="shared" si="134"/>
        <v>0</v>
      </c>
    </row>
    <row r="574" spans="1:19" s="17" customFormat="1">
      <c r="A574" s="137"/>
      <c r="C574" s="18"/>
      <c r="D574" s="19"/>
      <c r="E574" s="20"/>
      <c r="F574" s="21"/>
      <c r="G574" s="22"/>
      <c r="H574" s="21"/>
      <c r="I574" s="22"/>
      <c r="J574" s="23"/>
      <c r="K574" s="19"/>
      <c r="L574" s="24"/>
      <c r="M574" s="24"/>
      <c r="N574" s="21"/>
      <c r="O574" s="22"/>
      <c r="P574" s="18"/>
      <c r="Q574" s="22"/>
      <c r="R574" s="23"/>
      <c r="S574" s="23"/>
    </row>
    <row r="575" spans="1:19" s="17" customFormat="1">
      <c r="A575" s="16" t="s">
        <v>458</v>
      </c>
      <c r="B575" s="17" t="s">
        <v>26</v>
      </c>
      <c r="C575" s="18"/>
      <c r="D575" s="19" t="s">
        <v>162</v>
      </c>
      <c r="E575" s="20"/>
      <c r="F575" s="21">
        <v>8</v>
      </c>
      <c r="G575" s="22" t="s">
        <v>34</v>
      </c>
      <c r="H575" s="21">
        <v>30</v>
      </c>
      <c r="I575" s="22" t="s">
        <v>162</v>
      </c>
      <c r="J575" s="23">
        <f>4800000/8/30</f>
        <v>20000</v>
      </c>
      <c r="K575" s="19" t="s">
        <v>162</v>
      </c>
      <c r="L575" s="24"/>
      <c r="M575" s="24">
        <v>0.17</v>
      </c>
      <c r="N575" s="21"/>
      <c r="O575" s="22" t="s">
        <v>162</v>
      </c>
      <c r="P575" s="18">
        <f t="shared" si="132"/>
        <v>0</v>
      </c>
      <c r="Q575" s="22" t="s">
        <v>162</v>
      </c>
      <c r="R575" s="23">
        <f t="shared" si="133"/>
        <v>0</v>
      </c>
      <c r="S575" s="23">
        <f t="shared" si="134"/>
        <v>0</v>
      </c>
    </row>
    <row r="576" spans="1:19" s="17" customFormat="1">
      <c r="A576" s="16" t="s">
        <v>752</v>
      </c>
      <c r="B576" s="17" t="s">
        <v>26</v>
      </c>
      <c r="C576" s="18"/>
      <c r="D576" s="19" t="s">
        <v>162</v>
      </c>
      <c r="E576" s="20"/>
      <c r="F576" s="21">
        <v>6</v>
      </c>
      <c r="G576" s="22" t="s">
        <v>34</v>
      </c>
      <c r="H576" s="21">
        <v>30</v>
      </c>
      <c r="I576" s="22" t="s">
        <v>162</v>
      </c>
      <c r="J576" s="23">
        <f>2664000/6/30</f>
        <v>14800</v>
      </c>
      <c r="K576" s="19" t="s">
        <v>162</v>
      </c>
      <c r="L576" s="24"/>
      <c r="M576" s="24">
        <v>0.17</v>
      </c>
      <c r="N576" s="21"/>
      <c r="O576" s="22" t="s">
        <v>162</v>
      </c>
      <c r="P576" s="18">
        <f t="shared" si="132"/>
        <v>0</v>
      </c>
      <c r="Q576" s="22" t="s">
        <v>162</v>
      </c>
      <c r="R576" s="23">
        <f t="shared" si="133"/>
        <v>0</v>
      </c>
      <c r="S576" s="23">
        <f t="shared" si="134"/>
        <v>0</v>
      </c>
    </row>
    <row r="577" spans="1:19" s="17" customFormat="1">
      <c r="A577" s="16"/>
      <c r="C577" s="18"/>
      <c r="D577" s="19"/>
      <c r="E577" s="20"/>
      <c r="F577" s="21"/>
      <c r="G577" s="22"/>
      <c r="H577" s="21"/>
      <c r="I577" s="22"/>
      <c r="J577" s="23"/>
      <c r="K577" s="19"/>
      <c r="L577" s="24"/>
      <c r="M577" s="24"/>
      <c r="N577" s="21"/>
      <c r="O577" s="22"/>
      <c r="P577" s="18"/>
      <c r="Q577" s="22"/>
      <c r="R577" s="23"/>
      <c r="S577" s="23"/>
    </row>
    <row r="578" spans="1:19">
      <c r="A578" s="15" t="s">
        <v>459</v>
      </c>
      <c r="S578" s="23"/>
    </row>
    <row r="579" spans="1:19" s="17" customFormat="1">
      <c r="A579" s="16" t="s">
        <v>462</v>
      </c>
      <c r="B579" s="17" t="s">
        <v>19</v>
      </c>
      <c r="C579" s="18"/>
      <c r="D579" s="19" t="s">
        <v>43</v>
      </c>
      <c r="E579" s="20"/>
      <c r="F579" s="21">
        <v>48</v>
      </c>
      <c r="G579" s="22" t="s">
        <v>34</v>
      </c>
      <c r="H579" s="21">
        <v>12</v>
      </c>
      <c r="I579" s="22" t="s">
        <v>20</v>
      </c>
      <c r="J579" s="23">
        <v>5800</v>
      </c>
      <c r="K579" s="19" t="s">
        <v>20</v>
      </c>
      <c r="L579" s="24">
        <v>0.125</v>
      </c>
      <c r="M579" s="24">
        <v>0.05</v>
      </c>
      <c r="N579" s="21"/>
      <c r="O579" s="22" t="s">
        <v>20</v>
      </c>
      <c r="P579" s="18">
        <f>(C579+(E579*F579*H579))-N579</f>
        <v>0</v>
      </c>
      <c r="Q579" s="22" t="s">
        <v>20</v>
      </c>
      <c r="R579" s="23">
        <f>P579*(J579-(J579*L579)-((J579-(J579*L579))*M579))</f>
        <v>0</v>
      </c>
      <c r="S579" s="23">
        <f>R579/1.11</f>
        <v>0</v>
      </c>
    </row>
    <row r="580" spans="1:19" s="17" customFormat="1">
      <c r="A580" s="16"/>
      <c r="C580" s="18"/>
      <c r="D580" s="19"/>
      <c r="E580" s="20"/>
      <c r="F580" s="21"/>
      <c r="G580" s="22"/>
      <c r="H580" s="21"/>
      <c r="I580" s="22"/>
      <c r="J580" s="23"/>
      <c r="K580" s="19"/>
      <c r="L580" s="24"/>
      <c r="M580" s="24"/>
      <c r="N580" s="21"/>
      <c r="O580" s="22"/>
      <c r="P580" s="18"/>
      <c r="Q580" s="22"/>
      <c r="R580" s="23"/>
      <c r="S580" s="23"/>
    </row>
    <row r="581" spans="1:19" s="26" customFormat="1">
      <c r="A581" s="120" t="s">
        <v>460</v>
      </c>
      <c r="B581" s="26" t="s">
        <v>26</v>
      </c>
      <c r="C581" s="27">
        <v>576</v>
      </c>
      <c r="D581" s="28" t="s">
        <v>20</v>
      </c>
      <c r="E581" s="29"/>
      <c r="F581" s="30">
        <v>24</v>
      </c>
      <c r="G581" s="31" t="s">
        <v>34</v>
      </c>
      <c r="H581" s="30">
        <v>24</v>
      </c>
      <c r="I581" s="31" t="s">
        <v>20</v>
      </c>
      <c r="J581" s="32">
        <f>2822400/24/24</f>
        <v>4900</v>
      </c>
      <c r="K581" s="28" t="s">
        <v>20</v>
      </c>
      <c r="L581" s="33"/>
      <c r="M581" s="33">
        <v>0.17</v>
      </c>
      <c r="N581" s="30"/>
      <c r="O581" s="31" t="s">
        <v>20</v>
      </c>
      <c r="P581" s="27">
        <f>(C581+(E581*F581*H581))-N581</f>
        <v>576</v>
      </c>
      <c r="Q581" s="31" t="s">
        <v>20</v>
      </c>
      <c r="R581" s="32">
        <f>P581*(J581-(J581*L581)-((J581-(J581*L581))*M581))</f>
        <v>2342592</v>
      </c>
      <c r="S581" s="32">
        <f t="shared" si="134"/>
        <v>2110443.2432432431</v>
      </c>
    </row>
    <row r="582" spans="1:19" s="26" customFormat="1">
      <c r="A582" s="120" t="s">
        <v>853</v>
      </c>
      <c r="B582" s="26" t="s">
        <v>26</v>
      </c>
      <c r="C582" s="27"/>
      <c r="D582" s="28" t="s">
        <v>43</v>
      </c>
      <c r="E582" s="29">
        <v>1</v>
      </c>
      <c r="F582" s="30">
        <v>24</v>
      </c>
      <c r="G582" s="31" t="s">
        <v>34</v>
      </c>
      <c r="H582" s="30">
        <v>2</v>
      </c>
      <c r="I582" s="31" t="s">
        <v>43</v>
      </c>
      <c r="J582" s="32">
        <f>2592000/24/2</f>
        <v>54000</v>
      </c>
      <c r="K582" s="28" t="s">
        <v>43</v>
      </c>
      <c r="L582" s="33"/>
      <c r="M582" s="33">
        <v>0.17</v>
      </c>
      <c r="N582" s="30">
        <f>(180/12)+1</f>
        <v>16</v>
      </c>
      <c r="O582" s="31" t="s">
        <v>43</v>
      </c>
      <c r="P582" s="27">
        <f>(C582+(E582*F582*H582))-N582</f>
        <v>32</v>
      </c>
      <c r="Q582" s="31" t="s">
        <v>43</v>
      </c>
      <c r="R582" s="32">
        <f>P582*(J582-(J582*L582)-((J582-(J582*L582))*M582))</f>
        <v>1434240</v>
      </c>
      <c r="S582" s="32">
        <f t="shared" ref="S582" si="135">R582/1.11</f>
        <v>1292108.1081081079</v>
      </c>
    </row>
    <row r="583" spans="1:19" s="26" customFormat="1">
      <c r="A583" s="120" t="s">
        <v>461</v>
      </c>
      <c r="B583" s="26" t="s">
        <v>26</v>
      </c>
      <c r="C583" s="27">
        <v>84</v>
      </c>
      <c r="D583" s="28" t="s">
        <v>20</v>
      </c>
      <c r="E583" s="29"/>
      <c r="F583" s="30">
        <v>24</v>
      </c>
      <c r="G583" s="31" t="s">
        <v>34</v>
      </c>
      <c r="H583" s="30">
        <v>24</v>
      </c>
      <c r="I583" s="31" t="s">
        <v>20</v>
      </c>
      <c r="J583" s="32">
        <f>1900800/24/24</f>
        <v>3300</v>
      </c>
      <c r="K583" s="28" t="s">
        <v>20</v>
      </c>
      <c r="L583" s="33"/>
      <c r="M583" s="33">
        <v>0.17</v>
      </c>
      <c r="N583" s="30"/>
      <c r="O583" s="31" t="s">
        <v>20</v>
      </c>
      <c r="P583" s="27">
        <f>(C583+(E583*F583*H583))-N583</f>
        <v>84</v>
      </c>
      <c r="Q583" s="31" t="s">
        <v>20</v>
      </c>
      <c r="R583" s="32">
        <f>P583*(J583-(J583*L583)-((J583-(J583*L583))*M583))</f>
        <v>230076</v>
      </c>
      <c r="S583" s="32">
        <f t="shared" si="134"/>
        <v>207275.67567567565</v>
      </c>
    </row>
    <row r="584" spans="1:19" s="26" customFormat="1">
      <c r="A584" s="138"/>
      <c r="C584" s="27"/>
      <c r="D584" s="28"/>
      <c r="E584" s="29"/>
      <c r="F584" s="30"/>
      <c r="G584" s="31"/>
      <c r="H584" s="30"/>
      <c r="I584" s="31"/>
      <c r="J584" s="32"/>
      <c r="K584" s="28"/>
      <c r="L584" s="33"/>
      <c r="M584" s="33"/>
      <c r="N584" s="30"/>
      <c r="O584" s="31"/>
      <c r="P584" s="27"/>
      <c r="Q584" s="31"/>
      <c r="R584" s="32"/>
      <c r="S584" s="32"/>
    </row>
    <row r="585" spans="1:19">
      <c r="A585" s="15" t="s">
        <v>463</v>
      </c>
      <c r="S585" s="23"/>
    </row>
    <row r="586" spans="1:19" s="17" customFormat="1">
      <c r="A586" s="16" t="s">
        <v>464</v>
      </c>
      <c r="B586" s="17" t="s">
        <v>19</v>
      </c>
      <c r="C586" s="18"/>
      <c r="D586" s="19" t="s">
        <v>104</v>
      </c>
      <c r="E586" s="20"/>
      <c r="F586" s="21">
        <v>18</v>
      </c>
      <c r="G586" s="22" t="s">
        <v>34</v>
      </c>
      <c r="H586" s="21">
        <v>12</v>
      </c>
      <c r="I586" s="22" t="s">
        <v>104</v>
      </c>
      <c r="J586" s="23">
        <f>36000/12</f>
        <v>3000</v>
      </c>
      <c r="K586" s="19" t="s">
        <v>104</v>
      </c>
      <c r="L586" s="24">
        <v>0.125</v>
      </c>
      <c r="M586" s="24">
        <v>0.05</v>
      </c>
      <c r="N586" s="21"/>
      <c r="O586" s="22" t="s">
        <v>104</v>
      </c>
      <c r="P586" s="18">
        <f t="shared" ref="P586:P594" si="136">(C586+(E586*F586*H586))-N586</f>
        <v>0</v>
      </c>
      <c r="Q586" s="22" t="s">
        <v>104</v>
      </c>
      <c r="R586" s="23">
        <f t="shared" ref="R586:R594" si="137">P586*(J586-(J586*L586)-((J586-(J586*L586))*M586))</f>
        <v>0</v>
      </c>
      <c r="S586" s="23">
        <f t="shared" si="134"/>
        <v>0</v>
      </c>
    </row>
    <row r="587" spans="1:19" s="17" customFormat="1">
      <c r="A587" s="16" t="s">
        <v>465</v>
      </c>
      <c r="B587" s="17" t="s">
        <v>19</v>
      </c>
      <c r="C587" s="18"/>
      <c r="D587" s="19" t="s">
        <v>43</v>
      </c>
      <c r="E587" s="20"/>
      <c r="F587" s="21">
        <v>18</v>
      </c>
      <c r="G587" s="22" t="s">
        <v>34</v>
      </c>
      <c r="H587" s="21">
        <v>24</v>
      </c>
      <c r="I587" s="22" t="s">
        <v>43</v>
      </c>
      <c r="J587" s="23">
        <v>27600</v>
      </c>
      <c r="K587" s="19" t="s">
        <v>43</v>
      </c>
      <c r="L587" s="24">
        <v>0.125</v>
      </c>
      <c r="M587" s="24">
        <v>0.05</v>
      </c>
      <c r="N587" s="21"/>
      <c r="O587" s="22" t="s">
        <v>43</v>
      </c>
      <c r="P587" s="18">
        <f t="shared" si="136"/>
        <v>0</v>
      </c>
      <c r="Q587" s="22" t="s">
        <v>43</v>
      </c>
      <c r="R587" s="23">
        <f t="shared" si="137"/>
        <v>0</v>
      </c>
      <c r="S587" s="23">
        <f t="shared" si="134"/>
        <v>0</v>
      </c>
    </row>
    <row r="588" spans="1:19" s="17" customFormat="1">
      <c r="A588" s="16"/>
      <c r="C588" s="18"/>
      <c r="D588" s="19"/>
      <c r="E588" s="20"/>
      <c r="F588" s="21"/>
      <c r="G588" s="22"/>
      <c r="H588" s="21"/>
      <c r="I588" s="22"/>
      <c r="J588" s="23"/>
      <c r="K588" s="19"/>
      <c r="L588" s="24"/>
      <c r="M588" s="24"/>
      <c r="N588" s="21"/>
      <c r="O588" s="22"/>
      <c r="P588" s="18"/>
      <c r="Q588" s="22"/>
      <c r="R588" s="23"/>
      <c r="S588" s="23"/>
    </row>
    <row r="589" spans="1:19" s="17" customFormat="1">
      <c r="A589" s="16" t="s">
        <v>466</v>
      </c>
      <c r="B589" s="17" t="s">
        <v>275</v>
      </c>
      <c r="C589" s="18"/>
      <c r="D589" s="19" t="s">
        <v>43</v>
      </c>
      <c r="E589" s="20"/>
      <c r="F589" s="21">
        <v>1</v>
      </c>
      <c r="G589" s="22" t="s">
        <v>21</v>
      </c>
      <c r="H589" s="21">
        <v>96</v>
      </c>
      <c r="I589" s="22" t="s">
        <v>43</v>
      </c>
      <c r="J589" s="23">
        <v>9500</v>
      </c>
      <c r="K589" s="19" t="s">
        <v>43</v>
      </c>
      <c r="L589" s="24"/>
      <c r="M589" s="24"/>
      <c r="N589" s="21"/>
      <c r="O589" s="22" t="s">
        <v>43</v>
      </c>
      <c r="P589" s="18">
        <f t="shared" si="136"/>
        <v>0</v>
      </c>
      <c r="Q589" s="22" t="s">
        <v>43</v>
      </c>
      <c r="R589" s="23">
        <f t="shared" si="137"/>
        <v>0</v>
      </c>
      <c r="S589" s="23">
        <f t="shared" si="134"/>
        <v>0</v>
      </c>
    </row>
    <row r="590" spans="1:19" s="17" customFormat="1">
      <c r="A590" s="16"/>
      <c r="C590" s="18"/>
      <c r="D590" s="19"/>
      <c r="E590" s="20"/>
      <c r="F590" s="21"/>
      <c r="G590" s="22"/>
      <c r="H590" s="21"/>
      <c r="I590" s="22"/>
      <c r="J590" s="23"/>
      <c r="K590" s="19"/>
      <c r="L590" s="24"/>
      <c r="M590" s="24"/>
      <c r="N590" s="21"/>
      <c r="O590" s="22"/>
      <c r="P590" s="18"/>
      <c r="Q590" s="22"/>
      <c r="R590" s="23"/>
      <c r="S590" s="23"/>
    </row>
    <row r="591" spans="1:19" s="26" customFormat="1">
      <c r="A591" s="25" t="s">
        <v>467</v>
      </c>
      <c r="B591" s="26" t="s">
        <v>26</v>
      </c>
      <c r="C591" s="27">
        <v>302</v>
      </c>
      <c r="D591" s="28" t="s">
        <v>20</v>
      </c>
      <c r="E591" s="29"/>
      <c r="F591" s="30">
        <v>144</v>
      </c>
      <c r="G591" s="31" t="s">
        <v>34</v>
      </c>
      <c r="H591" s="30">
        <v>2</v>
      </c>
      <c r="I591" s="31" t="s">
        <v>43</v>
      </c>
      <c r="J591" s="32">
        <f>6739200/144/2</f>
        <v>23400</v>
      </c>
      <c r="K591" s="28" t="s">
        <v>43</v>
      </c>
      <c r="L591" s="33"/>
      <c r="M591" s="33">
        <v>0.17</v>
      </c>
      <c r="N591" s="30">
        <f>6+(12*2)+(12*2)</f>
        <v>54</v>
      </c>
      <c r="O591" s="31" t="s">
        <v>43</v>
      </c>
      <c r="P591" s="27">
        <f t="shared" si="136"/>
        <v>248</v>
      </c>
      <c r="Q591" s="31" t="s">
        <v>43</v>
      </c>
      <c r="R591" s="32">
        <f t="shared" si="137"/>
        <v>4816656</v>
      </c>
      <c r="S591" s="32">
        <f t="shared" si="134"/>
        <v>4339329.7297297297</v>
      </c>
    </row>
    <row r="592" spans="1:19" s="17" customFormat="1">
      <c r="A592" s="16" t="s">
        <v>468</v>
      </c>
      <c r="B592" s="17" t="s">
        <v>26</v>
      </c>
      <c r="C592" s="18"/>
      <c r="D592" s="19" t="s">
        <v>34</v>
      </c>
      <c r="E592" s="20"/>
      <c r="F592" s="21">
        <v>1</v>
      </c>
      <c r="G592" s="22" t="s">
        <v>21</v>
      </c>
      <c r="H592" s="21">
        <v>120</v>
      </c>
      <c r="I592" s="22" t="s">
        <v>34</v>
      </c>
      <c r="J592" s="23">
        <f>2160000/120</f>
        <v>18000</v>
      </c>
      <c r="K592" s="19" t="s">
        <v>34</v>
      </c>
      <c r="L592" s="24"/>
      <c r="M592" s="24">
        <v>0.17</v>
      </c>
      <c r="N592" s="21"/>
      <c r="O592" s="22" t="s">
        <v>34</v>
      </c>
      <c r="P592" s="18">
        <f t="shared" si="136"/>
        <v>0</v>
      </c>
      <c r="Q592" s="22" t="s">
        <v>34</v>
      </c>
      <c r="R592" s="23">
        <f t="shared" si="137"/>
        <v>0</v>
      </c>
      <c r="S592" s="23">
        <f t="shared" si="134"/>
        <v>0</v>
      </c>
    </row>
    <row r="593" spans="1:19" s="17" customFormat="1">
      <c r="A593" s="16"/>
      <c r="C593" s="18"/>
      <c r="D593" s="19"/>
      <c r="E593" s="20"/>
      <c r="F593" s="21"/>
      <c r="G593" s="22"/>
      <c r="H593" s="21"/>
      <c r="I593" s="22"/>
      <c r="J593" s="23"/>
      <c r="K593" s="19"/>
      <c r="L593" s="24"/>
      <c r="M593" s="24"/>
      <c r="N593" s="21"/>
      <c r="O593" s="22"/>
      <c r="P593" s="18"/>
      <c r="Q593" s="22"/>
      <c r="R593" s="23"/>
      <c r="S593" s="23"/>
    </row>
    <row r="594" spans="1:19">
      <c r="A594" s="34" t="s">
        <v>469</v>
      </c>
      <c r="B594" s="2" t="s">
        <v>192</v>
      </c>
      <c r="C594" s="3">
        <v>2400</v>
      </c>
      <c r="D594" s="4" t="s">
        <v>34</v>
      </c>
      <c r="F594" s="6">
        <v>1</v>
      </c>
      <c r="G594" s="7" t="s">
        <v>21</v>
      </c>
      <c r="H594" s="6">
        <v>240</v>
      </c>
      <c r="I594" s="7" t="s">
        <v>34</v>
      </c>
      <c r="J594" s="8">
        <v>5500</v>
      </c>
      <c r="K594" s="4" t="s">
        <v>34</v>
      </c>
      <c r="O594" s="7" t="s">
        <v>34</v>
      </c>
      <c r="P594" s="3">
        <f t="shared" si="136"/>
        <v>2400</v>
      </c>
      <c r="Q594" s="7" t="s">
        <v>34</v>
      </c>
      <c r="R594" s="8">
        <f t="shared" si="137"/>
        <v>13200000</v>
      </c>
      <c r="S594" s="32">
        <f t="shared" si="134"/>
        <v>11891891.891891891</v>
      </c>
    </row>
    <row r="595" spans="1:19">
      <c r="S595" s="32"/>
    </row>
    <row r="596" spans="1:19">
      <c r="A596" s="15" t="s">
        <v>574</v>
      </c>
      <c r="S596" s="23"/>
    </row>
    <row r="597" spans="1:19" s="26" customFormat="1">
      <c r="A597" s="107" t="s">
        <v>575</v>
      </c>
      <c r="B597" s="26" t="s">
        <v>26</v>
      </c>
      <c r="C597" s="27">
        <v>180</v>
      </c>
      <c r="D597" s="28" t="s">
        <v>43</v>
      </c>
      <c r="E597" s="29"/>
      <c r="F597" s="30">
        <v>1</v>
      </c>
      <c r="G597" s="31" t="s">
        <v>21</v>
      </c>
      <c r="H597" s="30">
        <v>60</v>
      </c>
      <c r="I597" s="31" t="s">
        <v>43</v>
      </c>
      <c r="J597" s="32">
        <f>2160000/60</f>
        <v>36000</v>
      </c>
      <c r="K597" s="28" t="s">
        <v>43</v>
      </c>
      <c r="L597" s="33"/>
      <c r="M597" s="33">
        <v>0.17</v>
      </c>
      <c r="N597" s="30"/>
      <c r="O597" s="31" t="s">
        <v>43</v>
      </c>
      <c r="P597" s="27">
        <f>(C597+(E597*F597*H597))-N597</f>
        <v>180</v>
      </c>
      <c r="Q597" s="31" t="s">
        <v>43</v>
      </c>
      <c r="R597" s="32">
        <f>P597*(J597-(J597*L597)-((J597-(J597*L597))*M597))</f>
        <v>5378400</v>
      </c>
      <c r="S597" s="32">
        <f>R597/1.11</f>
        <v>4845405.405405405</v>
      </c>
    </row>
    <row r="598" spans="1:19" s="26" customFormat="1">
      <c r="A598" s="107" t="s">
        <v>576</v>
      </c>
      <c r="B598" s="26" t="s">
        <v>26</v>
      </c>
      <c r="C598" s="27">
        <v>194</v>
      </c>
      <c r="D598" s="28" t="s">
        <v>43</v>
      </c>
      <c r="E598" s="29"/>
      <c r="F598" s="30">
        <v>12</v>
      </c>
      <c r="G598" s="31" t="s">
        <v>88</v>
      </c>
      <c r="H598" s="30">
        <v>12</v>
      </c>
      <c r="I598" s="31" t="s">
        <v>43</v>
      </c>
      <c r="J598" s="32">
        <f>1555200/144</f>
        <v>10800</v>
      </c>
      <c r="K598" s="28" t="s">
        <v>43</v>
      </c>
      <c r="L598" s="33">
        <v>0.05</v>
      </c>
      <c r="M598" s="33">
        <v>0.17</v>
      </c>
      <c r="N598" s="30"/>
      <c r="O598" s="31" t="s">
        <v>43</v>
      </c>
      <c r="P598" s="27">
        <f>(C598+(E598*F598*H598))-N598</f>
        <v>194</v>
      </c>
      <c r="Q598" s="31" t="s">
        <v>43</v>
      </c>
      <c r="R598" s="32">
        <f>P598*(J598-(J598*L598)-((J598-(J598*L598))*M598))</f>
        <v>1652065.2</v>
      </c>
      <c r="S598" s="32">
        <f>R598/1.11</f>
        <v>1488347.0270270268</v>
      </c>
    </row>
    <row r="599" spans="1:19" s="26" customFormat="1">
      <c r="A599" s="94"/>
      <c r="C599" s="27"/>
      <c r="D599" s="28"/>
      <c r="E599" s="29"/>
      <c r="F599" s="30"/>
      <c r="G599" s="31"/>
      <c r="H599" s="30"/>
      <c r="I599" s="31"/>
      <c r="J599" s="32"/>
      <c r="K599" s="28"/>
      <c r="L599" s="33"/>
      <c r="M599" s="33"/>
      <c r="N599" s="30"/>
      <c r="O599" s="31"/>
      <c r="P599" s="27"/>
      <c r="Q599" s="31"/>
      <c r="R599" s="32"/>
      <c r="S599" s="32"/>
    </row>
    <row r="600" spans="1:19">
      <c r="A600" s="15" t="s">
        <v>577</v>
      </c>
      <c r="S600" s="23"/>
    </row>
    <row r="601" spans="1:19" s="26" customFormat="1">
      <c r="A601" s="107" t="s">
        <v>578</v>
      </c>
      <c r="B601" s="26" t="s">
        <v>26</v>
      </c>
      <c r="C601" s="27">
        <v>55</v>
      </c>
      <c r="D601" s="28" t="s">
        <v>43</v>
      </c>
      <c r="E601" s="29"/>
      <c r="F601" s="30">
        <v>1</v>
      </c>
      <c r="G601" s="31" t="s">
        <v>21</v>
      </c>
      <c r="H601" s="30">
        <v>60</v>
      </c>
      <c r="I601" s="31" t="s">
        <v>43</v>
      </c>
      <c r="J601" s="32">
        <f>2268000/60</f>
        <v>37800</v>
      </c>
      <c r="K601" s="28" t="s">
        <v>43</v>
      </c>
      <c r="L601" s="33"/>
      <c r="M601" s="33">
        <v>0.17</v>
      </c>
      <c r="N601" s="30"/>
      <c r="O601" s="31" t="s">
        <v>43</v>
      </c>
      <c r="P601" s="27">
        <f>(C601+(E601*F601*H601))-N601</f>
        <v>55</v>
      </c>
      <c r="Q601" s="31" t="s">
        <v>43</v>
      </c>
      <c r="R601" s="32">
        <f>P601*(J601-(J601*L601)-((J601-(J601*L601))*M601))</f>
        <v>1725570</v>
      </c>
      <c r="S601" s="32">
        <f>R601/1.11</f>
        <v>1554567.5675675673</v>
      </c>
    </row>
    <row r="602" spans="1:19" s="26" customFormat="1">
      <c r="A602" s="25"/>
      <c r="C602" s="27"/>
      <c r="D602" s="28"/>
      <c r="E602" s="29"/>
      <c r="F602" s="30"/>
      <c r="G602" s="31"/>
      <c r="H602" s="30"/>
      <c r="I602" s="31"/>
      <c r="J602" s="32"/>
      <c r="K602" s="28"/>
      <c r="L602" s="33"/>
      <c r="M602" s="33"/>
      <c r="N602" s="30"/>
      <c r="O602" s="31"/>
      <c r="P602" s="27"/>
      <c r="Q602" s="31"/>
      <c r="R602" s="32"/>
      <c r="S602" s="32"/>
    </row>
    <row r="603" spans="1:19" s="26" customFormat="1">
      <c r="A603" s="25" t="s">
        <v>846</v>
      </c>
      <c r="B603" s="26" t="s">
        <v>659</v>
      </c>
      <c r="C603" s="27">
        <v>12</v>
      </c>
      <c r="D603" s="28" t="s">
        <v>162</v>
      </c>
      <c r="E603" s="29"/>
      <c r="F603" s="30">
        <v>1</v>
      </c>
      <c r="G603" s="31" t="s">
        <v>162</v>
      </c>
      <c r="H603" s="30">
        <v>1</v>
      </c>
      <c r="I603" s="31" t="s">
        <v>162</v>
      </c>
      <c r="J603" s="32">
        <v>4000</v>
      </c>
      <c r="K603" s="28" t="s">
        <v>20</v>
      </c>
      <c r="L603" s="33"/>
      <c r="M603" s="33">
        <v>1.0999999999999999E-2</v>
      </c>
      <c r="N603" s="30"/>
      <c r="O603" s="31" t="s">
        <v>20</v>
      </c>
      <c r="P603" s="27">
        <f t="shared" ref="P603" si="138">(C603+(E603*F603*H603))-N603</f>
        <v>12</v>
      </c>
      <c r="Q603" s="31" t="s">
        <v>20</v>
      </c>
      <c r="R603" s="32">
        <f t="shared" ref="R603" si="139">P603*(J603-(J603*L603)-((J603-(J603*L603))*M603))</f>
        <v>47472</v>
      </c>
      <c r="S603" s="32">
        <f t="shared" ref="S603" si="140">R603/1.11</f>
        <v>42767.567567567567</v>
      </c>
    </row>
    <row r="604" spans="1:19" s="26" customFormat="1">
      <c r="A604" s="94"/>
      <c r="C604" s="27"/>
      <c r="D604" s="28"/>
      <c r="E604" s="29"/>
      <c r="F604" s="30"/>
      <c r="G604" s="31"/>
      <c r="H604" s="30"/>
      <c r="I604" s="31"/>
      <c r="J604" s="32"/>
      <c r="K604" s="28"/>
      <c r="L604" s="33"/>
      <c r="M604" s="33"/>
      <c r="N604" s="30"/>
      <c r="O604" s="31"/>
      <c r="P604" s="27"/>
      <c r="Q604" s="31"/>
      <c r="R604" s="32"/>
      <c r="S604" s="32"/>
    </row>
    <row r="605" spans="1:19">
      <c r="A605" s="15" t="s">
        <v>579</v>
      </c>
      <c r="S605" s="23"/>
    </row>
    <row r="606" spans="1:19" s="45" customFormat="1">
      <c r="A606" s="44" t="s">
        <v>580</v>
      </c>
      <c r="B606" s="45" t="s">
        <v>19</v>
      </c>
      <c r="C606" s="46">
        <v>3</v>
      </c>
      <c r="D606" s="47" t="s">
        <v>162</v>
      </c>
      <c r="E606" s="48"/>
      <c r="F606" s="49">
        <v>8</v>
      </c>
      <c r="G606" s="50" t="s">
        <v>34</v>
      </c>
      <c r="H606" s="49">
        <v>12</v>
      </c>
      <c r="I606" s="50" t="s">
        <v>162</v>
      </c>
      <c r="J606" s="51">
        <v>17000</v>
      </c>
      <c r="K606" s="47" t="s">
        <v>162</v>
      </c>
      <c r="L606" s="52">
        <v>0.125</v>
      </c>
      <c r="M606" s="52">
        <v>0.05</v>
      </c>
      <c r="N606" s="49"/>
      <c r="O606" s="50" t="s">
        <v>162</v>
      </c>
      <c r="P606" s="46">
        <f t="shared" ref="P606:P610" si="141">(C606+(E606*F606*H606))-N606</f>
        <v>3</v>
      </c>
      <c r="Q606" s="50" t="s">
        <v>162</v>
      </c>
      <c r="R606" s="51">
        <f t="shared" ref="R606:R610" si="142">P606*(J606-(J606*L606)-((J606-(J606*L606))*M606))</f>
        <v>42393.75</v>
      </c>
      <c r="S606" s="32">
        <f>R606/1.11</f>
        <v>38192.567567567567</v>
      </c>
    </row>
    <row r="607" spans="1:19" s="45" customFormat="1">
      <c r="A607" s="44" t="s">
        <v>581</v>
      </c>
      <c r="B607" s="45" t="s">
        <v>19</v>
      </c>
      <c r="C607" s="46">
        <v>3</v>
      </c>
      <c r="D607" s="47" t="s">
        <v>162</v>
      </c>
      <c r="E607" s="48"/>
      <c r="F607" s="49">
        <v>8</v>
      </c>
      <c r="G607" s="50" t="s">
        <v>34</v>
      </c>
      <c r="H607" s="49">
        <v>6</v>
      </c>
      <c r="I607" s="50" t="s">
        <v>162</v>
      </c>
      <c r="J607" s="51">
        <v>34000</v>
      </c>
      <c r="K607" s="47" t="s">
        <v>162</v>
      </c>
      <c r="L607" s="52">
        <v>0.125</v>
      </c>
      <c r="M607" s="52">
        <v>0.05</v>
      </c>
      <c r="N607" s="49"/>
      <c r="O607" s="50" t="s">
        <v>162</v>
      </c>
      <c r="P607" s="46">
        <f t="shared" si="141"/>
        <v>3</v>
      </c>
      <c r="Q607" s="50" t="s">
        <v>162</v>
      </c>
      <c r="R607" s="51">
        <f t="shared" si="142"/>
        <v>84787.5</v>
      </c>
      <c r="S607" s="32">
        <f>R607/1.11</f>
        <v>76385.135135135133</v>
      </c>
    </row>
    <row r="608" spans="1:19" s="45" customFormat="1">
      <c r="A608" s="44" t="s">
        <v>582</v>
      </c>
      <c r="B608" s="45" t="s">
        <v>19</v>
      </c>
      <c r="C608" s="46">
        <v>62</v>
      </c>
      <c r="D608" s="47" t="s">
        <v>162</v>
      </c>
      <c r="E608" s="48"/>
      <c r="F608" s="49">
        <v>6</v>
      </c>
      <c r="G608" s="50" t="s">
        <v>34</v>
      </c>
      <c r="H608" s="49">
        <v>24</v>
      </c>
      <c r="I608" s="50" t="s">
        <v>162</v>
      </c>
      <c r="J608" s="51">
        <v>31500</v>
      </c>
      <c r="K608" s="47" t="s">
        <v>162</v>
      </c>
      <c r="L608" s="52">
        <v>0.125</v>
      </c>
      <c r="M608" s="52">
        <v>0.05</v>
      </c>
      <c r="N608" s="49"/>
      <c r="O608" s="50" t="s">
        <v>162</v>
      </c>
      <c r="P608" s="46">
        <f t="shared" si="141"/>
        <v>62</v>
      </c>
      <c r="Q608" s="50" t="s">
        <v>162</v>
      </c>
      <c r="R608" s="51">
        <f t="shared" si="142"/>
        <v>1623431.25</v>
      </c>
      <c r="S608" s="32">
        <f>R608/1.11</f>
        <v>1462550.6756756755</v>
      </c>
    </row>
    <row r="609" spans="1:19" s="45" customFormat="1">
      <c r="A609" s="44" t="s">
        <v>583</v>
      </c>
      <c r="B609" s="45" t="s">
        <v>19</v>
      </c>
      <c r="C609" s="46">
        <v>1</v>
      </c>
      <c r="D609" s="47" t="s">
        <v>162</v>
      </c>
      <c r="E609" s="48"/>
      <c r="F609" s="49">
        <v>6</v>
      </c>
      <c r="G609" s="50" t="s">
        <v>34</v>
      </c>
      <c r="H609" s="49">
        <v>12</v>
      </c>
      <c r="I609" s="50" t="s">
        <v>162</v>
      </c>
      <c r="J609" s="51">
        <v>63000</v>
      </c>
      <c r="K609" s="47" t="s">
        <v>162</v>
      </c>
      <c r="L609" s="52">
        <v>0.125</v>
      </c>
      <c r="M609" s="52">
        <v>0.05</v>
      </c>
      <c r="N609" s="49"/>
      <c r="O609" s="50" t="s">
        <v>162</v>
      </c>
      <c r="P609" s="46">
        <f t="shared" si="141"/>
        <v>1</v>
      </c>
      <c r="Q609" s="50" t="s">
        <v>162</v>
      </c>
      <c r="R609" s="51">
        <f t="shared" si="142"/>
        <v>52368.75</v>
      </c>
      <c r="S609" s="32">
        <f>R609/1.11</f>
        <v>47179.054054054053</v>
      </c>
    </row>
    <row r="610" spans="1:19" s="63" customFormat="1">
      <c r="A610" s="72" t="s">
        <v>584</v>
      </c>
      <c r="B610" s="63" t="s">
        <v>19</v>
      </c>
      <c r="C610" s="64"/>
      <c r="D610" s="65" t="s">
        <v>162</v>
      </c>
      <c r="E610" s="66"/>
      <c r="F610" s="67">
        <v>6</v>
      </c>
      <c r="G610" s="68" t="s">
        <v>34</v>
      </c>
      <c r="H610" s="67">
        <v>24</v>
      </c>
      <c r="I610" s="68" t="s">
        <v>162</v>
      </c>
      <c r="J610" s="69"/>
      <c r="K610" s="65" t="s">
        <v>162</v>
      </c>
      <c r="L610" s="70">
        <v>0.1</v>
      </c>
      <c r="M610" s="70">
        <v>0.05</v>
      </c>
      <c r="N610" s="67"/>
      <c r="O610" s="68" t="s">
        <v>162</v>
      </c>
      <c r="P610" s="64">
        <f t="shared" si="141"/>
        <v>0</v>
      </c>
      <c r="Q610" s="68" t="s">
        <v>162</v>
      </c>
      <c r="R610" s="69">
        <f t="shared" si="142"/>
        <v>0</v>
      </c>
      <c r="S610" s="23">
        <f>R610/1.11</f>
        <v>0</v>
      </c>
    </row>
    <row r="611" spans="1:19">
      <c r="S611" s="23"/>
    </row>
    <row r="612" spans="1:19" ht="15.75">
      <c r="A612" s="14" t="s">
        <v>470</v>
      </c>
      <c r="S612" s="23"/>
    </row>
    <row r="613" spans="1:19" s="45" customFormat="1">
      <c r="A613" s="44" t="s">
        <v>471</v>
      </c>
      <c r="B613" s="45" t="s">
        <v>19</v>
      </c>
      <c r="C613" s="46">
        <v>41</v>
      </c>
      <c r="D613" s="47" t="s">
        <v>88</v>
      </c>
      <c r="E613" s="48">
        <f>1+3</f>
        <v>4</v>
      </c>
      <c r="F613" s="49">
        <v>1</v>
      </c>
      <c r="G613" s="50" t="s">
        <v>21</v>
      </c>
      <c r="H613" s="49">
        <v>30</v>
      </c>
      <c r="I613" s="50" t="s">
        <v>88</v>
      </c>
      <c r="J613" s="51">
        <v>104400</v>
      </c>
      <c r="K613" s="47" t="s">
        <v>88</v>
      </c>
      <c r="L613" s="52">
        <v>0.125</v>
      </c>
      <c r="M613" s="52">
        <v>0.05</v>
      </c>
      <c r="N613" s="49">
        <f>30+30+60</f>
        <v>120</v>
      </c>
      <c r="O613" s="50" t="s">
        <v>88</v>
      </c>
      <c r="P613" s="46">
        <f t="shared" ref="P613:P640" si="143">(C613+(E613*F613*H613))-N613</f>
        <v>41</v>
      </c>
      <c r="Q613" s="50" t="s">
        <v>88</v>
      </c>
      <c r="R613" s="51">
        <f t="shared" ref="R613:R640" si="144">P613*(J613-(J613*L613)-((J613-(J613*L613))*M613))</f>
        <v>3558082.5</v>
      </c>
      <c r="S613" s="51">
        <f t="shared" si="134"/>
        <v>3205479.7297297292</v>
      </c>
    </row>
    <row r="614" spans="1:19" s="63" customFormat="1">
      <c r="A614" s="72" t="s">
        <v>726</v>
      </c>
      <c r="B614" s="63" t="s">
        <v>19</v>
      </c>
      <c r="C614" s="64"/>
      <c r="D614" s="65" t="s">
        <v>88</v>
      </c>
      <c r="E614" s="66"/>
      <c r="F614" s="67">
        <v>1</v>
      </c>
      <c r="G614" s="68" t="s">
        <v>21</v>
      </c>
      <c r="H614" s="67">
        <v>30</v>
      </c>
      <c r="I614" s="68" t="s">
        <v>88</v>
      </c>
      <c r="J614" s="69">
        <v>102000</v>
      </c>
      <c r="K614" s="65" t="s">
        <v>88</v>
      </c>
      <c r="L614" s="70">
        <v>0.125</v>
      </c>
      <c r="M614" s="70">
        <v>0.05</v>
      </c>
      <c r="N614" s="67"/>
      <c r="O614" s="68" t="s">
        <v>88</v>
      </c>
      <c r="P614" s="64">
        <f t="shared" si="143"/>
        <v>0</v>
      </c>
      <c r="Q614" s="68" t="s">
        <v>88</v>
      </c>
      <c r="R614" s="69">
        <f t="shared" si="144"/>
        <v>0</v>
      </c>
      <c r="S614" s="69">
        <f t="shared" si="134"/>
        <v>0</v>
      </c>
    </row>
    <row r="615" spans="1:19" s="17" customFormat="1">
      <c r="A615" s="16" t="s">
        <v>472</v>
      </c>
      <c r="B615" s="17" t="s">
        <v>19</v>
      </c>
      <c r="C615" s="18"/>
      <c r="D615" s="19" t="s">
        <v>88</v>
      </c>
      <c r="E615" s="20"/>
      <c r="F615" s="21">
        <v>1</v>
      </c>
      <c r="G615" s="22" t="s">
        <v>21</v>
      </c>
      <c r="H615" s="21">
        <v>30</v>
      </c>
      <c r="I615" s="22" t="s">
        <v>88</v>
      </c>
      <c r="J615" s="23">
        <v>99000</v>
      </c>
      <c r="K615" s="19" t="s">
        <v>88</v>
      </c>
      <c r="L615" s="24">
        <v>0.125</v>
      </c>
      <c r="M615" s="24">
        <v>0.05</v>
      </c>
      <c r="N615" s="21"/>
      <c r="O615" s="22" t="s">
        <v>88</v>
      </c>
      <c r="P615" s="18">
        <f t="shared" si="143"/>
        <v>0</v>
      </c>
      <c r="Q615" s="22" t="s">
        <v>88</v>
      </c>
      <c r="R615" s="23">
        <f t="shared" si="144"/>
        <v>0</v>
      </c>
      <c r="S615" s="23">
        <f t="shared" si="134"/>
        <v>0</v>
      </c>
    </row>
    <row r="616" spans="1:19" s="17" customFormat="1">
      <c r="A616" s="16" t="s">
        <v>473</v>
      </c>
      <c r="B616" s="17" t="s">
        <v>19</v>
      </c>
      <c r="C616" s="18"/>
      <c r="D616" s="19" t="s">
        <v>88</v>
      </c>
      <c r="E616" s="20"/>
      <c r="F616" s="21">
        <v>1</v>
      </c>
      <c r="G616" s="22" t="s">
        <v>21</v>
      </c>
      <c r="H616" s="21">
        <v>30</v>
      </c>
      <c r="I616" s="22" t="s">
        <v>88</v>
      </c>
      <c r="J616" s="23">
        <v>96000</v>
      </c>
      <c r="K616" s="19" t="s">
        <v>88</v>
      </c>
      <c r="L616" s="24">
        <v>0.125</v>
      </c>
      <c r="M616" s="24">
        <v>0.05</v>
      </c>
      <c r="N616" s="21"/>
      <c r="O616" s="22" t="s">
        <v>88</v>
      </c>
      <c r="P616" s="18">
        <f t="shared" si="143"/>
        <v>0</v>
      </c>
      <c r="Q616" s="22" t="s">
        <v>88</v>
      </c>
      <c r="R616" s="23">
        <f t="shared" si="144"/>
        <v>0</v>
      </c>
      <c r="S616" s="23">
        <f t="shared" si="134"/>
        <v>0</v>
      </c>
    </row>
    <row r="617" spans="1:19" s="17" customFormat="1">
      <c r="A617" s="16" t="s">
        <v>474</v>
      </c>
      <c r="B617" s="17" t="s">
        <v>19</v>
      </c>
      <c r="C617" s="18"/>
      <c r="D617" s="19" t="s">
        <v>88</v>
      </c>
      <c r="E617" s="20"/>
      <c r="F617" s="21">
        <v>1</v>
      </c>
      <c r="G617" s="22" t="s">
        <v>21</v>
      </c>
      <c r="H617" s="21">
        <v>30</v>
      </c>
      <c r="I617" s="22" t="s">
        <v>88</v>
      </c>
      <c r="J617" s="23">
        <v>109000</v>
      </c>
      <c r="K617" s="19" t="s">
        <v>88</v>
      </c>
      <c r="L617" s="24">
        <v>0.125</v>
      </c>
      <c r="M617" s="24">
        <v>0.05</v>
      </c>
      <c r="N617" s="21"/>
      <c r="O617" s="22" t="s">
        <v>88</v>
      </c>
      <c r="P617" s="18">
        <f t="shared" si="143"/>
        <v>0</v>
      </c>
      <c r="Q617" s="22" t="s">
        <v>88</v>
      </c>
      <c r="R617" s="23">
        <f t="shared" si="144"/>
        <v>0</v>
      </c>
      <c r="S617" s="23">
        <f t="shared" si="134"/>
        <v>0</v>
      </c>
    </row>
    <row r="618" spans="1:19" s="17" customFormat="1">
      <c r="A618" s="16" t="s">
        <v>840</v>
      </c>
      <c r="B618" s="17" t="s">
        <v>19</v>
      </c>
      <c r="C618" s="18"/>
      <c r="D618" s="19" t="s">
        <v>88</v>
      </c>
      <c r="E618" s="20"/>
      <c r="F618" s="21">
        <v>1</v>
      </c>
      <c r="G618" s="22" t="s">
        <v>21</v>
      </c>
      <c r="H618" s="21">
        <v>30</v>
      </c>
      <c r="I618" s="22" t="s">
        <v>88</v>
      </c>
      <c r="J618" s="23">
        <v>144000</v>
      </c>
      <c r="K618" s="19" t="s">
        <v>88</v>
      </c>
      <c r="L618" s="24">
        <v>0.125</v>
      </c>
      <c r="M618" s="24">
        <v>0.05</v>
      </c>
      <c r="N618" s="21"/>
      <c r="O618" s="22" t="s">
        <v>88</v>
      </c>
      <c r="P618" s="18">
        <f t="shared" si="143"/>
        <v>0</v>
      </c>
      <c r="Q618" s="22" t="s">
        <v>88</v>
      </c>
      <c r="R618" s="23">
        <f t="shared" si="144"/>
        <v>0</v>
      </c>
      <c r="S618" s="23">
        <f t="shared" si="134"/>
        <v>0</v>
      </c>
    </row>
    <row r="619" spans="1:19" s="17" customFormat="1">
      <c r="A619" s="16"/>
      <c r="C619" s="18"/>
      <c r="D619" s="19"/>
      <c r="E619" s="20"/>
      <c r="F619" s="21"/>
      <c r="G619" s="22"/>
      <c r="H619" s="21"/>
      <c r="I619" s="22"/>
      <c r="J619" s="23"/>
      <c r="K619" s="19"/>
      <c r="L619" s="24"/>
      <c r="M619" s="24"/>
      <c r="N619" s="21"/>
      <c r="O619" s="22"/>
      <c r="P619" s="18"/>
      <c r="Q619" s="22"/>
      <c r="R619" s="23"/>
      <c r="S619" s="23"/>
    </row>
    <row r="620" spans="1:19" s="25" customFormat="1">
      <c r="A620" s="94" t="s">
        <v>862</v>
      </c>
      <c r="B620" s="25" t="s">
        <v>26</v>
      </c>
      <c r="C620" s="122"/>
      <c r="D620" s="123" t="s">
        <v>88</v>
      </c>
      <c r="E620" s="124">
        <v>1</v>
      </c>
      <c r="F620" s="125">
        <v>1</v>
      </c>
      <c r="G620" s="126" t="s">
        <v>21</v>
      </c>
      <c r="H620" s="125">
        <v>20</v>
      </c>
      <c r="I620" s="126" t="s">
        <v>88</v>
      </c>
      <c r="J620" s="127">
        <f>2448000/20</f>
        <v>122400</v>
      </c>
      <c r="K620" s="123" t="s">
        <v>88</v>
      </c>
      <c r="L620" s="128"/>
      <c r="M620" s="128">
        <v>0.17</v>
      </c>
      <c r="N620" s="125"/>
      <c r="O620" s="126" t="s">
        <v>88</v>
      </c>
      <c r="P620" s="122">
        <f t="shared" ref="P620" si="145">(C620+(E620*F620*H620))-N620</f>
        <v>20</v>
      </c>
      <c r="Q620" s="126" t="s">
        <v>88</v>
      </c>
      <c r="R620" s="127">
        <f t="shared" ref="R620" si="146">P620*(J620-(J620*L620)-((J620-(J620*L620))*M620))</f>
        <v>2031840</v>
      </c>
      <c r="S620" s="32">
        <f t="shared" ref="S620" si="147">R620/1.11</f>
        <v>1830486.4864864864</v>
      </c>
    </row>
    <row r="621" spans="1:19" s="25" customFormat="1">
      <c r="A621" s="94" t="s">
        <v>475</v>
      </c>
      <c r="B621" s="25" t="s">
        <v>26</v>
      </c>
      <c r="C621" s="122">
        <v>40</v>
      </c>
      <c r="D621" s="123" t="s">
        <v>88</v>
      </c>
      <c r="E621" s="124"/>
      <c r="F621" s="125">
        <v>1</v>
      </c>
      <c r="G621" s="126" t="s">
        <v>21</v>
      </c>
      <c r="H621" s="125">
        <v>20</v>
      </c>
      <c r="I621" s="126" t="s">
        <v>88</v>
      </c>
      <c r="J621" s="127">
        <f>2160000/20</f>
        <v>108000</v>
      </c>
      <c r="K621" s="123" t="s">
        <v>88</v>
      </c>
      <c r="L621" s="128"/>
      <c r="M621" s="128">
        <v>0.17</v>
      </c>
      <c r="N621" s="125"/>
      <c r="O621" s="126" t="s">
        <v>88</v>
      </c>
      <c r="P621" s="122">
        <f t="shared" si="143"/>
        <v>40</v>
      </c>
      <c r="Q621" s="126" t="s">
        <v>88</v>
      </c>
      <c r="R621" s="127">
        <f t="shared" si="144"/>
        <v>3585600</v>
      </c>
      <c r="S621" s="32">
        <f t="shared" si="134"/>
        <v>3230270.2702702698</v>
      </c>
    </row>
    <row r="622" spans="1:19" s="16" customFormat="1">
      <c r="A622" s="93" t="s">
        <v>854</v>
      </c>
      <c r="B622" s="16" t="s">
        <v>26</v>
      </c>
      <c r="C622" s="129"/>
      <c r="D622" s="130" t="s">
        <v>88</v>
      </c>
      <c r="E622" s="131">
        <v>1</v>
      </c>
      <c r="F622" s="132">
        <v>1</v>
      </c>
      <c r="G622" s="133" t="s">
        <v>21</v>
      </c>
      <c r="H622" s="132">
        <v>20</v>
      </c>
      <c r="I622" s="133" t="s">
        <v>88</v>
      </c>
      <c r="J622" s="134">
        <f>2880000/20</f>
        <v>144000</v>
      </c>
      <c r="K622" s="130" t="s">
        <v>88</v>
      </c>
      <c r="L622" s="135"/>
      <c r="M622" s="135">
        <v>0.17</v>
      </c>
      <c r="N622" s="132">
        <v>20</v>
      </c>
      <c r="O622" s="133" t="s">
        <v>88</v>
      </c>
      <c r="P622" s="129">
        <f t="shared" ref="P622" si="148">(C622+(E622*F622*H622))-N622</f>
        <v>0</v>
      </c>
      <c r="Q622" s="133" t="s">
        <v>88</v>
      </c>
      <c r="R622" s="134">
        <f t="shared" ref="R622" si="149">P622*(J622-(J622*L622)-((J622-(J622*L622))*M622))</f>
        <v>0</v>
      </c>
      <c r="S622" s="23">
        <f t="shared" ref="S622" si="150">R622/1.11</f>
        <v>0</v>
      </c>
    </row>
    <row r="623" spans="1:19" s="25" customFormat="1">
      <c r="A623" s="94" t="s">
        <v>731</v>
      </c>
      <c r="B623" s="25" t="s">
        <v>26</v>
      </c>
      <c r="C623" s="122">
        <v>60</v>
      </c>
      <c r="D623" s="123" t="s">
        <v>88</v>
      </c>
      <c r="E623" s="124"/>
      <c r="F623" s="125">
        <v>1</v>
      </c>
      <c r="G623" s="126" t="s">
        <v>21</v>
      </c>
      <c r="H623" s="125">
        <v>20</v>
      </c>
      <c r="I623" s="126" t="s">
        <v>88</v>
      </c>
      <c r="J623" s="127">
        <f>2448000/20</f>
        <v>122400</v>
      </c>
      <c r="K623" s="123" t="s">
        <v>88</v>
      </c>
      <c r="L623" s="128"/>
      <c r="M623" s="128">
        <v>0.17</v>
      </c>
      <c r="N623" s="125"/>
      <c r="O623" s="126" t="s">
        <v>88</v>
      </c>
      <c r="P623" s="122">
        <f t="shared" si="143"/>
        <v>60</v>
      </c>
      <c r="Q623" s="126" t="s">
        <v>88</v>
      </c>
      <c r="R623" s="127">
        <f t="shared" si="144"/>
        <v>6095520</v>
      </c>
      <c r="S623" s="32">
        <f t="shared" si="134"/>
        <v>5491459.4594594594</v>
      </c>
    </row>
    <row r="624" spans="1:19" s="25" customFormat="1">
      <c r="A624" s="94" t="s">
        <v>476</v>
      </c>
      <c r="B624" s="25" t="s">
        <v>26</v>
      </c>
      <c r="C624" s="122"/>
      <c r="D624" s="123" t="s">
        <v>88</v>
      </c>
      <c r="E624" s="124">
        <f>1+1</f>
        <v>2</v>
      </c>
      <c r="F624" s="125">
        <v>1</v>
      </c>
      <c r="G624" s="126" t="s">
        <v>21</v>
      </c>
      <c r="H624" s="125">
        <v>20</v>
      </c>
      <c r="I624" s="126" t="s">
        <v>88</v>
      </c>
      <c r="J624" s="127">
        <f>2112000/20</f>
        <v>105600</v>
      </c>
      <c r="K624" s="123" t="s">
        <v>88</v>
      </c>
      <c r="L624" s="128"/>
      <c r="M624" s="128">
        <v>0.17</v>
      </c>
      <c r="N624" s="125">
        <v>20</v>
      </c>
      <c r="O624" s="126" t="s">
        <v>88</v>
      </c>
      <c r="P624" s="122">
        <f t="shared" si="143"/>
        <v>20</v>
      </c>
      <c r="Q624" s="126" t="s">
        <v>88</v>
      </c>
      <c r="R624" s="127">
        <f t="shared" si="144"/>
        <v>1752960</v>
      </c>
      <c r="S624" s="32">
        <f t="shared" si="134"/>
        <v>1579243.2432432431</v>
      </c>
    </row>
    <row r="625" spans="1:19" s="16" customFormat="1">
      <c r="A625" s="93" t="s">
        <v>477</v>
      </c>
      <c r="B625" s="16" t="s">
        <v>26</v>
      </c>
      <c r="C625" s="129"/>
      <c r="D625" s="130" t="s">
        <v>88</v>
      </c>
      <c r="E625" s="131"/>
      <c r="F625" s="132">
        <v>1</v>
      </c>
      <c r="G625" s="133" t="s">
        <v>21</v>
      </c>
      <c r="H625" s="132">
        <v>20</v>
      </c>
      <c r="I625" s="133" t="s">
        <v>88</v>
      </c>
      <c r="J625" s="134">
        <f>10200*12</f>
        <v>122400</v>
      </c>
      <c r="K625" s="130" t="s">
        <v>88</v>
      </c>
      <c r="L625" s="135"/>
      <c r="M625" s="135">
        <v>0.17</v>
      </c>
      <c r="N625" s="132"/>
      <c r="O625" s="133" t="s">
        <v>88</v>
      </c>
      <c r="P625" s="129">
        <f t="shared" si="143"/>
        <v>0</v>
      </c>
      <c r="Q625" s="133" t="s">
        <v>88</v>
      </c>
      <c r="R625" s="134">
        <f t="shared" si="144"/>
        <v>0</v>
      </c>
      <c r="S625" s="23">
        <f t="shared" si="134"/>
        <v>0</v>
      </c>
    </row>
    <row r="626" spans="1:19" s="25" customFormat="1">
      <c r="A626" s="94" t="s">
        <v>478</v>
      </c>
      <c r="B626" s="25" t="s">
        <v>26</v>
      </c>
      <c r="C626" s="122">
        <v>20</v>
      </c>
      <c r="D626" s="123" t="s">
        <v>88</v>
      </c>
      <c r="E626" s="124"/>
      <c r="F626" s="125">
        <v>1</v>
      </c>
      <c r="G626" s="126" t="s">
        <v>21</v>
      </c>
      <c r="H626" s="125">
        <v>20</v>
      </c>
      <c r="I626" s="126" t="s">
        <v>88</v>
      </c>
      <c r="J626" s="127">
        <f>2256000/20</f>
        <v>112800</v>
      </c>
      <c r="K626" s="123" t="s">
        <v>88</v>
      </c>
      <c r="L626" s="128"/>
      <c r="M626" s="128">
        <v>0.17</v>
      </c>
      <c r="N626" s="125"/>
      <c r="O626" s="126" t="s">
        <v>88</v>
      </c>
      <c r="P626" s="122">
        <f t="shared" si="143"/>
        <v>20</v>
      </c>
      <c r="Q626" s="126" t="s">
        <v>88</v>
      </c>
      <c r="R626" s="127">
        <f t="shared" si="144"/>
        <v>1872480</v>
      </c>
      <c r="S626" s="32">
        <f t="shared" si="134"/>
        <v>1686918.9189189188</v>
      </c>
    </row>
    <row r="627" spans="1:19" s="16" customFormat="1">
      <c r="A627" s="93" t="s">
        <v>479</v>
      </c>
      <c r="B627" s="16" t="s">
        <v>26</v>
      </c>
      <c r="C627" s="129"/>
      <c r="D627" s="130" t="s">
        <v>88</v>
      </c>
      <c r="E627" s="131"/>
      <c r="F627" s="132">
        <v>1</v>
      </c>
      <c r="G627" s="133" t="s">
        <v>21</v>
      </c>
      <c r="H627" s="132">
        <v>20</v>
      </c>
      <c r="I627" s="133" t="s">
        <v>88</v>
      </c>
      <c r="J627" s="134">
        <f>8500*12</f>
        <v>102000</v>
      </c>
      <c r="K627" s="130" t="s">
        <v>88</v>
      </c>
      <c r="L627" s="135"/>
      <c r="M627" s="135">
        <v>0.17</v>
      </c>
      <c r="N627" s="315"/>
      <c r="O627" s="133" t="s">
        <v>88</v>
      </c>
      <c r="P627" s="129">
        <f t="shared" si="143"/>
        <v>0</v>
      </c>
      <c r="Q627" s="133" t="s">
        <v>88</v>
      </c>
      <c r="R627" s="134">
        <f t="shared" si="144"/>
        <v>0</v>
      </c>
      <c r="S627" s="23">
        <f t="shared" si="134"/>
        <v>0</v>
      </c>
    </row>
    <row r="628" spans="1:19" s="16" customFormat="1">
      <c r="A628" s="93" t="s">
        <v>480</v>
      </c>
      <c r="B628" s="16" t="s">
        <v>26</v>
      </c>
      <c r="C628" s="129"/>
      <c r="D628" s="130" t="s">
        <v>88</v>
      </c>
      <c r="E628" s="131"/>
      <c r="F628" s="132">
        <v>1</v>
      </c>
      <c r="G628" s="133" t="s">
        <v>21</v>
      </c>
      <c r="H628" s="132">
        <v>20</v>
      </c>
      <c r="I628" s="133" t="s">
        <v>88</v>
      </c>
      <c r="J628" s="134">
        <v>103200</v>
      </c>
      <c r="K628" s="130" t="s">
        <v>88</v>
      </c>
      <c r="L628" s="135"/>
      <c r="M628" s="135">
        <v>0.17</v>
      </c>
      <c r="N628" s="132"/>
      <c r="O628" s="133" t="s">
        <v>88</v>
      </c>
      <c r="P628" s="129">
        <f t="shared" si="143"/>
        <v>0</v>
      </c>
      <c r="Q628" s="133" t="s">
        <v>88</v>
      </c>
      <c r="R628" s="134">
        <f t="shared" si="144"/>
        <v>0</v>
      </c>
      <c r="S628" s="23">
        <f t="shared" si="134"/>
        <v>0</v>
      </c>
    </row>
    <row r="629" spans="1:19" s="17" customFormat="1">
      <c r="A629" s="16" t="s">
        <v>481</v>
      </c>
      <c r="B629" s="17" t="s">
        <v>26</v>
      </c>
      <c r="C629" s="18"/>
      <c r="D629" s="19" t="s">
        <v>88</v>
      </c>
      <c r="E629" s="20"/>
      <c r="F629" s="21">
        <v>1</v>
      </c>
      <c r="G629" s="22" t="s">
        <v>21</v>
      </c>
      <c r="H629" s="21">
        <v>20</v>
      </c>
      <c r="I629" s="22" t="s">
        <v>88</v>
      </c>
      <c r="J629" s="23">
        <f>1980000/20</f>
        <v>99000</v>
      </c>
      <c r="K629" s="19" t="s">
        <v>88</v>
      </c>
      <c r="L629" s="24"/>
      <c r="M629" s="24">
        <v>0.17</v>
      </c>
      <c r="N629" s="21"/>
      <c r="O629" s="22" t="s">
        <v>88</v>
      </c>
      <c r="P629" s="18">
        <f t="shared" si="143"/>
        <v>0</v>
      </c>
      <c r="Q629" s="22" t="s">
        <v>88</v>
      </c>
      <c r="R629" s="23">
        <f t="shared" si="144"/>
        <v>0</v>
      </c>
      <c r="S629" s="23">
        <f t="shared" si="134"/>
        <v>0</v>
      </c>
    </row>
    <row r="630" spans="1:19" s="44" customFormat="1">
      <c r="A630" s="94" t="s">
        <v>482</v>
      </c>
      <c r="B630" s="44" t="s">
        <v>26</v>
      </c>
      <c r="C630" s="295">
        <v>95</v>
      </c>
      <c r="D630" s="296" t="s">
        <v>88</v>
      </c>
      <c r="E630" s="297">
        <f>1+1</f>
        <v>2</v>
      </c>
      <c r="F630" s="298">
        <v>1</v>
      </c>
      <c r="G630" s="110" t="s">
        <v>21</v>
      </c>
      <c r="H630" s="298">
        <v>20</v>
      </c>
      <c r="I630" s="110" t="s">
        <v>88</v>
      </c>
      <c r="J630" s="299">
        <f>2208000/20</f>
        <v>110400</v>
      </c>
      <c r="K630" s="296" t="s">
        <v>88</v>
      </c>
      <c r="L630" s="300"/>
      <c r="M630" s="300">
        <v>0.17</v>
      </c>
      <c r="N630" s="298">
        <v>20</v>
      </c>
      <c r="O630" s="110" t="s">
        <v>88</v>
      </c>
      <c r="P630" s="295">
        <f t="shared" si="143"/>
        <v>115</v>
      </c>
      <c r="Q630" s="110" t="s">
        <v>88</v>
      </c>
      <c r="R630" s="299">
        <f t="shared" si="144"/>
        <v>10537680</v>
      </c>
      <c r="S630" s="51">
        <f t="shared" si="134"/>
        <v>9493405.405405404</v>
      </c>
    </row>
    <row r="631" spans="1:19" s="44" customFormat="1">
      <c r="A631" s="94" t="s">
        <v>483</v>
      </c>
      <c r="B631" s="44" t="s">
        <v>26</v>
      </c>
      <c r="C631" s="295">
        <v>30</v>
      </c>
      <c r="D631" s="296" t="s">
        <v>88</v>
      </c>
      <c r="E631" s="297">
        <f>2+1</f>
        <v>3</v>
      </c>
      <c r="F631" s="298">
        <v>1</v>
      </c>
      <c r="G631" s="110" t="s">
        <v>21</v>
      </c>
      <c r="H631" s="298">
        <v>20</v>
      </c>
      <c r="I631" s="110" t="s">
        <v>88</v>
      </c>
      <c r="J631" s="299">
        <f>2208000/20</f>
        <v>110400</v>
      </c>
      <c r="K631" s="296" t="s">
        <v>88</v>
      </c>
      <c r="L631" s="300"/>
      <c r="M631" s="300">
        <v>0.17</v>
      </c>
      <c r="N631" s="298">
        <v>20</v>
      </c>
      <c r="O631" s="110" t="s">
        <v>88</v>
      </c>
      <c r="P631" s="295">
        <f t="shared" si="143"/>
        <v>70</v>
      </c>
      <c r="Q631" s="110" t="s">
        <v>88</v>
      </c>
      <c r="R631" s="299">
        <f t="shared" si="144"/>
        <v>6414240</v>
      </c>
      <c r="S631" s="51">
        <f t="shared" si="134"/>
        <v>5778594.5945945941</v>
      </c>
    </row>
    <row r="632" spans="1:19" s="25" customFormat="1">
      <c r="A632" s="94" t="s">
        <v>484</v>
      </c>
      <c r="B632" s="25" t="s">
        <v>26</v>
      </c>
      <c r="C632" s="122">
        <v>19</v>
      </c>
      <c r="D632" s="123" t="s">
        <v>88</v>
      </c>
      <c r="E632" s="124"/>
      <c r="F632" s="125">
        <v>1</v>
      </c>
      <c r="G632" s="126" t="s">
        <v>21</v>
      </c>
      <c r="H632" s="125">
        <v>20</v>
      </c>
      <c r="I632" s="126" t="s">
        <v>88</v>
      </c>
      <c r="J632" s="127">
        <f>2112000/20</f>
        <v>105600</v>
      </c>
      <c r="K632" s="123" t="s">
        <v>88</v>
      </c>
      <c r="L632" s="128"/>
      <c r="M632" s="128">
        <v>0.17</v>
      </c>
      <c r="N632" s="125"/>
      <c r="O632" s="126" t="s">
        <v>88</v>
      </c>
      <c r="P632" s="122">
        <f t="shared" si="143"/>
        <v>19</v>
      </c>
      <c r="Q632" s="126" t="s">
        <v>88</v>
      </c>
      <c r="R632" s="127">
        <f t="shared" si="144"/>
        <v>1665312</v>
      </c>
      <c r="S632" s="32">
        <f t="shared" si="134"/>
        <v>1500281.0810810809</v>
      </c>
    </row>
    <row r="633" spans="1:19" s="16" customFormat="1">
      <c r="A633" s="93" t="s">
        <v>485</v>
      </c>
      <c r="B633" s="16" t="s">
        <v>26</v>
      </c>
      <c r="C633" s="129"/>
      <c r="D633" s="130" t="s">
        <v>88</v>
      </c>
      <c r="E633" s="131"/>
      <c r="F633" s="132">
        <v>1</v>
      </c>
      <c r="G633" s="133" t="s">
        <v>21</v>
      </c>
      <c r="H633" s="132">
        <v>20</v>
      </c>
      <c r="I633" s="133" t="s">
        <v>88</v>
      </c>
      <c r="J633" s="134">
        <f>2160000/20</f>
        <v>108000</v>
      </c>
      <c r="K633" s="130" t="s">
        <v>88</v>
      </c>
      <c r="L633" s="135"/>
      <c r="M633" s="135">
        <v>0.17</v>
      </c>
      <c r="N633" s="132"/>
      <c r="O633" s="133" t="s">
        <v>88</v>
      </c>
      <c r="P633" s="129">
        <f t="shared" si="143"/>
        <v>0</v>
      </c>
      <c r="Q633" s="133" t="s">
        <v>88</v>
      </c>
      <c r="R633" s="134">
        <f t="shared" si="144"/>
        <v>0</v>
      </c>
      <c r="S633" s="23">
        <f t="shared" si="134"/>
        <v>0</v>
      </c>
    </row>
    <row r="634" spans="1:19" s="25" customFormat="1">
      <c r="A634" s="94" t="s">
        <v>486</v>
      </c>
      <c r="B634" s="25" t="s">
        <v>26</v>
      </c>
      <c r="C634" s="122"/>
      <c r="D634" s="123" t="s">
        <v>88</v>
      </c>
      <c r="E634" s="124">
        <f>1+1</f>
        <v>2</v>
      </c>
      <c r="F634" s="125">
        <v>1</v>
      </c>
      <c r="G634" s="126" t="s">
        <v>21</v>
      </c>
      <c r="H634" s="125">
        <v>20</v>
      </c>
      <c r="I634" s="126" t="s">
        <v>88</v>
      </c>
      <c r="J634" s="127">
        <f>2160000/20</f>
        <v>108000</v>
      </c>
      <c r="K634" s="123" t="s">
        <v>88</v>
      </c>
      <c r="L634" s="128"/>
      <c r="M634" s="128">
        <v>0.17</v>
      </c>
      <c r="N634" s="125"/>
      <c r="O634" s="126" t="s">
        <v>88</v>
      </c>
      <c r="P634" s="122">
        <f t="shared" si="143"/>
        <v>40</v>
      </c>
      <c r="Q634" s="126" t="s">
        <v>88</v>
      </c>
      <c r="R634" s="127">
        <f t="shared" si="144"/>
        <v>3585600</v>
      </c>
      <c r="S634" s="32">
        <f t="shared" si="134"/>
        <v>3230270.2702702698</v>
      </c>
    </row>
    <row r="635" spans="1:19" s="25" customFormat="1">
      <c r="A635" s="94" t="s">
        <v>793</v>
      </c>
      <c r="B635" s="25" t="s">
        <v>26</v>
      </c>
      <c r="C635" s="122"/>
      <c r="D635" s="123" t="s">
        <v>88</v>
      </c>
      <c r="E635" s="124">
        <f>1+1</f>
        <v>2</v>
      </c>
      <c r="F635" s="125">
        <v>1</v>
      </c>
      <c r="G635" s="126" t="s">
        <v>21</v>
      </c>
      <c r="H635" s="125">
        <v>20</v>
      </c>
      <c r="I635" s="126" t="s">
        <v>88</v>
      </c>
      <c r="J635" s="127">
        <f>2256000/20</f>
        <v>112800</v>
      </c>
      <c r="K635" s="123" t="s">
        <v>88</v>
      </c>
      <c r="L635" s="128"/>
      <c r="M635" s="128">
        <v>0.17</v>
      </c>
      <c r="N635" s="125">
        <v>20</v>
      </c>
      <c r="O635" s="126" t="s">
        <v>88</v>
      </c>
      <c r="P635" s="122">
        <f t="shared" si="143"/>
        <v>20</v>
      </c>
      <c r="Q635" s="126" t="s">
        <v>88</v>
      </c>
      <c r="R635" s="127">
        <f t="shared" si="144"/>
        <v>1872480</v>
      </c>
      <c r="S635" s="32">
        <f t="shared" si="134"/>
        <v>1686918.9189189188</v>
      </c>
    </row>
    <row r="636" spans="1:19" s="25" customFormat="1">
      <c r="A636" s="94" t="s">
        <v>487</v>
      </c>
      <c r="B636" s="25" t="s">
        <v>26</v>
      </c>
      <c r="C636" s="122">
        <v>2</v>
      </c>
      <c r="D636" s="123" t="s">
        <v>88</v>
      </c>
      <c r="E636" s="124"/>
      <c r="F636" s="125">
        <v>1</v>
      </c>
      <c r="G636" s="126" t="s">
        <v>21</v>
      </c>
      <c r="H636" s="125">
        <v>20</v>
      </c>
      <c r="I636" s="126" t="s">
        <v>88</v>
      </c>
      <c r="J636" s="127">
        <f>2112000/20</f>
        <v>105600</v>
      </c>
      <c r="K636" s="123" t="s">
        <v>88</v>
      </c>
      <c r="L636" s="128"/>
      <c r="M636" s="128">
        <v>0.17</v>
      </c>
      <c r="N636" s="125"/>
      <c r="O636" s="126" t="s">
        <v>88</v>
      </c>
      <c r="P636" s="122">
        <f t="shared" si="143"/>
        <v>2</v>
      </c>
      <c r="Q636" s="126" t="s">
        <v>88</v>
      </c>
      <c r="R636" s="127">
        <f t="shared" si="144"/>
        <v>175296</v>
      </c>
      <c r="S636" s="32">
        <f t="shared" si="134"/>
        <v>157924.32432432432</v>
      </c>
    </row>
    <row r="637" spans="1:19" s="16" customFormat="1">
      <c r="A637" s="93" t="s">
        <v>488</v>
      </c>
      <c r="B637" s="16" t="s">
        <v>26</v>
      </c>
      <c r="C637" s="129"/>
      <c r="D637" s="130" t="s">
        <v>88</v>
      </c>
      <c r="E637" s="131"/>
      <c r="F637" s="132">
        <v>1</v>
      </c>
      <c r="G637" s="133" t="s">
        <v>21</v>
      </c>
      <c r="H637" s="132">
        <v>20</v>
      </c>
      <c r="I637" s="133" t="s">
        <v>88</v>
      </c>
      <c r="J637" s="134">
        <f>2352000/20</f>
        <v>117600</v>
      </c>
      <c r="K637" s="130" t="s">
        <v>88</v>
      </c>
      <c r="L637" s="135"/>
      <c r="M637" s="135">
        <v>0.17</v>
      </c>
      <c r="N637" s="132"/>
      <c r="O637" s="133" t="s">
        <v>88</v>
      </c>
      <c r="P637" s="129">
        <f t="shared" si="143"/>
        <v>0</v>
      </c>
      <c r="Q637" s="133" t="s">
        <v>88</v>
      </c>
      <c r="R637" s="134">
        <f t="shared" si="144"/>
        <v>0</v>
      </c>
      <c r="S637" s="23">
        <f t="shared" si="134"/>
        <v>0</v>
      </c>
    </row>
    <row r="638" spans="1:19" s="16" customFormat="1">
      <c r="A638" s="93" t="s">
        <v>855</v>
      </c>
      <c r="B638" s="16" t="s">
        <v>26</v>
      </c>
      <c r="C638" s="129"/>
      <c r="D638" s="130" t="s">
        <v>88</v>
      </c>
      <c r="E638" s="131">
        <v>3</v>
      </c>
      <c r="F638" s="132">
        <v>1</v>
      </c>
      <c r="G638" s="133" t="s">
        <v>21</v>
      </c>
      <c r="H638" s="132">
        <v>20</v>
      </c>
      <c r="I638" s="133" t="s">
        <v>88</v>
      </c>
      <c r="J638" s="134">
        <f>2256000/20</f>
        <v>112800</v>
      </c>
      <c r="K638" s="130" t="s">
        <v>88</v>
      </c>
      <c r="L638" s="135"/>
      <c r="M638" s="135">
        <v>0.17</v>
      </c>
      <c r="N638" s="132">
        <v>60</v>
      </c>
      <c r="O638" s="133" t="s">
        <v>88</v>
      </c>
      <c r="P638" s="129">
        <f t="shared" ref="P638" si="151">(C638+(E638*F638*H638))-N638</f>
        <v>0</v>
      </c>
      <c r="Q638" s="133" t="s">
        <v>88</v>
      </c>
      <c r="R638" s="134">
        <f t="shared" ref="R638" si="152">P638*(J638-(J638*L638)-((J638-(J638*L638))*M638))</f>
        <v>0</v>
      </c>
      <c r="S638" s="23">
        <f t="shared" ref="S638" si="153">R638/1.11</f>
        <v>0</v>
      </c>
    </row>
    <row r="639" spans="1:19" s="16" customFormat="1">
      <c r="A639" s="93"/>
      <c r="C639" s="129"/>
      <c r="D639" s="130"/>
      <c r="E639" s="131"/>
      <c r="F639" s="132"/>
      <c r="G639" s="133"/>
      <c r="H639" s="132"/>
      <c r="I639" s="133"/>
      <c r="J639" s="134"/>
      <c r="K639" s="130"/>
      <c r="L639" s="135"/>
      <c r="M639" s="135"/>
      <c r="N639" s="132"/>
      <c r="O639" s="133"/>
      <c r="P639" s="129"/>
      <c r="Q639" s="133"/>
      <c r="R639" s="134"/>
      <c r="S639" s="23"/>
    </row>
    <row r="640" spans="1:19" s="25" customFormat="1">
      <c r="A640" s="94" t="s">
        <v>489</v>
      </c>
      <c r="B640" s="25" t="s">
        <v>192</v>
      </c>
      <c r="C640" s="122">
        <v>191</v>
      </c>
      <c r="D640" s="123" t="s">
        <v>88</v>
      </c>
      <c r="E640" s="124"/>
      <c r="F640" s="125">
        <v>1</v>
      </c>
      <c r="G640" s="126" t="s">
        <v>21</v>
      </c>
      <c r="H640" s="125">
        <v>30</v>
      </c>
      <c r="I640" s="126" t="s">
        <v>88</v>
      </c>
      <c r="J640" s="127">
        <v>155000</v>
      </c>
      <c r="K640" s="123" t="s">
        <v>88</v>
      </c>
      <c r="L640" s="128"/>
      <c r="M640" s="128"/>
      <c r="N640" s="125">
        <f>3+1+1</f>
        <v>5</v>
      </c>
      <c r="O640" s="126" t="s">
        <v>88</v>
      </c>
      <c r="P640" s="122">
        <f t="shared" si="143"/>
        <v>186</v>
      </c>
      <c r="Q640" s="126" t="s">
        <v>88</v>
      </c>
      <c r="R640" s="127">
        <f t="shared" si="144"/>
        <v>28830000</v>
      </c>
      <c r="S640" s="32">
        <f t="shared" si="134"/>
        <v>25972972.97297297</v>
      </c>
    </row>
    <row r="641" spans="1:19" s="25" customFormat="1">
      <c r="A641" s="94"/>
      <c r="C641" s="122"/>
      <c r="D641" s="123"/>
      <c r="E641" s="124"/>
      <c r="F641" s="125"/>
      <c r="G641" s="126"/>
      <c r="H641" s="125"/>
      <c r="I641" s="126"/>
      <c r="J641" s="127"/>
      <c r="K641" s="123"/>
      <c r="L641" s="128"/>
      <c r="M641" s="128"/>
      <c r="N641" s="125"/>
      <c r="O641" s="126"/>
      <c r="P641" s="122"/>
      <c r="Q641" s="126"/>
      <c r="R641" s="127"/>
      <c r="S641" s="32"/>
    </row>
    <row r="642" spans="1:19">
      <c r="A642" s="15" t="s">
        <v>490</v>
      </c>
      <c r="S642" s="23"/>
    </row>
    <row r="643" spans="1:19">
      <c r="A643" s="34" t="s">
        <v>491</v>
      </c>
      <c r="B643" s="2" t="s">
        <v>192</v>
      </c>
      <c r="C643" s="3">
        <v>106</v>
      </c>
      <c r="D643" s="4" t="s">
        <v>34</v>
      </c>
      <c r="F643" s="6">
        <v>1</v>
      </c>
      <c r="G643" s="7" t="s">
        <v>21</v>
      </c>
      <c r="H643" s="6">
        <v>40</v>
      </c>
      <c r="I643" s="7" t="s">
        <v>34</v>
      </c>
      <c r="J643" s="8">
        <v>33600</v>
      </c>
      <c r="K643" s="4" t="s">
        <v>34</v>
      </c>
      <c r="O643" s="7" t="s">
        <v>34</v>
      </c>
      <c r="P643" s="3">
        <f>(C643+(E643*F643*H643))-N643</f>
        <v>106</v>
      </c>
      <c r="Q643" s="7" t="s">
        <v>34</v>
      </c>
      <c r="R643" s="8">
        <f>P643*(J643-(J643*L643)-((J643-(J643*L643))*M643))</f>
        <v>3561600</v>
      </c>
      <c r="S643" s="32">
        <f t="shared" si="134"/>
        <v>3208648.6486486485</v>
      </c>
    </row>
    <row r="644" spans="1:19">
      <c r="A644" s="34" t="s">
        <v>492</v>
      </c>
      <c r="B644" s="2" t="s">
        <v>192</v>
      </c>
      <c r="C644" s="3">
        <v>200</v>
      </c>
      <c r="D644" s="4" t="s">
        <v>34</v>
      </c>
      <c r="F644" s="6">
        <v>1</v>
      </c>
      <c r="G644" s="7" t="s">
        <v>21</v>
      </c>
      <c r="H644" s="6">
        <v>40</v>
      </c>
      <c r="I644" s="7" t="s">
        <v>34</v>
      </c>
      <c r="J644" s="8">
        <v>33600</v>
      </c>
      <c r="K644" s="4" t="s">
        <v>34</v>
      </c>
      <c r="O644" s="7" t="s">
        <v>34</v>
      </c>
      <c r="P644" s="3">
        <f>(C644+(E644*F644*H644))-N644</f>
        <v>200</v>
      </c>
      <c r="Q644" s="7" t="s">
        <v>34</v>
      </c>
      <c r="R644" s="8">
        <f>P644*(J644-(J644*L644)-((J644-(J644*L644))*M644))</f>
        <v>6720000</v>
      </c>
      <c r="S644" s="32">
        <f t="shared" si="134"/>
        <v>6054054.0540540535</v>
      </c>
    </row>
    <row r="645" spans="1:19">
      <c r="A645" s="34" t="s">
        <v>493</v>
      </c>
      <c r="B645" s="2" t="s">
        <v>192</v>
      </c>
      <c r="C645" s="3">
        <v>402</v>
      </c>
      <c r="D645" s="4" t="s">
        <v>34</v>
      </c>
      <c r="F645" s="6">
        <v>1</v>
      </c>
      <c r="G645" s="7" t="s">
        <v>21</v>
      </c>
      <c r="H645" s="6">
        <v>40</v>
      </c>
      <c r="I645" s="7" t="s">
        <v>34</v>
      </c>
      <c r="J645" s="8">
        <v>33600</v>
      </c>
      <c r="K645" s="4" t="s">
        <v>34</v>
      </c>
      <c r="O645" s="7" t="s">
        <v>34</v>
      </c>
      <c r="P645" s="3">
        <f>(C645+(E645*F645*H645))-N645</f>
        <v>402</v>
      </c>
      <c r="Q645" s="7" t="s">
        <v>34</v>
      </c>
      <c r="R645" s="8">
        <f>P645*(J645-(J645*L645)-((J645-(J645*L645))*M645))</f>
        <v>13507200</v>
      </c>
      <c r="S645" s="32">
        <f t="shared" si="134"/>
        <v>12168648.648648648</v>
      </c>
    </row>
    <row r="646" spans="1:19" s="17" customFormat="1">
      <c r="A646" s="16" t="s">
        <v>494</v>
      </c>
      <c r="B646" s="17" t="s">
        <v>192</v>
      </c>
      <c r="C646" s="18"/>
      <c r="D646" s="19" t="s">
        <v>34</v>
      </c>
      <c r="E646" s="20"/>
      <c r="F646" s="21">
        <v>1</v>
      </c>
      <c r="G646" s="22" t="s">
        <v>21</v>
      </c>
      <c r="H646" s="21">
        <v>40</v>
      </c>
      <c r="I646" s="22" t="s">
        <v>34</v>
      </c>
      <c r="J646" s="23">
        <v>33600</v>
      </c>
      <c r="K646" s="19" t="s">
        <v>34</v>
      </c>
      <c r="L646" s="24"/>
      <c r="M646" s="24"/>
      <c r="N646" s="21"/>
      <c r="O646" s="22" t="s">
        <v>34</v>
      </c>
      <c r="P646" s="18">
        <f>(C646+(E646*F646*H646))-N646</f>
        <v>0</v>
      </c>
      <c r="Q646" s="22" t="s">
        <v>34</v>
      </c>
      <c r="R646" s="23">
        <f>P646*(J646-(J646*L646)-((J646-(J646*L646))*M646))</f>
        <v>0</v>
      </c>
      <c r="S646" s="23">
        <f t="shared" si="134"/>
        <v>0</v>
      </c>
    </row>
    <row r="647" spans="1:19" s="17" customFormat="1">
      <c r="A647" s="16" t="s">
        <v>495</v>
      </c>
      <c r="B647" s="17" t="s">
        <v>192</v>
      </c>
      <c r="C647" s="18">
        <v>3</v>
      </c>
      <c r="D647" s="19" t="s">
        <v>34</v>
      </c>
      <c r="E647" s="20"/>
      <c r="F647" s="21">
        <v>1</v>
      </c>
      <c r="G647" s="22" t="s">
        <v>21</v>
      </c>
      <c r="H647" s="21">
        <v>24</v>
      </c>
      <c r="I647" s="22" t="s">
        <v>34</v>
      </c>
      <c r="J647" s="23">
        <v>38400</v>
      </c>
      <c r="K647" s="19" t="s">
        <v>34</v>
      </c>
      <c r="L647" s="24"/>
      <c r="M647" s="24"/>
      <c r="N647" s="21">
        <v>48</v>
      </c>
      <c r="O647" s="22" t="s">
        <v>34</v>
      </c>
      <c r="P647" s="18">
        <f>(C647+(E647*F647*H647))-N647</f>
        <v>-45</v>
      </c>
      <c r="Q647" s="22" t="s">
        <v>34</v>
      </c>
      <c r="R647" s="23">
        <f>P647*(J647-(J647*L647)-((J647-(J647*L647))*M647))</f>
        <v>-1728000</v>
      </c>
      <c r="S647" s="23">
        <f t="shared" si="134"/>
        <v>-1556756.7567567567</v>
      </c>
    </row>
    <row r="648" spans="1:19">
      <c r="S648" s="32"/>
    </row>
    <row r="649" spans="1:19">
      <c r="A649" s="15" t="s">
        <v>496</v>
      </c>
      <c r="S649" s="23"/>
    </row>
    <row r="650" spans="1:19" s="17" customFormat="1">
      <c r="A650" s="137" t="s">
        <v>497</v>
      </c>
      <c r="B650" s="17" t="s">
        <v>19</v>
      </c>
      <c r="C650" s="18"/>
      <c r="D650" s="19" t="s">
        <v>43</v>
      </c>
      <c r="E650" s="20"/>
      <c r="F650" s="21">
        <v>12</v>
      </c>
      <c r="G650" s="22" t="s">
        <v>88</v>
      </c>
      <c r="H650" s="21">
        <v>12</v>
      </c>
      <c r="I650" s="22" t="s">
        <v>43</v>
      </c>
      <c r="J650" s="23">
        <f>240000/12</f>
        <v>20000</v>
      </c>
      <c r="K650" s="19" t="s">
        <v>43</v>
      </c>
      <c r="L650" s="24">
        <v>0.125</v>
      </c>
      <c r="M650" s="24">
        <v>0.05</v>
      </c>
      <c r="N650" s="21"/>
      <c r="O650" s="22" t="s">
        <v>43</v>
      </c>
      <c r="P650" s="18">
        <f t="shared" ref="P650:P651" si="154">(C650+(E650*F650*H650))-N650</f>
        <v>0</v>
      </c>
      <c r="Q650" s="22" t="s">
        <v>43</v>
      </c>
      <c r="R650" s="23">
        <f t="shared" ref="R650:R651" si="155">P650*(J650-(J650*L650)-((J650-(J650*L650))*M650))</f>
        <v>0</v>
      </c>
      <c r="S650" s="23">
        <f t="shared" ref="S650:S651" si="156">R650/1.11</f>
        <v>0</v>
      </c>
    </row>
    <row r="651" spans="1:19" s="17" customFormat="1">
      <c r="A651" s="137" t="s">
        <v>498</v>
      </c>
      <c r="B651" s="17" t="s">
        <v>26</v>
      </c>
      <c r="C651" s="18"/>
      <c r="D651" s="19" t="s">
        <v>43</v>
      </c>
      <c r="E651" s="20"/>
      <c r="F651" s="21">
        <v>12</v>
      </c>
      <c r="G651" s="22" t="s">
        <v>34</v>
      </c>
      <c r="H651" s="21">
        <v>6</v>
      </c>
      <c r="I651" s="22" t="s">
        <v>43</v>
      </c>
      <c r="J651" s="23">
        <v>21000</v>
      </c>
      <c r="K651" s="19" t="s">
        <v>43</v>
      </c>
      <c r="L651" s="24"/>
      <c r="M651" s="24">
        <v>0.17</v>
      </c>
      <c r="N651" s="21"/>
      <c r="O651" s="22" t="s">
        <v>43</v>
      </c>
      <c r="P651" s="18">
        <f t="shared" si="154"/>
        <v>0</v>
      </c>
      <c r="Q651" s="22" t="s">
        <v>43</v>
      </c>
      <c r="R651" s="23">
        <f t="shared" si="155"/>
        <v>0</v>
      </c>
      <c r="S651" s="23">
        <f t="shared" si="156"/>
        <v>0</v>
      </c>
    </row>
    <row r="652" spans="1:19" s="17" customFormat="1">
      <c r="A652" s="137"/>
      <c r="C652" s="18"/>
      <c r="D652" s="19"/>
      <c r="E652" s="20"/>
      <c r="F652" s="21"/>
      <c r="G652" s="22"/>
      <c r="H652" s="21"/>
      <c r="I652" s="22"/>
      <c r="J652" s="23"/>
      <c r="K652" s="19"/>
      <c r="L652" s="24"/>
      <c r="M652" s="24"/>
      <c r="N652" s="21"/>
      <c r="O652" s="22"/>
      <c r="P652" s="18"/>
      <c r="Q652" s="22"/>
      <c r="R652" s="23"/>
      <c r="S652" s="23"/>
    </row>
    <row r="653" spans="1:19">
      <c r="A653" s="15" t="s">
        <v>499</v>
      </c>
      <c r="S653" s="23"/>
    </row>
    <row r="654" spans="1:19" s="17" customFormat="1">
      <c r="A654" s="137" t="s">
        <v>500</v>
      </c>
      <c r="B654" s="17" t="s">
        <v>19</v>
      </c>
      <c r="C654" s="18"/>
      <c r="D654" s="19" t="s">
        <v>43</v>
      </c>
      <c r="E654" s="20"/>
      <c r="F654" s="21">
        <v>1</v>
      </c>
      <c r="G654" s="22" t="s">
        <v>21</v>
      </c>
      <c r="H654" s="21">
        <v>144</v>
      </c>
      <c r="I654" s="22" t="s">
        <v>43</v>
      </c>
      <c r="J654" s="23">
        <v>49200</v>
      </c>
      <c r="K654" s="19" t="s">
        <v>43</v>
      </c>
      <c r="L654" s="24">
        <v>0.125</v>
      </c>
      <c r="M654" s="24">
        <v>0.05</v>
      </c>
      <c r="N654" s="21"/>
      <c r="O654" s="22" t="s">
        <v>43</v>
      </c>
      <c r="P654" s="18">
        <f t="shared" ref="P654:P669" si="157">(C654+(E654*F654*H654))-N654</f>
        <v>0</v>
      </c>
      <c r="Q654" s="22" t="s">
        <v>43</v>
      </c>
      <c r="R654" s="23">
        <f t="shared" ref="R654:R669" si="158">P654*(J654-(J654*L654)-((J654-(J654*L654))*M654))</f>
        <v>0</v>
      </c>
      <c r="S654" s="23">
        <f t="shared" si="134"/>
        <v>0</v>
      </c>
    </row>
    <row r="655" spans="1:19" s="45" customFormat="1">
      <c r="A655" s="138" t="s">
        <v>501</v>
      </c>
      <c r="B655" s="45" t="s">
        <v>19</v>
      </c>
      <c r="C655" s="46">
        <v>5</v>
      </c>
      <c r="D655" s="47" t="s">
        <v>43</v>
      </c>
      <c r="E655" s="48">
        <f>1+1</f>
        <v>2</v>
      </c>
      <c r="F655" s="49">
        <v>1</v>
      </c>
      <c r="G655" s="50" t="s">
        <v>21</v>
      </c>
      <c r="H655" s="49">
        <v>120</v>
      </c>
      <c r="I655" s="50" t="s">
        <v>43</v>
      </c>
      <c r="J655" s="51">
        <v>30600</v>
      </c>
      <c r="K655" s="47" t="s">
        <v>43</v>
      </c>
      <c r="L655" s="52">
        <v>0.125</v>
      </c>
      <c r="M655" s="52">
        <v>0.05</v>
      </c>
      <c r="N655" s="49">
        <f>120+120</f>
        <v>240</v>
      </c>
      <c r="O655" s="50" t="s">
        <v>43</v>
      </c>
      <c r="P655" s="46">
        <f t="shared" si="157"/>
        <v>5</v>
      </c>
      <c r="Q655" s="50" t="s">
        <v>43</v>
      </c>
      <c r="R655" s="51">
        <f t="shared" si="158"/>
        <v>127181.25</v>
      </c>
      <c r="S655" s="51">
        <f t="shared" si="134"/>
        <v>114577.70270270269</v>
      </c>
    </row>
    <row r="656" spans="1:19" s="26" customFormat="1">
      <c r="A656" s="138" t="s">
        <v>502</v>
      </c>
      <c r="B656" s="26" t="s">
        <v>19</v>
      </c>
      <c r="C656" s="27">
        <v>108</v>
      </c>
      <c r="D656" s="28" t="s">
        <v>43</v>
      </c>
      <c r="E656" s="29"/>
      <c r="F656" s="30">
        <v>1</v>
      </c>
      <c r="G656" s="31" t="s">
        <v>21</v>
      </c>
      <c r="H656" s="30">
        <v>144</v>
      </c>
      <c r="I656" s="31" t="s">
        <v>43</v>
      </c>
      <c r="J656" s="32">
        <v>23400</v>
      </c>
      <c r="K656" s="28" t="s">
        <v>43</v>
      </c>
      <c r="L656" s="33">
        <v>0.125</v>
      </c>
      <c r="M656" s="33">
        <v>0.05</v>
      </c>
      <c r="N656" s="30"/>
      <c r="O656" s="31" t="s">
        <v>43</v>
      </c>
      <c r="P656" s="27">
        <f t="shared" si="157"/>
        <v>108</v>
      </c>
      <c r="Q656" s="31" t="s">
        <v>43</v>
      </c>
      <c r="R656" s="32">
        <f t="shared" si="158"/>
        <v>2100735</v>
      </c>
      <c r="S656" s="32">
        <f t="shared" si="134"/>
        <v>1892554.054054054</v>
      </c>
    </row>
    <row r="657" spans="1:19" s="17" customFormat="1">
      <c r="A657" s="137" t="s">
        <v>503</v>
      </c>
      <c r="B657" s="17" t="s">
        <v>19</v>
      </c>
      <c r="C657" s="18"/>
      <c r="D657" s="19" t="s">
        <v>43</v>
      </c>
      <c r="E657" s="20"/>
      <c r="F657" s="21">
        <v>1</v>
      </c>
      <c r="G657" s="22" t="s">
        <v>21</v>
      </c>
      <c r="H657" s="21">
        <v>144</v>
      </c>
      <c r="I657" s="22" t="s">
        <v>43</v>
      </c>
      <c r="J657" s="23">
        <v>40800</v>
      </c>
      <c r="K657" s="19" t="s">
        <v>43</v>
      </c>
      <c r="L657" s="24">
        <v>0.125</v>
      </c>
      <c r="M657" s="24">
        <v>0.05</v>
      </c>
      <c r="N657" s="21"/>
      <c r="O657" s="22" t="s">
        <v>43</v>
      </c>
      <c r="P657" s="18">
        <f t="shared" si="157"/>
        <v>0</v>
      </c>
      <c r="Q657" s="22" t="s">
        <v>43</v>
      </c>
      <c r="R657" s="23">
        <f t="shared" si="158"/>
        <v>0</v>
      </c>
      <c r="S657" s="23">
        <f t="shared" si="134"/>
        <v>0</v>
      </c>
    </row>
    <row r="658" spans="1:19" s="26" customFormat="1">
      <c r="A658" s="138" t="s">
        <v>841</v>
      </c>
      <c r="B658" s="26" t="s">
        <v>19</v>
      </c>
      <c r="C658" s="27">
        <v>144</v>
      </c>
      <c r="D658" s="28" t="s">
        <v>43</v>
      </c>
      <c r="E658" s="29"/>
      <c r="F658" s="30">
        <v>1</v>
      </c>
      <c r="G658" s="31" t="s">
        <v>21</v>
      </c>
      <c r="H658" s="30">
        <v>144</v>
      </c>
      <c r="I658" s="31" t="s">
        <v>43</v>
      </c>
      <c r="J658" s="32">
        <v>40800</v>
      </c>
      <c r="K658" s="28" t="s">
        <v>43</v>
      </c>
      <c r="L658" s="33">
        <v>0.125</v>
      </c>
      <c r="M658" s="33">
        <v>0.05</v>
      </c>
      <c r="N658" s="30"/>
      <c r="O658" s="31" t="s">
        <v>43</v>
      </c>
      <c r="P658" s="27">
        <f t="shared" si="157"/>
        <v>144</v>
      </c>
      <c r="Q658" s="31" t="s">
        <v>43</v>
      </c>
      <c r="R658" s="32">
        <f t="shared" si="158"/>
        <v>4883760</v>
      </c>
      <c r="S658" s="32">
        <f t="shared" si="134"/>
        <v>4399783.7837837832</v>
      </c>
    </row>
    <row r="659" spans="1:19" s="17" customFormat="1">
      <c r="A659" s="137" t="s">
        <v>504</v>
      </c>
      <c r="B659" s="17" t="s">
        <v>19</v>
      </c>
      <c r="C659" s="18"/>
      <c r="D659" s="19" t="s">
        <v>43</v>
      </c>
      <c r="E659" s="20"/>
      <c r="F659" s="21">
        <v>1</v>
      </c>
      <c r="G659" s="22" t="s">
        <v>21</v>
      </c>
      <c r="H659" s="21">
        <v>144</v>
      </c>
      <c r="I659" s="22" t="s">
        <v>43</v>
      </c>
      <c r="J659" s="23">
        <v>36000</v>
      </c>
      <c r="K659" s="19" t="s">
        <v>43</v>
      </c>
      <c r="L659" s="24">
        <v>0.125</v>
      </c>
      <c r="M659" s="24">
        <v>0.05</v>
      </c>
      <c r="N659" s="21"/>
      <c r="O659" s="22" t="s">
        <v>43</v>
      </c>
      <c r="P659" s="18">
        <f t="shared" si="157"/>
        <v>0</v>
      </c>
      <c r="Q659" s="22" t="s">
        <v>43</v>
      </c>
      <c r="R659" s="23">
        <f t="shared" si="158"/>
        <v>0</v>
      </c>
      <c r="S659" s="23">
        <f t="shared" si="134"/>
        <v>0</v>
      </c>
    </row>
    <row r="660" spans="1:19" s="17" customFormat="1">
      <c r="A660" s="137"/>
      <c r="C660" s="18"/>
      <c r="D660" s="19"/>
      <c r="E660" s="20"/>
      <c r="F660" s="21"/>
      <c r="G660" s="22"/>
      <c r="H660" s="21"/>
      <c r="I660" s="22"/>
      <c r="J660" s="23"/>
      <c r="K660" s="19"/>
      <c r="L660" s="24"/>
      <c r="M660" s="24"/>
      <c r="N660" s="21"/>
      <c r="O660" s="22"/>
      <c r="P660" s="18"/>
      <c r="Q660" s="22"/>
      <c r="R660" s="23"/>
      <c r="S660" s="23"/>
    </row>
    <row r="661" spans="1:19" s="26" customFormat="1">
      <c r="A661" s="25" t="s">
        <v>505</v>
      </c>
      <c r="B661" s="26" t="s">
        <v>26</v>
      </c>
      <c r="C661" s="27">
        <v>133</v>
      </c>
      <c r="D661" s="28" t="s">
        <v>43</v>
      </c>
      <c r="E661" s="29"/>
      <c r="F661" s="30">
        <v>1</v>
      </c>
      <c r="G661" s="31" t="s">
        <v>21</v>
      </c>
      <c r="H661" s="30">
        <v>144</v>
      </c>
      <c r="I661" s="31" t="s">
        <v>43</v>
      </c>
      <c r="J661" s="32">
        <f>6739200/144</f>
        <v>46800</v>
      </c>
      <c r="K661" s="28" t="s">
        <v>43</v>
      </c>
      <c r="L661" s="33"/>
      <c r="M661" s="33">
        <v>0.17</v>
      </c>
      <c r="N661" s="30">
        <v>12</v>
      </c>
      <c r="O661" s="31" t="s">
        <v>43</v>
      </c>
      <c r="P661" s="27">
        <f t="shared" si="157"/>
        <v>121</v>
      </c>
      <c r="Q661" s="31" t="s">
        <v>43</v>
      </c>
      <c r="R661" s="32">
        <f t="shared" si="158"/>
        <v>4700124</v>
      </c>
      <c r="S661" s="32">
        <f t="shared" si="134"/>
        <v>4234345.9459459456</v>
      </c>
    </row>
    <row r="662" spans="1:19" s="17" customFormat="1">
      <c r="A662" s="16" t="s">
        <v>506</v>
      </c>
      <c r="B662" s="17" t="s">
        <v>26</v>
      </c>
      <c r="C662" s="18">
        <v>35</v>
      </c>
      <c r="D662" s="19" t="s">
        <v>43</v>
      </c>
      <c r="E662" s="20"/>
      <c r="F662" s="21">
        <v>1</v>
      </c>
      <c r="G662" s="22" t="s">
        <v>21</v>
      </c>
      <c r="H662" s="21">
        <v>144</v>
      </c>
      <c r="I662" s="22" t="s">
        <v>43</v>
      </c>
      <c r="J662" s="23">
        <f>4492800/144</f>
        <v>31200</v>
      </c>
      <c r="K662" s="19" t="s">
        <v>43</v>
      </c>
      <c r="L662" s="24"/>
      <c r="M662" s="24">
        <v>0.17</v>
      </c>
      <c r="N662" s="21">
        <v>35</v>
      </c>
      <c r="O662" s="22" t="s">
        <v>43</v>
      </c>
      <c r="P662" s="18">
        <f t="shared" si="157"/>
        <v>0</v>
      </c>
      <c r="Q662" s="22" t="s">
        <v>43</v>
      </c>
      <c r="R662" s="23">
        <f t="shared" si="158"/>
        <v>0</v>
      </c>
      <c r="S662" s="23">
        <f t="shared" si="134"/>
        <v>0</v>
      </c>
    </row>
    <row r="663" spans="1:19" s="17" customFormat="1">
      <c r="A663" s="16" t="s">
        <v>507</v>
      </c>
      <c r="B663" s="17" t="s">
        <v>26</v>
      </c>
      <c r="C663" s="18"/>
      <c r="D663" s="19" t="s">
        <v>43</v>
      </c>
      <c r="E663" s="20"/>
      <c r="F663" s="21">
        <v>1</v>
      </c>
      <c r="G663" s="22" t="s">
        <v>21</v>
      </c>
      <c r="H663" s="21">
        <v>144</v>
      </c>
      <c r="I663" s="22" t="s">
        <v>43</v>
      </c>
      <c r="J663" s="23">
        <v>29400</v>
      </c>
      <c r="K663" s="19" t="s">
        <v>43</v>
      </c>
      <c r="L663" s="24"/>
      <c r="M663" s="24">
        <v>0.17</v>
      </c>
      <c r="N663" s="21"/>
      <c r="O663" s="22" t="s">
        <v>43</v>
      </c>
      <c r="P663" s="18">
        <f t="shared" si="157"/>
        <v>0</v>
      </c>
      <c r="Q663" s="22" t="s">
        <v>43</v>
      </c>
      <c r="R663" s="23">
        <f t="shared" si="158"/>
        <v>0</v>
      </c>
      <c r="S663" s="23">
        <f t="shared" si="134"/>
        <v>0</v>
      </c>
    </row>
    <row r="664" spans="1:19" s="17" customFormat="1">
      <c r="A664" s="16" t="s">
        <v>508</v>
      </c>
      <c r="B664" s="17" t="s">
        <v>26</v>
      </c>
      <c r="C664" s="18"/>
      <c r="D664" s="19" t="s">
        <v>43</v>
      </c>
      <c r="E664" s="20"/>
      <c r="F664" s="21">
        <v>1</v>
      </c>
      <c r="G664" s="22" t="s">
        <v>21</v>
      </c>
      <c r="H664" s="21">
        <v>144</v>
      </c>
      <c r="I664" s="22" t="s">
        <v>43</v>
      </c>
      <c r="J664" s="23">
        <f>2764800/144</f>
        <v>19200</v>
      </c>
      <c r="K664" s="19" t="s">
        <v>43</v>
      </c>
      <c r="L664" s="24"/>
      <c r="M664" s="24">
        <v>0.17</v>
      </c>
      <c r="N664" s="21"/>
      <c r="O664" s="22" t="s">
        <v>43</v>
      </c>
      <c r="P664" s="18">
        <f t="shared" si="157"/>
        <v>0</v>
      </c>
      <c r="Q664" s="22" t="s">
        <v>43</v>
      </c>
      <c r="R664" s="23">
        <f t="shared" si="158"/>
        <v>0</v>
      </c>
      <c r="S664" s="23">
        <f t="shared" ref="S664:S755" si="159">R664/1.11</f>
        <v>0</v>
      </c>
    </row>
    <row r="665" spans="1:19" s="17" customFormat="1">
      <c r="A665" s="16" t="s">
        <v>509</v>
      </c>
      <c r="B665" s="17" t="s">
        <v>26</v>
      </c>
      <c r="C665" s="18"/>
      <c r="D665" s="19" t="s">
        <v>43</v>
      </c>
      <c r="E665" s="20"/>
      <c r="F665" s="21">
        <v>1</v>
      </c>
      <c r="G665" s="22" t="s">
        <v>21</v>
      </c>
      <c r="H665" s="21">
        <v>144</v>
      </c>
      <c r="I665" s="22" t="s">
        <v>43</v>
      </c>
      <c r="J665" s="23">
        <f>3369600/144</f>
        <v>23400</v>
      </c>
      <c r="K665" s="19" t="s">
        <v>43</v>
      </c>
      <c r="L665" s="24"/>
      <c r="M665" s="24">
        <v>0.17</v>
      </c>
      <c r="N665" s="21"/>
      <c r="O665" s="22" t="s">
        <v>43</v>
      </c>
      <c r="P665" s="18">
        <f t="shared" si="157"/>
        <v>0</v>
      </c>
      <c r="Q665" s="22" t="s">
        <v>43</v>
      </c>
      <c r="R665" s="23">
        <f t="shared" si="158"/>
        <v>0</v>
      </c>
      <c r="S665" s="23">
        <f t="shared" si="159"/>
        <v>0</v>
      </c>
    </row>
    <row r="666" spans="1:19" s="17" customFormat="1">
      <c r="A666" s="16"/>
      <c r="C666" s="18"/>
      <c r="D666" s="19"/>
      <c r="E666" s="20"/>
      <c r="F666" s="21"/>
      <c r="G666" s="22"/>
      <c r="H666" s="21"/>
      <c r="I666" s="22"/>
      <c r="J666" s="23"/>
      <c r="K666" s="19"/>
      <c r="L666" s="24"/>
      <c r="M666" s="24"/>
      <c r="N666" s="21"/>
      <c r="O666" s="22"/>
      <c r="P666" s="18"/>
      <c r="Q666" s="22"/>
      <c r="R666" s="23"/>
      <c r="S666" s="23"/>
    </row>
    <row r="667" spans="1:19" s="17" customFormat="1">
      <c r="A667" s="16" t="s">
        <v>510</v>
      </c>
      <c r="B667" s="17" t="s">
        <v>275</v>
      </c>
      <c r="C667" s="18"/>
      <c r="D667" s="19" t="s">
        <v>43</v>
      </c>
      <c r="E667" s="20"/>
      <c r="F667" s="21">
        <v>1</v>
      </c>
      <c r="G667" s="22" t="s">
        <v>21</v>
      </c>
      <c r="H667" s="21">
        <v>144</v>
      </c>
      <c r="I667" s="22" t="s">
        <v>43</v>
      </c>
      <c r="J667" s="23">
        <v>12500</v>
      </c>
      <c r="K667" s="19" t="s">
        <v>43</v>
      </c>
      <c r="L667" s="24"/>
      <c r="M667" s="24"/>
      <c r="N667" s="21"/>
      <c r="O667" s="22" t="s">
        <v>43</v>
      </c>
      <c r="P667" s="18">
        <f t="shared" si="157"/>
        <v>0</v>
      </c>
      <c r="Q667" s="22" t="s">
        <v>43</v>
      </c>
      <c r="R667" s="23">
        <f t="shared" si="158"/>
        <v>0</v>
      </c>
      <c r="S667" s="23">
        <f>R667/1.11</f>
        <v>0</v>
      </c>
    </row>
    <row r="668" spans="1:19" s="17" customFormat="1">
      <c r="A668" s="16" t="s">
        <v>511</v>
      </c>
      <c r="B668" s="17" t="s">
        <v>275</v>
      </c>
      <c r="C668" s="18"/>
      <c r="D668" s="19" t="s">
        <v>43</v>
      </c>
      <c r="E668" s="20"/>
      <c r="F668" s="21">
        <v>1</v>
      </c>
      <c r="G668" s="22" t="s">
        <v>21</v>
      </c>
      <c r="H668" s="21">
        <v>144</v>
      </c>
      <c r="I668" s="22" t="s">
        <v>43</v>
      </c>
      <c r="J668" s="23">
        <v>12500</v>
      </c>
      <c r="K668" s="19" t="s">
        <v>43</v>
      </c>
      <c r="L668" s="24"/>
      <c r="M668" s="24"/>
      <c r="N668" s="21"/>
      <c r="O668" s="22" t="s">
        <v>43</v>
      </c>
      <c r="P668" s="18">
        <f t="shared" si="157"/>
        <v>0</v>
      </c>
      <c r="Q668" s="22" t="s">
        <v>43</v>
      </c>
      <c r="R668" s="23">
        <f t="shared" si="158"/>
        <v>0</v>
      </c>
      <c r="S668" s="23">
        <f>R668/1.11</f>
        <v>0</v>
      </c>
    </row>
    <row r="669" spans="1:19" s="26" customFormat="1">
      <c r="A669" s="25" t="s">
        <v>512</v>
      </c>
      <c r="B669" s="26" t="s">
        <v>275</v>
      </c>
      <c r="C669" s="27">
        <v>96</v>
      </c>
      <c r="D669" s="28" t="s">
        <v>43</v>
      </c>
      <c r="E669" s="29"/>
      <c r="F669" s="30">
        <v>1</v>
      </c>
      <c r="G669" s="31" t="s">
        <v>21</v>
      </c>
      <c r="H669" s="30">
        <v>96</v>
      </c>
      <c r="I669" s="31" t="s">
        <v>43</v>
      </c>
      <c r="J669" s="32">
        <v>27500</v>
      </c>
      <c r="K669" s="28" t="s">
        <v>43</v>
      </c>
      <c r="L669" s="33"/>
      <c r="M669" s="33"/>
      <c r="N669" s="30"/>
      <c r="O669" s="31" t="s">
        <v>43</v>
      </c>
      <c r="P669" s="27">
        <f t="shared" si="157"/>
        <v>96</v>
      </c>
      <c r="Q669" s="31" t="s">
        <v>43</v>
      </c>
      <c r="R669" s="32">
        <f t="shared" si="158"/>
        <v>2640000</v>
      </c>
      <c r="S669" s="32">
        <f>R669/1.11</f>
        <v>2378378.3783783782</v>
      </c>
    </row>
    <row r="670" spans="1:19" s="26" customFormat="1">
      <c r="A670" s="25"/>
      <c r="C670" s="27"/>
      <c r="D670" s="28"/>
      <c r="E670" s="29"/>
      <c r="F670" s="30"/>
      <c r="G670" s="31"/>
      <c r="H670" s="30"/>
      <c r="I670" s="31"/>
      <c r="J670" s="32"/>
      <c r="K670" s="28"/>
      <c r="L670" s="33"/>
      <c r="M670" s="33"/>
      <c r="N670" s="30"/>
      <c r="O670" s="31"/>
      <c r="P670" s="27"/>
      <c r="Q670" s="31"/>
      <c r="R670" s="32"/>
      <c r="S670" s="32"/>
    </row>
    <row r="671" spans="1:19">
      <c r="A671" s="15" t="s">
        <v>741</v>
      </c>
      <c r="S671" s="23"/>
    </row>
    <row r="672" spans="1:19" s="17" customFormat="1">
      <c r="A672" s="137" t="s">
        <v>742</v>
      </c>
      <c r="B672" s="17" t="s">
        <v>19</v>
      </c>
      <c r="C672" s="18"/>
      <c r="D672" s="19" t="s">
        <v>88</v>
      </c>
      <c r="E672" s="20">
        <v>3</v>
      </c>
      <c r="F672" s="21">
        <v>1</v>
      </c>
      <c r="G672" s="22" t="s">
        <v>21</v>
      </c>
      <c r="H672" s="21">
        <v>12</v>
      </c>
      <c r="I672" s="22" t="s">
        <v>88</v>
      </c>
      <c r="J672" s="23">
        <v>176400</v>
      </c>
      <c r="K672" s="19" t="s">
        <v>88</v>
      </c>
      <c r="L672" s="24">
        <v>0.125</v>
      </c>
      <c r="M672" s="24">
        <v>0.05</v>
      </c>
      <c r="N672" s="21">
        <f>12+24</f>
        <v>36</v>
      </c>
      <c r="O672" s="22" t="s">
        <v>88</v>
      </c>
      <c r="P672" s="18">
        <f t="shared" ref="P672:P681" si="160">(C672+(E672*F672*H672))-N672</f>
        <v>0</v>
      </c>
      <c r="Q672" s="22" t="s">
        <v>88</v>
      </c>
      <c r="R672" s="23">
        <f t="shared" ref="R672:R681" si="161">P672*(J672-(J672*L672)-((J672-(J672*L672))*M672))</f>
        <v>0</v>
      </c>
      <c r="S672" s="23">
        <f t="shared" si="159"/>
        <v>0</v>
      </c>
    </row>
    <row r="673" spans="1:19" s="17" customFormat="1">
      <c r="A673" s="137" t="s">
        <v>743</v>
      </c>
      <c r="B673" s="17" t="s">
        <v>19</v>
      </c>
      <c r="C673" s="18"/>
      <c r="D673" s="19" t="s">
        <v>88</v>
      </c>
      <c r="E673" s="20"/>
      <c r="F673" s="21">
        <v>12</v>
      </c>
      <c r="G673" s="22" t="s">
        <v>34</v>
      </c>
      <c r="H673" s="21">
        <v>1</v>
      </c>
      <c r="I673" s="22" t="s">
        <v>88</v>
      </c>
      <c r="J673" s="23">
        <v>183600</v>
      </c>
      <c r="K673" s="19" t="s">
        <v>88</v>
      </c>
      <c r="L673" s="24">
        <v>0.125</v>
      </c>
      <c r="M673" s="24">
        <v>0.05</v>
      </c>
      <c r="N673" s="21"/>
      <c r="O673" s="22" t="s">
        <v>88</v>
      </c>
      <c r="P673" s="18">
        <f t="shared" si="160"/>
        <v>0</v>
      </c>
      <c r="Q673" s="22" t="s">
        <v>88</v>
      </c>
      <c r="R673" s="23">
        <f t="shared" si="161"/>
        <v>0</v>
      </c>
      <c r="S673" s="23">
        <f t="shared" si="159"/>
        <v>0</v>
      </c>
    </row>
    <row r="674" spans="1:19" s="17" customFormat="1">
      <c r="A674" s="137" t="s">
        <v>744</v>
      </c>
      <c r="B674" s="17" t="s">
        <v>19</v>
      </c>
      <c r="C674" s="18"/>
      <c r="D674" s="19" t="s">
        <v>43</v>
      </c>
      <c r="E674" s="20">
        <v>5</v>
      </c>
      <c r="F674" s="21">
        <v>12</v>
      </c>
      <c r="G674" s="22" t="s">
        <v>88</v>
      </c>
      <c r="H674" s="21">
        <v>12</v>
      </c>
      <c r="I674" s="22" t="s">
        <v>43</v>
      </c>
      <c r="J674" s="23">
        <v>17100</v>
      </c>
      <c r="K674" s="19" t="s">
        <v>43</v>
      </c>
      <c r="L674" s="24">
        <v>0.125</v>
      </c>
      <c r="M674" s="24">
        <v>0.05</v>
      </c>
      <c r="N674" s="21">
        <f>576+144</f>
        <v>720</v>
      </c>
      <c r="O674" s="22" t="s">
        <v>43</v>
      </c>
      <c r="P674" s="18">
        <f t="shared" si="160"/>
        <v>0</v>
      </c>
      <c r="Q674" s="22" t="s">
        <v>43</v>
      </c>
      <c r="R674" s="23">
        <f t="shared" si="161"/>
        <v>0</v>
      </c>
      <c r="S674" s="23">
        <f t="shared" si="159"/>
        <v>0</v>
      </c>
    </row>
    <row r="675" spans="1:19" s="26" customFormat="1">
      <c r="A675" s="138" t="s">
        <v>745</v>
      </c>
      <c r="B675" s="26" t="s">
        <v>19</v>
      </c>
      <c r="C675" s="27"/>
      <c r="D675" s="28" t="s">
        <v>43</v>
      </c>
      <c r="E675" s="29">
        <f>1+9+4+1</f>
        <v>15</v>
      </c>
      <c r="F675" s="30">
        <v>12</v>
      </c>
      <c r="G675" s="31" t="s">
        <v>88</v>
      </c>
      <c r="H675" s="30">
        <v>6</v>
      </c>
      <c r="I675" s="31" t="s">
        <v>43</v>
      </c>
      <c r="J675" s="32">
        <v>34500</v>
      </c>
      <c r="K675" s="28" t="s">
        <v>43</v>
      </c>
      <c r="L675" s="33">
        <v>0.125</v>
      </c>
      <c r="M675" s="33">
        <v>0.05</v>
      </c>
      <c r="N675" s="30">
        <f>360+144+72+144+72+72+72+72</f>
        <v>1008</v>
      </c>
      <c r="O675" s="31" t="s">
        <v>43</v>
      </c>
      <c r="P675" s="27">
        <f t="shared" si="160"/>
        <v>72</v>
      </c>
      <c r="Q675" s="31" t="s">
        <v>43</v>
      </c>
      <c r="R675" s="32">
        <f t="shared" si="161"/>
        <v>2064825</v>
      </c>
      <c r="S675" s="32">
        <f t="shared" si="159"/>
        <v>1860202.7027027025</v>
      </c>
    </row>
    <row r="676" spans="1:19" s="17" customFormat="1">
      <c r="A676" s="137" t="s">
        <v>746</v>
      </c>
      <c r="B676" s="17" t="s">
        <v>19</v>
      </c>
      <c r="C676" s="18"/>
      <c r="D676" s="19" t="s">
        <v>88</v>
      </c>
      <c r="E676" s="20">
        <f>1+1</f>
        <v>2</v>
      </c>
      <c r="F676" s="21">
        <v>1</v>
      </c>
      <c r="G676" s="22" t="s">
        <v>21</v>
      </c>
      <c r="H676" s="21">
        <v>12</v>
      </c>
      <c r="I676" s="22" t="s">
        <v>88</v>
      </c>
      <c r="J676" s="23">
        <v>183600</v>
      </c>
      <c r="K676" s="19" t="s">
        <v>88</v>
      </c>
      <c r="L676" s="24">
        <v>0.125</v>
      </c>
      <c r="M676" s="24">
        <v>0.05</v>
      </c>
      <c r="N676" s="21">
        <f>12+12</f>
        <v>24</v>
      </c>
      <c r="O676" s="22" t="s">
        <v>88</v>
      </c>
      <c r="P676" s="18">
        <f t="shared" si="160"/>
        <v>0</v>
      </c>
      <c r="Q676" s="22" t="s">
        <v>88</v>
      </c>
      <c r="R676" s="23">
        <f t="shared" si="161"/>
        <v>0</v>
      </c>
      <c r="S676" s="23">
        <f t="shared" si="159"/>
        <v>0</v>
      </c>
    </row>
    <row r="677" spans="1:19" s="26" customFormat="1">
      <c r="A677" s="138" t="s">
        <v>842</v>
      </c>
      <c r="B677" s="26" t="s">
        <v>19</v>
      </c>
      <c r="C677" s="27">
        <v>11</v>
      </c>
      <c r="D677" s="28" t="s">
        <v>43</v>
      </c>
      <c r="E677" s="29"/>
      <c r="F677" s="30">
        <v>1</v>
      </c>
      <c r="G677" s="31" t="s">
        <v>21</v>
      </c>
      <c r="H677" s="30">
        <v>17</v>
      </c>
      <c r="I677" s="31" t="s">
        <v>43</v>
      </c>
      <c r="J677" s="32">
        <v>39600</v>
      </c>
      <c r="K677" s="28" t="s">
        <v>43</v>
      </c>
      <c r="L677" s="33">
        <v>0.125</v>
      </c>
      <c r="M677" s="33">
        <v>0.05</v>
      </c>
      <c r="N677" s="30"/>
      <c r="O677" s="31" t="s">
        <v>88</v>
      </c>
      <c r="P677" s="27">
        <f t="shared" si="160"/>
        <v>11</v>
      </c>
      <c r="Q677" s="31" t="s">
        <v>88</v>
      </c>
      <c r="R677" s="32">
        <f t="shared" si="161"/>
        <v>362092.5</v>
      </c>
      <c r="S677" s="32">
        <f t="shared" si="159"/>
        <v>326209.45945945941</v>
      </c>
    </row>
    <row r="678" spans="1:19" s="17" customFormat="1">
      <c r="A678" s="137"/>
      <c r="C678" s="18"/>
      <c r="D678" s="19"/>
      <c r="E678" s="20"/>
      <c r="F678" s="21"/>
      <c r="G678" s="22"/>
      <c r="H678" s="21"/>
      <c r="I678" s="22"/>
      <c r="J678" s="23"/>
      <c r="K678" s="19"/>
      <c r="L678" s="24"/>
      <c r="M678" s="24"/>
      <c r="N678" s="21"/>
      <c r="O678" s="22"/>
      <c r="P678" s="18"/>
      <c r="Q678" s="22"/>
      <c r="R678" s="23"/>
      <c r="S678" s="23"/>
    </row>
    <row r="679" spans="1:19" s="26" customFormat="1">
      <c r="A679" s="138" t="s">
        <v>747</v>
      </c>
      <c r="B679" s="26" t="s">
        <v>26</v>
      </c>
      <c r="C679" s="27">
        <v>3</v>
      </c>
      <c r="D679" s="28" t="s">
        <v>88</v>
      </c>
      <c r="E679" s="29"/>
      <c r="F679" s="30">
        <v>1</v>
      </c>
      <c r="G679" s="31" t="s">
        <v>21</v>
      </c>
      <c r="H679" s="30">
        <v>18</v>
      </c>
      <c r="I679" s="31" t="s">
        <v>88</v>
      </c>
      <c r="J679" s="32">
        <f>3240000/18</f>
        <v>180000</v>
      </c>
      <c r="K679" s="28" t="s">
        <v>88</v>
      </c>
      <c r="L679" s="33"/>
      <c r="M679" s="33">
        <v>0.17</v>
      </c>
      <c r="N679" s="30"/>
      <c r="O679" s="31" t="s">
        <v>88</v>
      </c>
      <c r="P679" s="27">
        <f t="shared" si="160"/>
        <v>3</v>
      </c>
      <c r="Q679" s="31" t="s">
        <v>88</v>
      </c>
      <c r="R679" s="32">
        <f t="shared" si="161"/>
        <v>448200</v>
      </c>
      <c r="S679" s="32">
        <f t="shared" si="159"/>
        <v>403783.78378378373</v>
      </c>
    </row>
    <row r="680" spans="1:19" s="17" customFormat="1">
      <c r="A680" s="16" t="s">
        <v>748</v>
      </c>
      <c r="B680" s="17" t="s">
        <v>26</v>
      </c>
      <c r="C680" s="18"/>
      <c r="D680" s="19" t="s">
        <v>43</v>
      </c>
      <c r="E680" s="20"/>
      <c r="F680" s="21">
        <v>12</v>
      </c>
      <c r="G680" s="22" t="s">
        <v>88</v>
      </c>
      <c r="H680" s="21">
        <v>12</v>
      </c>
      <c r="I680" s="22" t="s">
        <v>43</v>
      </c>
      <c r="J680" s="23">
        <v>14400</v>
      </c>
      <c r="K680" s="19" t="s">
        <v>43</v>
      </c>
      <c r="L680" s="24"/>
      <c r="M680" s="24">
        <v>0.17</v>
      </c>
      <c r="N680" s="21"/>
      <c r="O680" s="22" t="s">
        <v>43</v>
      </c>
      <c r="P680" s="18">
        <f t="shared" si="160"/>
        <v>0</v>
      </c>
      <c r="Q680" s="22" t="s">
        <v>43</v>
      </c>
      <c r="R680" s="23">
        <f t="shared" si="161"/>
        <v>0</v>
      </c>
      <c r="S680" s="23">
        <f t="shared" si="159"/>
        <v>0</v>
      </c>
    </row>
    <row r="681" spans="1:19" s="17" customFormat="1">
      <c r="A681" s="16" t="s">
        <v>749</v>
      </c>
      <c r="B681" s="17" t="s">
        <v>26</v>
      </c>
      <c r="C681" s="18"/>
      <c r="D681" s="19" t="s">
        <v>43</v>
      </c>
      <c r="E681" s="20"/>
      <c r="F681" s="21">
        <v>12</v>
      </c>
      <c r="G681" s="22" t="s">
        <v>88</v>
      </c>
      <c r="H681" s="21">
        <v>12</v>
      </c>
      <c r="I681" s="22" t="s">
        <v>43</v>
      </c>
      <c r="J681" s="23">
        <v>16800</v>
      </c>
      <c r="K681" s="19" t="s">
        <v>43</v>
      </c>
      <c r="L681" s="24"/>
      <c r="M681" s="24">
        <v>0.17</v>
      </c>
      <c r="N681" s="21"/>
      <c r="O681" s="22" t="s">
        <v>43</v>
      </c>
      <c r="P681" s="18">
        <f t="shared" si="160"/>
        <v>0</v>
      </c>
      <c r="Q681" s="22" t="s">
        <v>43</v>
      </c>
      <c r="R681" s="23">
        <f t="shared" si="161"/>
        <v>0</v>
      </c>
      <c r="S681" s="23">
        <f t="shared" si="159"/>
        <v>0</v>
      </c>
    </row>
    <row r="682" spans="1:19" s="17" customFormat="1">
      <c r="A682" s="16"/>
      <c r="C682" s="18"/>
      <c r="D682" s="19"/>
      <c r="E682" s="20"/>
      <c r="F682" s="21"/>
      <c r="G682" s="22"/>
      <c r="H682" s="21"/>
      <c r="I682" s="22"/>
      <c r="J682" s="23"/>
      <c r="K682" s="19"/>
      <c r="L682" s="24"/>
      <c r="M682" s="24"/>
      <c r="N682" s="21"/>
      <c r="O682" s="22"/>
      <c r="P682" s="18"/>
      <c r="Q682" s="22"/>
      <c r="R682" s="23"/>
      <c r="S682" s="23"/>
    </row>
    <row r="683" spans="1:19">
      <c r="A683" s="15" t="s">
        <v>522</v>
      </c>
      <c r="S683" s="23"/>
    </row>
    <row r="684" spans="1:19" s="45" customFormat="1">
      <c r="A684" s="44" t="s">
        <v>523</v>
      </c>
      <c r="B684" s="45" t="s">
        <v>19</v>
      </c>
      <c r="C684" s="46">
        <v>3228</v>
      </c>
      <c r="D684" s="47" t="s">
        <v>162</v>
      </c>
      <c r="E684" s="48"/>
      <c r="F684" s="49">
        <v>12</v>
      </c>
      <c r="G684" s="50" t="s">
        <v>34</v>
      </c>
      <c r="H684" s="49">
        <v>24</v>
      </c>
      <c r="I684" s="50" t="s">
        <v>162</v>
      </c>
      <c r="J684" s="51">
        <v>6700</v>
      </c>
      <c r="K684" s="47" t="s">
        <v>162</v>
      </c>
      <c r="L684" s="52">
        <v>0.125</v>
      </c>
      <c r="M684" s="52">
        <v>0.05</v>
      </c>
      <c r="N684" s="49">
        <f>144+(24*12)</f>
        <v>432</v>
      </c>
      <c r="O684" s="50" t="s">
        <v>162</v>
      </c>
      <c r="P684" s="46">
        <f t="shared" ref="P684:P710" si="162">(C684+(E684*F684*H684))-N684</f>
        <v>2796</v>
      </c>
      <c r="Q684" s="50" t="s">
        <v>162</v>
      </c>
      <c r="R684" s="51">
        <f t="shared" ref="R684:R710" si="163">P684*(J684-(J684*L684)-((J684-(J684*L684))*M684))</f>
        <v>15571972.5</v>
      </c>
      <c r="S684" s="51">
        <f t="shared" si="159"/>
        <v>14028804.054054054</v>
      </c>
    </row>
    <row r="685" spans="1:19" s="45" customFormat="1">
      <c r="A685" s="44" t="s">
        <v>524</v>
      </c>
      <c r="B685" s="45" t="s">
        <v>19</v>
      </c>
      <c r="C685" s="46">
        <v>144</v>
      </c>
      <c r="D685" s="47" t="s">
        <v>162</v>
      </c>
      <c r="E685" s="48"/>
      <c r="F685" s="49">
        <v>12</v>
      </c>
      <c r="G685" s="50" t="s">
        <v>34</v>
      </c>
      <c r="H685" s="49">
        <v>12</v>
      </c>
      <c r="I685" s="50" t="s">
        <v>162</v>
      </c>
      <c r="J685" s="51">
        <v>13800</v>
      </c>
      <c r="K685" s="47" t="s">
        <v>162</v>
      </c>
      <c r="L685" s="52">
        <v>0.125</v>
      </c>
      <c r="M685" s="52">
        <v>0.05</v>
      </c>
      <c r="N685" s="49"/>
      <c r="O685" s="50" t="s">
        <v>162</v>
      </c>
      <c r="P685" s="46">
        <f t="shared" si="162"/>
        <v>144</v>
      </c>
      <c r="Q685" s="50" t="s">
        <v>162</v>
      </c>
      <c r="R685" s="51">
        <f t="shared" si="163"/>
        <v>1651860</v>
      </c>
      <c r="S685" s="32">
        <f t="shared" si="159"/>
        <v>1488162.1621621621</v>
      </c>
    </row>
    <row r="686" spans="1:19" s="45" customFormat="1">
      <c r="A686" s="44" t="s">
        <v>525</v>
      </c>
      <c r="B686" s="45" t="s">
        <v>19</v>
      </c>
      <c r="C686" s="46">
        <v>1068</v>
      </c>
      <c r="D686" s="47" t="s">
        <v>162</v>
      </c>
      <c r="E686" s="48">
        <f>1+4+2+7</f>
        <v>14</v>
      </c>
      <c r="F686" s="49">
        <v>12</v>
      </c>
      <c r="G686" s="50" t="s">
        <v>34</v>
      </c>
      <c r="H686" s="49">
        <v>12</v>
      </c>
      <c r="I686" s="50" t="s">
        <v>162</v>
      </c>
      <c r="J686" s="51">
        <v>10600</v>
      </c>
      <c r="K686" s="47" t="s">
        <v>162</v>
      </c>
      <c r="L686" s="52">
        <v>0.125</v>
      </c>
      <c r="M686" s="52">
        <v>0.05</v>
      </c>
      <c r="N686" s="49">
        <f>(12*12)+288+144+144+(12*12)</f>
        <v>864</v>
      </c>
      <c r="O686" s="50" t="s">
        <v>162</v>
      </c>
      <c r="P686" s="46">
        <f t="shared" si="162"/>
        <v>2220</v>
      </c>
      <c r="Q686" s="50" t="s">
        <v>162</v>
      </c>
      <c r="R686" s="51">
        <f t="shared" si="163"/>
        <v>19560975</v>
      </c>
      <c r="S686" s="51">
        <f t="shared" si="159"/>
        <v>17622500</v>
      </c>
    </row>
    <row r="687" spans="1:19" s="45" customFormat="1">
      <c r="A687" s="44" t="s">
        <v>526</v>
      </c>
      <c r="B687" s="45" t="s">
        <v>19</v>
      </c>
      <c r="C687" s="46">
        <v>174</v>
      </c>
      <c r="D687" s="47" t="s">
        <v>162</v>
      </c>
      <c r="E687" s="48"/>
      <c r="F687" s="49">
        <v>12</v>
      </c>
      <c r="G687" s="50" t="s">
        <v>34</v>
      </c>
      <c r="H687" s="49">
        <v>6</v>
      </c>
      <c r="I687" s="50" t="s">
        <v>162</v>
      </c>
      <c r="J687" s="51">
        <v>21200</v>
      </c>
      <c r="K687" s="47" t="s">
        <v>162</v>
      </c>
      <c r="L687" s="52">
        <v>0.125</v>
      </c>
      <c r="M687" s="52">
        <v>0.05</v>
      </c>
      <c r="N687" s="49">
        <v>72</v>
      </c>
      <c r="O687" s="50" t="s">
        <v>162</v>
      </c>
      <c r="P687" s="46">
        <f t="shared" si="162"/>
        <v>102</v>
      </c>
      <c r="Q687" s="50" t="s">
        <v>162</v>
      </c>
      <c r="R687" s="51">
        <f t="shared" si="163"/>
        <v>1797495</v>
      </c>
      <c r="S687" s="32">
        <f t="shared" si="159"/>
        <v>1619364.8648648646</v>
      </c>
    </row>
    <row r="688" spans="1:19" s="63" customFormat="1">
      <c r="A688" s="72" t="s">
        <v>527</v>
      </c>
      <c r="B688" s="63" t="s">
        <v>19</v>
      </c>
      <c r="C688" s="64"/>
      <c r="D688" s="65" t="s">
        <v>162</v>
      </c>
      <c r="E688" s="66"/>
      <c r="F688" s="67">
        <v>8</v>
      </c>
      <c r="G688" s="68" t="s">
        <v>34</v>
      </c>
      <c r="H688" s="67">
        <v>6</v>
      </c>
      <c r="I688" s="68" t="s">
        <v>162</v>
      </c>
      <c r="J688" s="69">
        <v>34500</v>
      </c>
      <c r="K688" s="65" t="s">
        <v>162</v>
      </c>
      <c r="L688" s="70">
        <v>0.125</v>
      </c>
      <c r="M688" s="70">
        <v>0.05</v>
      </c>
      <c r="N688" s="67"/>
      <c r="O688" s="68" t="s">
        <v>162</v>
      </c>
      <c r="P688" s="64">
        <f t="shared" si="162"/>
        <v>0</v>
      </c>
      <c r="Q688" s="68" t="s">
        <v>162</v>
      </c>
      <c r="R688" s="69">
        <f t="shared" si="163"/>
        <v>0</v>
      </c>
      <c r="S688" s="23">
        <f t="shared" si="159"/>
        <v>0</v>
      </c>
    </row>
    <row r="689" spans="1:19" s="45" customFormat="1">
      <c r="A689" s="44" t="s">
        <v>528</v>
      </c>
      <c r="B689" s="45" t="s">
        <v>19</v>
      </c>
      <c r="C689" s="46">
        <v>420</v>
      </c>
      <c r="D689" s="47" t="s">
        <v>162</v>
      </c>
      <c r="E689" s="48"/>
      <c r="F689" s="49">
        <v>12</v>
      </c>
      <c r="G689" s="50" t="s">
        <v>34</v>
      </c>
      <c r="H689" s="49">
        <v>12</v>
      </c>
      <c r="I689" s="50" t="s">
        <v>162</v>
      </c>
      <c r="J689" s="51">
        <v>9600</v>
      </c>
      <c r="K689" s="47" t="s">
        <v>162</v>
      </c>
      <c r="L689" s="52">
        <v>0.125</v>
      </c>
      <c r="M689" s="52">
        <v>0.05</v>
      </c>
      <c r="N689" s="49"/>
      <c r="O689" s="50" t="s">
        <v>162</v>
      </c>
      <c r="P689" s="46">
        <f t="shared" si="162"/>
        <v>420</v>
      </c>
      <c r="Q689" s="50" t="s">
        <v>162</v>
      </c>
      <c r="R689" s="51">
        <f t="shared" si="163"/>
        <v>3351600</v>
      </c>
      <c r="S689" s="51">
        <f t="shared" si="159"/>
        <v>3019459.4594594594</v>
      </c>
    </row>
    <row r="690" spans="1:19" s="17" customFormat="1">
      <c r="A690" s="16" t="s">
        <v>529</v>
      </c>
      <c r="B690" s="17" t="s">
        <v>19</v>
      </c>
      <c r="C690" s="18"/>
      <c r="D690" s="19" t="s">
        <v>162</v>
      </c>
      <c r="E690" s="20"/>
      <c r="F690" s="21">
        <v>12</v>
      </c>
      <c r="G690" s="22" t="s">
        <v>34</v>
      </c>
      <c r="H690" s="21">
        <v>6</v>
      </c>
      <c r="I690" s="22" t="s">
        <v>162</v>
      </c>
      <c r="J690" s="23">
        <v>19200</v>
      </c>
      <c r="K690" s="19" t="s">
        <v>162</v>
      </c>
      <c r="L690" s="24">
        <v>0.125</v>
      </c>
      <c r="M690" s="24">
        <v>0.05</v>
      </c>
      <c r="N690" s="21"/>
      <c r="O690" s="22" t="s">
        <v>162</v>
      </c>
      <c r="P690" s="18">
        <f t="shared" si="162"/>
        <v>0</v>
      </c>
      <c r="Q690" s="22" t="s">
        <v>162</v>
      </c>
      <c r="R690" s="23">
        <f t="shared" si="163"/>
        <v>0</v>
      </c>
      <c r="S690" s="23">
        <f t="shared" si="159"/>
        <v>0</v>
      </c>
    </row>
    <row r="691" spans="1:19" s="17" customFormat="1">
      <c r="A691" s="16" t="s">
        <v>530</v>
      </c>
      <c r="B691" s="17" t="s">
        <v>19</v>
      </c>
      <c r="C691" s="18"/>
      <c r="D691" s="19" t="s">
        <v>162</v>
      </c>
      <c r="E691" s="20"/>
      <c r="F691" s="21">
        <v>12</v>
      </c>
      <c r="G691" s="22" t="s">
        <v>34</v>
      </c>
      <c r="H691" s="21">
        <v>24</v>
      </c>
      <c r="I691" s="22" t="s">
        <v>162</v>
      </c>
      <c r="J691" s="23">
        <v>5800</v>
      </c>
      <c r="K691" s="19" t="s">
        <v>162</v>
      </c>
      <c r="L691" s="24">
        <v>0.125</v>
      </c>
      <c r="M691" s="24">
        <v>0.05</v>
      </c>
      <c r="N691" s="21"/>
      <c r="O691" s="22" t="s">
        <v>162</v>
      </c>
      <c r="P691" s="18">
        <f t="shared" si="162"/>
        <v>0</v>
      </c>
      <c r="Q691" s="22" t="s">
        <v>162</v>
      </c>
      <c r="R691" s="23">
        <f t="shared" si="163"/>
        <v>0</v>
      </c>
      <c r="S691" s="23">
        <f t="shared" si="159"/>
        <v>0</v>
      </c>
    </row>
    <row r="692" spans="1:19" s="63" customFormat="1">
      <c r="A692" s="72" t="s">
        <v>531</v>
      </c>
      <c r="B692" s="63" t="s">
        <v>19</v>
      </c>
      <c r="C692" s="64"/>
      <c r="D692" s="65" t="s">
        <v>162</v>
      </c>
      <c r="E692" s="66"/>
      <c r="F692" s="67">
        <v>12</v>
      </c>
      <c r="G692" s="68" t="s">
        <v>34</v>
      </c>
      <c r="H692" s="67">
        <v>12</v>
      </c>
      <c r="I692" s="68" t="s">
        <v>162</v>
      </c>
      <c r="J692" s="69">
        <v>8400</v>
      </c>
      <c r="K692" s="65" t="s">
        <v>162</v>
      </c>
      <c r="L692" s="70">
        <v>0.125</v>
      </c>
      <c r="M692" s="70">
        <v>0.05</v>
      </c>
      <c r="N692" s="67"/>
      <c r="O692" s="68" t="s">
        <v>162</v>
      </c>
      <c r="P692" s="64">
        <f t="shared" si="162"/>
        <v>0</v>
      </c>
      <c r="Q692" s="68" t="s">
        <v>162</v>
      </c>
      <c r="R692" s="69">
        <f t="shared" si="163"/>
        <v>0</v>
      </c>
      <c r="S692" s="23">
        <f t="shared" si="159"/>
        <v>0</v>
      </c>
    </row>
    <row r="693" spans="1:19" s="63" customFormat="1">
      <c r="A693" s="72" t="s">
        <v>532</v>
      </c>
      <c r="B693" s="63" t="s">
        <v>19</v>
      </c>
      <c r="C693" s="64"/>
      <c r="D693" s="65" t="s">
        <v>162</v>
      </c>
      <c r="E693" s="66"/>
      <c r="F693" s="67">
        <v>12</v>
      </c>
      <c r="G693" s="68" t="s">
        <v>34</v>
      </c>
      <c r="H693" s="67">
        <v>6</v>
      </c>
      <c r="I693" s="68" t="s">
        <v>162</v>
      </c>
      <c r="J693" s="69">
        <v>16800</v>
      </c>
      <c r="K693" s="65" t="s">
        <v>162</v>
      </c>
      <c r="L693" s="70">
        <v>0.125</v>
      </c>
      <c r="M693" s="70">
        <v>0.05</v>
      </c>
      <c r="N693" s="67"/>
      <c r="O693" s="68" t="s">
        <v>162</v>
      </c>
      <c r="P693" s="64">
        <f t="shared" si="162"/>
        <v>0</v>
      </c>
      <c r="Q693" s="68" t="s">
        <v>162</v>
      </c>
      <c r="R693" s="69">
        <f t="shared" si="163"/>
        <v>0</v>
      </c>
      <c r="S693" s="23">
        <f t="shared" si="159"/>
        <v>0</v>
      </c>
    </row>
    <row r="694" spans="1:19" s="45" customFormat="1">
      <c r="A694" s="44" t="s">
        <v>533</v>
      </c>
      <c r="B694" s="45" t="s">
        <v>19</v>
      </c>
      <c r="C694" s="46">
        <v>144</v>
      </c>
      <c r="D694" s="47" t="s">
        <v>162</v>
      </c>
      <c r="E694" s="48"/>
      <c r="F694" s="49">
        <v>12</v>
      </c>
      <c r="G694" s="50" t="s">
        <v>34</v>
      </c>
      <c r="H694" s="49">
        <v>12</v>
      </c>
      <c r="I694" s="50" t="s">
        <v>162</v>
      </c>
      <c r="J694" s="51">
        <v>11000</v>
      </c>
      <c r="K694" s="47" t="s">
        <v>162</v>
      </c>
      <c r="L694" s="52">
        <v>0.125</v>
      </c>
      <c r="M694" s="52">
        <v>0.05</v>
      </c>
      <c r="N694" s="49"/>
      <c r="O694" s="50" t="s">
        <v>162</v>
      </c>
      <c r="P694" s="46">
        <f t="shared" si="162"/>
        <v>144</v>
      </c>
      <c r="Q694" s="50" t="s">
        <v>162</v>
      </c>
      <c r="R694" s="51">
        <f t="shared" si="163"/>
        <v>1316700</v>
      </c>
      <c r="S694" s="32">
        <f t="shared" si="159"/>
        <v>1186216.2162162161</v>
      </c>
    </row>
    <row r="695" spans="1:19" s="63" customFormat="1">
      <c r="A695" s="72" t="s">
        <v>534</v>
      </c>
      <c r="B695" s="63" t="s">
        <v>19</v>
      </c>
      <c r="C695" s="64"/>
      <c r="D695" s="65" t="s">
        <v>162</v>
      </c>
      <c r="E695" s="66"/>
      <c r="F695" s="67">
        <v>12</v>
      </c>
      <c r="G695" s="68" t="s">
        <v>34</v>
      </c>
      <c r="H695" s="67">
        <v>24</v>
      </c>
      <c r="I695" s="68" t="s">
        <v>162</v>
      </c>
      <c r="J695" s="69">
        <v>5400</v>
      </c>
      <c r="K695" s="65" t="s">
        <v>162</v>
      </c>
      <c r="L695" s="70">
        <v>0.125</v>
      </c>
      <c r="M695" s="70">
        <v>0.05</v>
      </c>
      <c r="N695" s="67"/>
      <c r="O695" s="68" t="s">
        <v>162</v>
      </c>
      <c r="P695" s="64">
        <f t="shared" si="162"/>
        <v>0</v>
      </c>
      <c r="Q695" s="68" t="s">
        <v>162</v>
      </c>
      <c r="R695" s="69">
        <f t="shared" si="163"/>
        <v>0</v>
      </c>
      <c r="S695" s="23">
        <f t="shared" si="159"/>
        <v>0</v>
      </c>
    </row>
    <row r="696" spans="1:19" s="63" customFormat="1">
      <c r="A696" s="72" t="s">
        <v>535</v>
      </c>
      <c r="B696" s="63" t="s">
        <v>19</v>
      </c>
      <c r="C696" s="64"/>
      <c r="D696" s="65" t="s">
        <v>162</v>
      </c>
      <c r="E696" s="66"/>
      <c r="F696" s="67">
        <v>12</v>
      </c>
      <c r="G696" s="68" t="s">
        <v>34</v>
      </c>
      <c r="H696" s="67">
        <v>12</v>
      </c>
      <c r="I696" s="68" t="s">
        <v>162</v>
      </c>
      <c r="J696" s="69">
        <v>16900</v>
      </c>
      <c r="K696" s="65" t="s">
        <v>162</v>
      </c>
      <c r="L696" s="70">
        <v>0.125</v>
      </c>
      <c r="M696" s="70">
        <v>0.05</v>
      </c>
      <c r="N696" s="67"/>
      <c r="O696" s="68" t="s">
        <v>162</v>
      </c>
      <c r="P696" s="64">
        <f t="shared" si="162"/>
        <v>0</v>
      </c>
      <c r="Q696" s="68" t="s">
        <v>162</v>
      </c>
      <c r="R696" s="69">
        <f t="shared" si="163"/>
        <v>0</v>
      </c>
      <c r="S696" s="23">
        <f t="shared" si="159"/>
        <v>0</v>
      </c>
    </row>
    <row r="697" spans="1:19" s="45" customFormat="1">
      <c r="A697" s="44" t="s">
        <v>536</v>
      </c>
      <c r="B697" s="45" t="s">
        <v>19</v>
      </c>
      <c r="C697" s="46">
        <v>60</v>
      </c>
      <c r="D697" s="47" t="s">
        <v>162</v>
      </c>
      <c r="E697" s="48"/>
      <c r="F697" s="49">
        <v>12</v>
      </c>
      <c r="G697" s="50" t="s">
        <v>34</v>
      </c>
      <c r="H697" s="49">
        <v>6</v>
      </c>
      <c r="I697" s="50" t="s">
        <v>162</v>
      </c>
      <c r="J697" s="51">
        <v>33800</v>
      </c>
      <c r="K697" s="47" t="s">
        <v>162</v>
      </c>
      <c r="L697" s="52">
        <v>0.125</v>
      </c>
      <c r="M697" s="52">
        <v>0.05</v>
      </c>
      <c r="N697" s="49"/>
      <c r="O697" s="50" t="s">
        <v>162</v>
      </c>
      <c r="P697" s="46">
        <f t="shared" si="162"/>
        <v>60</v>
      </c>
      <c r="Q697" s="50" t="s">
        <v>162</v>
      </c>
      <c r="R697" s="51">
        <f t="shared" si="163"/>
        <v>1685775</v>
      </c>
      <c r="S697" s="32">
        <f t="shared" si="159"/>
        <v>1518716.2162162161</v>
      </c>
    </row>
    <row r="698" spans="1:19" s="45" customFormat="1">
      <c r="A698" s="44"/>
      <c r="C698" s="46"/>
      <c r="D698" s="47"/>
      <c r="E698" s="48"/>
      <c r="F698" s="49"/>
      <c r="G698" s="50"/>
      <c r="H698" s="49"/>
      <c r="I698" s="50"/>
      <c r="J698" s="51"/>
      <c r="K698" s="47"/>
      <c r="L698" s="52"/>
      <c r="M698" s="52"/>
      <c r="N698" s="49"/>
      <c r="O698" s="50"/>
      <c r="P698" s="46"/>
      <c r="Q698" s="50"/>
      <c r="R698" s="51"/>
      <c r="S698" s="32"/>
    </row>
    <row r="699" spans="1:19" s="45" customFormat="1">
      <c r="A699" s="44" t="s">
        <v>537</v>
      </c>
      <c r="B699" s="45" t="s">
        <v>26</v>
      </c>
      <c r="C699" s="46">
        <v>95</v>
      </c>
      <c r="D699" s="47" t="s">
        <v>43</v>
      </c>
      <c r="E699" s="48"/>
      <c r="F699" s="49">
        <v>24</v>
      </c>
      <c r="G699" s="50" t="s">
        <v>34</v>
      </c>
      <c r="H699" s="49">
        <v>2</v>
      </c>
      <c r="I699" s="50" t="s">
        <v>43</v>
      </c>
      <c r="J699" s="51">
        <f>3801600/24/2</f>
        <v>79200</v>
      </c>
      <c r="K699" s="47" t="s">
        <v>43</v>
      </c>
      <c r="L699" s="52"/>
      <c r="M699" s="52">
        <v>0.17</v>
      </c>
      <c r="N699" s="49">
        <f>18+3+24</f>
        <v>45</v>
      </c>
      <c r="O699" s="50" t="s">
        <v>43</v>
      </c>
      <c r="P699" s="46">
        <f t="shared" si="162"/>
        <v>50</v>
      </c>
      <c r="Q699" s="50" t="s">
        <v>43</v>
      </c>
      <c r="R699" s="51">
        <f t="shared" si="163"/>
        <v>3286800</v>
      </c>
      <c r="S699" s="51">
        <f t="shared" si="159"/>
        <v>2961081.0810810807</v>
      </c>
    </row>
    <row r="700" spans="1:19" s="45" customFormat="1">
      <c r="A700" s="44" t="s">
        <v>538</v>
      </c>
      <c r="B700" s="45" t="s">
        <v>26</v>
      </c>
      <c r="C700" s="46">
        <v>69</v>
      </c>
      <c r="D700" s="47" t="s">
        <v>43</v>
      </c>
      <c r="E700" s="48">
        <f>2+2</f>
        <v>4</v>
      </c>
      <c r="F700" s="49">
        <v>1</v>
      </c>
      <c r="G700" s="50" t="s">
        <v>21</v>
      </c>
      <c r="H700" s="49">
        <v>24</v>
      </c>
      <c r="I700" s="50" t="s">
        <v>43</v>
      </c>
      <c r="J700" s="51">
        <f>2980800/24</f>
        <v>124200</v>
      </c>
      <c r="K700" s="47" t="s">
        <v>43</v>
      </c>
      <c r="L700" s="52"/>
      <c r="M700" s="52">
        <v>0.17</v>
      </c>
      <c r="N700" s="49">
        <f>24+1</f>
        <v>25</v>
      </c>
      <c r="O700" s="50" t="s">
        <v>43</v>
      </c>
      <c r="P700" s="46">
        <f t="shared" si="162"/>
        <v>140</v>
      </c>
      <c r="Q700" s="50" t="s">
        <v>43</v>
      </c>
      <c r="R700" s="51">
        <f t="shared" si="163"/>
        <v>14432040</v>
      </c>
      <c r="S700" s="51">
        <f t="shared" si="159"/>
        <v>13001837.837837836</v>
      </c>
    </row>
    <row r="701" spans="1:19" s="26" customFormat="1">
      <c r="A701" s="25" t="s">
        <v>539</v>
      </c>
      <c r="B701" s="26" t="s">
        <v>26</v>
      </c>
      <c r="C701" s="27">
        <v>5</v>
      </c>
      <c r="D701" s="28" t="s">
        <v>43</v>
      </c>
      <c r="E701" s="29">
        <v>1</v>
      </c>
      <c r="F701" s="30">
        <v>1</v>
      </c>
      <c r="G701" s="31" t="s">
        <v>21</v>
      </c>
      <c r="H701" s="30">
        <v>12</v>
      </c>
      <c r="I701" s="31" t="s">
        <v>43</v>
      </c>
      <c r="J701" s="32">
        <f>2980800/12</f>
        <v>248400</v>
      </c>
      <c r="K701" s="28" t="s">
        <v>43</v>
      </c>
      <c r="L701" s="33"/>
      <c r="M701" s="33">
        <v>0.17</v>
      </c>
      <c r="N701" s="30"/>
      <c r="O701" s="31" t="s">
        <v>43</v>
      </c>
      <c r="P701" s="27">
        <f t="shared" si="162"/>
        <v>17</v>
      </c>
      <c r="Q701" s="31" t="s">
        <v>43</v>
      </c>
      <c r="R701" s="32">
        <f t="shared" si="163"/>
        <v>3504924</v>
      </c>
      <c r="S701" s="32">
        <f t="shared" si="159"/>
        <v>3157589.1891891891</v>
      </c>
    </row>
    <row r="702" spans="1:19" s="26" customFormat="1">
      <c r="A702" s="25" t="s">
        <v>754</v>
      </c>
      <c r="B702" s="26" t="s">
        <v>26</v>
      </c>
      <c r="C702" s="27">
        <v>30</v>
      </c>
      <c r="D702" s="28" t="s">
        <v>162</v>
      </c>
      <c r="E702" s="29"/>
      <c r="F702" s="30">
        <v>20</v>
      </c>
      <c r="G702" s="31" t="s">
        <v>34</v>
      </c>
      <c r="H702" s="30">
        <v>4</v>
      </c>
      <c r="I702" s="31" t="s">
        <v>162</v>
      </c>
      <c r="J702" s="32">
        <f>2640000/20/4</f>
        <v>33000</v>
      </c>
      <c r="K702" s="28" t="s">
        <v>162</v>
      </c>
      <c r="L702" s="33"/>
      <c r="M702" s="33">
        <v>0.17</v>
      </c>
      <c r="N702" s="30"/>
      <c r="O702" s="31" t="s">
        <v>162</v>
      </c>
      <c r="P702" s="27">
        <f>(C702+(E702*F702*H702))-N702</f>
        <v>30</v>
      </c>
      <c r="Q702" s="31" t="s">
        <v>162</v>
      </c>
      <c r="R702" s="32">
        <f>P702*(J702-(J702*L702)-((J702-(J702*L702))*M702))</f>
        <v>821700</v>
      </c>
      <c r="S702" s="32">
        <f>R702/1.11</f>
        <v>740270.27027027018</v>
      </c>
    </row>
    <row r="703" spans="1:19" s="26" customFormat="1">
      <c r="A703" s="25" t="s">
        <v>540</v>
      </c>
      <c r="B703" s="26" t="s">
        <v>26</v>
      </c>
      <c r="C703" s="27">
        <v>85</v>
      </c>
      <c r="D703" s="28" t="s">
        <v>43</v>
      </c>
      <c r="E703" s="29"/>
      <c r="F703" s="30">
        <v>1</v>
      </c>
      <c r="G703" s="31" t="s">
        <v>21</v>
      </c>
      <c r="H703" s="30">
        <v>24</v>
      </c>
      <c r="I703" s="31" t="s">
        <v>43</v>
      </c>
      <c r="J703" s="32">
        <f>2448000/24</f>
        <v>102000</v>
      </c>
      <c r="K703" s="28" t="s">
        <v>43</v>
      </c>
      <c r="L703" s="33"/>
      <c r="M703" s="33">
        <v>0.17</v>
      </c>
      <c r="N703" s="30"/>
      <c r="O703" s="31" t="s">
        <v>43</v>
      </c>
      <c r="P703" s="27">
        <f t="shared" si="162"/>
        <v>85</v>
      </c>
      <c r="Q703" s="31" t="s">
        <v>43</v>
      </c>
      <c r="R703" s="32">
        <f t="shared" si="163"/>
        <v>7196100</v>
      </c>
      <c r="S703" s="32">
        <f t="shared" si="159"/>
        <v>6482972.9729729723</v>
      </c>
    </row>
    <row r="704" spans="1:19" s="17" customFormat="1">
      <c r="A704" s="16" t="s">
        <v>541</v>
      </c>
      <c r="B704" s="17" t="s">
        <v>26</v>
      </c>
      <c r="C704" s="18"/>
      <c r="D704" s="19" t="s">
        <v>43</v>
      </c>
      <c r="E704" s="20"/>
      <c r="F704" s="21">
        <v>1</v>
      </c>
      <c r="G704" s="22" t="s">
        <v>21</v>
      </c>
      <c r="H704" s="21">
        <v>16</v>
      </c>
      <c r="I704" s="22" t="s">
        <v>43</v>
      </c>
      <c r="J704" s="23">
        <f>1824000/16</f>
        <v>114000</v>
      </c>
      <c r="K704" s="19" t="s">
        <v>43</v>
      </c>
      <c r="L704" s="24"/>
      <c r="M704" s="24">
        <v>0.17</v>
      </c>
      <c r="N704" s="21"/>
      <c r="O704" s="22" t="s">
        <v>43</v>
      </c>
      <c r="P704" s="18">
        <f t="shared" si="162"/>
        <v>0</v>
      </c>
      <c r="Q704" s="22" t="s">
        <v>43</v>
      </c>
      <c r="R704" s="23">
        <f t="shared" si="163"/>
        <v>0</v>
      </c>
      <c r="S704" s="23">
        <f t="shared" si="159"/>
        <v>0</v>
      </c>
    </row>
    <row r="705" spans="1:19" s="17" customFormat="1">
      <c r="A705" s="16" t="s">
        <v>758</v>
      </c>
      <c r="B705" s="17" t="s">
        <v>26</v>
      </c>
      <c r="C705" s="18"/>
      <c r="D705" s="19" t="s">
        <v>162</v>
      </c>
      <c r="E705" s="20"/>
      <c r="F705" s="21">
        <v>24</v>
      </c>
      <c r="G705" s="22" t="s">
        <v>34</v>
      </c>
      <c r="H705" s="21">
        <v>6</v>
      </c>
      <c r="I705" s="22" t="s">
        <v>162</v>
      </c>
      <c r="J705" s="23">
        <f>2448000/24/6</f>
        <v>17000</v>
      </c>
      <c r="K705" s="19" t="s">
        <v>162</v>
      </c>
      <c r="L705" s="24"/>
      <c r="M705" s="24">
        <v>0.17</v>
      </c>
      <c r="N705" s="21"/>
      <c r="O705" s="22" t="s">
        <v>162</v>
      </c>
      <c r="P705" s="18">
        <f t="shared" si="162"/>
        <v>0</v>
      </c>
      <c r="Q705" s="22" t="s">
        <v>162</v>
      </c>
      <c r="R705" s="23">
        <f t="shared" si="163"/>
        <v>0</v>
      </c>
      <c r="S705" s="23">
        <f t="shared" si="159"/>
        <v>0</v>
      </c>
    </row>
    <row r="706" spans="1:19" s="26" customFormat="1">
      <c r="A706" s="25" t="s">
        <v>542</v>
      </c>
      <c r="B706" s="26" t="s">
        <v>26</v>
      </c>
      <c r="C706" s="27"/>
      <c r="D706" s="28" t="s">
        <v>162</v>
      </c>
      <c r="E706" s="29">
        <v>1</v>
      </c>
      <c r="F706" s="30">
        <v>10</v>
      </c>
      <c r="G706" s="31" t="s">
        <v>43</v>
      </c>
      <c r="H706" s="30">
        <v>12</v>
      </c>
      <c r="I706" s="31" t="s">
        <v>162</v>
      </c>
      <c r="J706" s="32">
        <f>2040000/10/12</f>
        <v>17000</v>
      </c>
      <c r="K706" s="28" t="s">
        <v>162</v>
      </c>
      <c r="L706" s="33"/>
      <c r="M706" s="33">
        <v>0.17</v>
      </c>
      <c r="N706" s="30"/>
      <c r="O706" s="31" t="s">
        <v>162</v>
      </c>
      <c r="P706" s="27">
        <f t="shared" si="162"/>
        <v>120</v>
      </c>
      <c r="Q706" s="31" t="s">
        <v>162</v>
      </c>
      <c r="R706" s="32">
        <f t="shared" si="163"/>
        <v>1693200</v>
      </c>
      <c r="S706" s="32">
        <f t="shared" si="159"/>
        <v>1525405.4054054052</v>
      </c>
    </row>
    <row r="707" spans="1:19" s="26" customFormat="1">
      <c r="A707" s="25" t="s">
        <v>543</v>
      </c>
      <c r="B707" s="26" t="s">
        <v>26</v>
      </c>
      <c r="C707" s="27"/>
      <c r="D707" s="28" t="s">
        <v>162</v>
      </c>
      <c r="E707" s="29">
        <v>1</v>
      </c>
      <c r="F707" s="30">
        <v>10</v>
      </c>
      <c r="G707" s="31" t="s">
        <v>34</v>
      </c>
      <c r="H707" s="30">
        <v>6</v>
      </c>
      <c r="I707" s="31" t="s">
        <v>162</v>
      </c>
      <c r="J707" s="32">
        <f>2040000/10/6</f>
        <v>34000</v>
      </c>
      <c r="K707" s="28" t="s">
        <v>162</v>
      </c>
      <c r="L707" s="33"/>
      <c r="M707" s="33">
        <v>0.17</v>
      </c>
      <c r="N707" s="30"/>
      <c r="O707" s="31" t="s">
        <v>162</v>
      </c>
      <c r="P707" s="27">
        <f t="shared" si="162"/>
        <v>60</v>
      </c>
      <c r="Q707" s="31" t="s">
        <v>162</v>
      </c>
      <c r="R707" s="32">
        <f t="shared" si="163"/>
        <v>1693200</v>
      </c>
      <c r="S707" s="32">
        <f t="shared" si="159"/>
        <v>1525405.4054054052</v>
      </c>
    </row>
    <row r="708" spans="1:19" s="45" customFormat="1">
      <c r="A708" s="44" t="s">
        <v>545</v>
      </c>
      <c r="B708" s="45" t="s">
        <v>26</v>
      </c>
      <c r="C708" s="46"/>
      <c r="D708" s="47" t="s">
        <v>162</v>
      </c>
      <c r="E708" s="48">
        <v>1</v>
      </c>
      <c r="F708" s="49">
        <v>24</v>
      </c>
      <c r="G708" s="50" t="s">
        <v>43</v>
      </c>
      <c r="H708" s="49">
        <v>12</v>
      </c>
      <c r="I708" s="50" t="s">
        <v>162</v>
      </c>
      <c r="J708" s="51">
        <f>3571200/24/12</f>
        <v>12400</v>
      </c>
      <c r="K708" s="47" t="s">
        <v>162</v>
      </c>
      <c r="L708" s="52"/>
      <c r="M708" s="52">
        <v>0.17</v>
      </c>
      <c r="N708" s="49"/>
      <c r="O708" s="50" t="s">
        <v>162</v>
      </c>
      <c r="P708" s="46">
        <f t="shared" si="162"/>
        <v>288</v>
      </c>
      <c r="Q708" s="50" t="s">
        <v>162</v>
      </c>
      <c r="R708" s="51">
        <f t="shared" si="163"/>
        <v>2964096</v>
      </c>
      <c r="S708" s="32">
        <f t="shared" si="159"/>
        <v>2670356.7567567565</v>
      </c>
    </row>
    <row r="709" spans="1:19" s="63" customFormat="1">
      <c r="A709" s="72" t="s">
        <v>546</v>
      </c>
      <c r="B709" s="63" t="s">
        <v>26</v>
      </c>
      <c r="C709" s="64"/>
      <c r="D709" s="65" t="s">
        <v>162</v>
      </c>
      <c r="E709" s="66"/>
      <c r="F709" s="67">
        <v>16</v>
      </c>
      <c r="G709" s="68" t="s">
        <v>43</v>
      </c>
      <c r="H709" s="67">
        <v>12</v>
      </c>
      <c r="I709" s="68" t="s">
        <v>162</v>
      </c>
      <c r="J709" s="69">
        <f>3648000/16/12</f>
        <v>19000</v>
      </c>
      <c r="K709" s="65" t="s">
        <v>162</v>
      </c>
      <c r="L709" s="70"/>
      <c r="M709" s="70">
        <v>0.17</v>
      </c>
      <c r="N709" s="67"/>
      <c r="O709" s="68" t="s">
        <v>162</v>
      </c>
      <c r="P709" s="64">
        <f t="shared" si="162"/>
        <v>0</v>
      </c>
      <c r="Q709" s="68" t="s">
        <v>162</v>
      </c>
      <c r="R709" s="69">
        <f t="shared" si="163"/>
        <v>0</v>
      </c>
      <c r="S709" s="23">
        <f t="shared" si="159"/>
        <v>0</v>
      </c>
    </row>
    <row r="710" spans="1:19" s="17" customFormat="1">
      <c r="A710" s="16" t="s">
        <v>547</v>
      </c>
      <c r="B710" s="17" t="s">
        <v>26</v>
      </c>
      <c r="C710" s="18"/>
      <c r="D710" s="19" t="s">
        <v>162</v>
      </c>
      <c r="E710" s="20"/>
      <c r="F710" s="21">
        <v>24</v>
      </c>
      <c r="G710" s="22" t="s">
        <v>34</v>
      </c>
      <c r="H710" s="21">
        <v>6</v>
      </c>
      <c r="I710" s="22" t="s">
        <v>162</v>
      </c>
      <c r="J710" s="23">
        <v>22000</v>
      </c>
      <c r="K710" s="19" t="s">
        <v>162</v>
      </c>
      <c r="L710" s="24"/>
      <c r="M710" s="24">
        <v>0.17</v>
      </c>
      <c r="N710" s="21"/>
      <c r="O710" s="22" t="s">
        <v>162</v>
      </c>
      <c r="P710" s="18">
        <f t="shared" si="162"/>
        <v>0</v>
      </c>
      <c r="Q710" s="22" t="s">
        <v>162</v>
      </c>
      <c r="R710" s="23">
        <f t="shared" si="163"/>
        <v>0</v>
      </c>
      <c r="S710" s="23">
        <f t="shared" si="159"/>
        <v>0</v>
      </c>
    </row>
    <row r="711" spans="1:19">
      <c r="S711" s="23"/>
    </row>
    <row r="712" spans="1:19" ht="15.75">
      <c r="A712" s="14" t="s">
        <v>548</v>
      </c>
      <c r="S712" s="23"/>
    </row>
    <row r="713" spans="1:19" s="26" customFormat="1">
      <c r="A713" s="25" t="s">
        <v>549</v>
      </c>
      <c r="B713" s="26" t="s">
        <v>19</v>
      </c>
      <c r="C713" s="27">
        <v>72</v>
      </c>
      <c r="D713" s="28" t="s">
        <v>20</v>
      </c>
      <c r="E713" s="29"/>
      <c r="F713" s="30">
        <v>12</v>
      </c>
      <c r="G713" s="31" t="s">
        <v>34</v>
      </c>
      <c r="H713" s="30">
        <v>24</v>
      </c>
      <c r="I713" s="31" t="s">
        <v>20</v>
      </c>
      <c r="J713" s="32">
        <v>3550</v>
      </c>
      <c r="K713" s="28" t="s">
        <v>20</v>
      </c>
      <c r="L713" s="33">
        <v>0.125</v>
      </c>
      <c r="M713" s="33">
        <v>0.05</v>
      </c>
      <c r="N713" s="30"/>
      <c r="O713" s="31" t="s">
        <v>20</v>
      </c>
      <c r="P713" s="27">
        <f t="shared" ref="P713:P714" si="164">(C713+(E713*F713*H713))-N713</f>
        <v>72</v>
      </c>
      <c r="Q713" s="31" t="s">
        <v>20</v>
      </c>
      <c r="R713" s="32">
        <f t="shared" ref="R713:R714" si="165">P713*(J713-(J713*L713)-((J713-(J713*L713))*M713))</f>
        <v>212467.5</v>
      </c>
      <c r="S713" s="32">
        <f t="shared" si="159"/>
        <v>191412.16216216216</v>
      </c>
    </row>
    <row r="714" spans="1:19" s="26" customFormat="1">
      <c r="A714" s="25" t="s">
        <v>550</v>
      </c>
      <c r="B714" s="26" t="s">
        <v>19</v>
      </c>
      <c r="C714" s="27">
        <v>276</v>
      </c>
      <c r="D714" s="28" t="s">
        <v>20</v>
      </c>
      <c r="E714" s="29"/>
      <c r="F714" s="30">
        <v>1</v>
      </c>
      <c r="G714" s="31" t="s">
        <v>21</v>
      </c>
      <c r="H714" s="30">
        <v>288</v>
      </c>
      <c r="I714" s="31" t="s">
        <v>20</v>
      </c>
      <c r="J714" s="32">
        <v>3550</v>
      </c>
      <c r="K714" s="28" t="s">
        <v>20</v>
      </c>
      <c r="L714" s="33">
        <v>0.125</v>
      </c>
      <c r="M714" s="33">
        <v>0.05</v>
      </c>
      <c r="N714" s="30"/>
      <c r="O714" s="31" t="s">
        <v>20</v>
      </c>
      <c r="P714" s="27">
        <f t="shared" si="164"/>
        <v>276</v>
      </c>
      <c r="Q714" s="31" t="s">
        <v>20</v>
      </c>
      <c r="R714" s="32">
        <f t="shared" si="165"/>
        <v>814458.75</v>
      </c>
      <c r="S714" s="32">
        <f t="shared" si="159"/>
        <v>733746.62162162154</v>
      </c>
    </row>
    <row r="715" spans="1:19" s="45" customFormat="1">
      <c r="A715" s="44" t="s">
        <v>551</v>
      </c>
      <c r="B715" s="45" t="s">
        <v>19</v>
      </c>
      <c r="C715" s="46">
        <v>2400</v>
      </c>
      <c r="D715" s="47" t="s">
        <v>20</v>
      </c>
      <c r="E715" s="48">
        <f>(1.5+1.5+1.5+1.5)+(2+0.5+0.5+0.5+0.5)+2</f>
        <v>12</v>
      </c>
      <c r="F715" s="49">
        <v>1</v>
      </c>
      <c r="G715" s="50" t="s">
        <v>21</v>
      </c>
      <c r="H715" s="49">
        <v>288</v>
      </c>
      <c r="I715" s="50" t="s">
        <v>20</v>
      </c>
      <c r="J715" s="51">
        <v>4800</v>
      </c>
      <c r="K715" s="47" t="s">
        <v>20</v>
      </c>
      <c r="L715" s="52">
        <v>0.125</v>
      </c>
      <c r="M715" s="52">
        <v>0.05</v>
      </c>
      <c r="N715" s="49">
        <f>((24+48)*12)+(24*12)</f>
        <v>1152</v>
      </c>
      <c r="O715" s="50" t="s">
        <v>20</v>
      </c>
      <c r="P715" s="46">
        <f>(C715+(E715*F715*H715))-N715</f>
        <v>4704</v>
      </c>
      <c r="Q715" s="50" t="s">
        <v>20</v>
      </c>
      <c r="R715" s="51">
        <f>P715*(J715-(J715*L715)-((J715-(J715*L715))*M715))</f>
        <v>18768960</v>
      </c>
      <c r="S715" s="51">
        <f t="shared" si="159"/>
        <v>16908972.97297297</v>
      </c>
    </row>
    <row r="716" spans="1:19" s="45" customFormat="1">
      <c r="A716" s="44"/>
      <c r="C716" s="46"/>
      <c r="D716" s="47"/>
      <c r="E716" s="48"/>
      <c r="F716" s="49"/>
      <c r="G716" s="50"/>
      <c r="H716" s="49"/>
      <c r="I716" s="50"/>
      <c r="J716" s="51"/>
      <c r="K716" s="47"/>
      <c r="L716" s="52"/>
      <c r="M716" s="52"/>
      <c r="N716" s="49"/>
      <c r="O716" s="50"/>
      <c r="P716" s="46"/>
      <c r="Q716" s="50"/>
      <c r="R716" s="51"/>
      <c r="S716" s="51"/>
    </row>
    <row r="717" spans="1:19" s="45" customFormat="1">
      <c r="A717" s="35" t="s">
        <v>552</v>
      </c>
      <c r="B717" s="36" t="s">
        <v>26</v>
      </c>
      <c r="C717" s="37">
        <v>66</v>
      </c>
      <c r="D717" s="38" t="s">
        <v>43</v>
      </c>
      <c r="E717" s="39"/>
      <c r="F717" s="40">
        <v>1</v>
      </c>
      <c r="G717" s="41" t="s">
        <v>21</v>
      </c>
      <c r="H717" s="40">
        <v>24</v>
      </c>
      <c r="I717" s="41" t="s">
        <v>43</v>
      </c>
      <c r="J717" s="42">
        <f>1440000/24</f>
        <v>60000</v>
      </c>
      <c r="K717" s="38" t="s">
        <v>43</v>
      </c>
      <c r="L717" s="43"/>
      <c r="M717" s="43">
        <v>0.17</v>
      </c>
      <c r="N717" s="40"/>
      <c r="O717" s="41" t="s">
        <v>43</v>
      </c>
      <c r="P717" s="37">
        <f>(C717+(E717*F717*H717))-N717</f>
        <v>66</v>
      </c>
      <c r="Q717" s="41" t="s">
        <v>43</v>
      </c>
      <c r="R717" s="42">
        <f>P717*(J717-(J717*L717)-((J717-(J717*L717))*M717))</f>
        <v>3286800</v>
      </c>
      <c r="S717" s="42">
        <f t="shared" si="159"/>
        <v>2961081.0810810807</v>
      </c>
    </row>
    <row r="718" spans="1:19" s="45" customFormat="1">
      <c r="A718" s="35" t="s">
        <v>552</v>
      </c>
      <c r="B718" s="36" t="s">
        <v>26</v>
      </c>
      <c r="C718" s="37">
        <v>24</v>
      </c>
      <c r="D718" s="38" t="s">
        <v>43</v>
      </c>
      <c r="E718" s="39"/>
      <c r="F718" s="40">
        <v>1</v>
      </c>
      <c r="G718" s="41" t="s">
        <v>21</v>
      </c>
      <c r="H718" s="40">
        <v>24</v>
      </c>
      <c r="I718" s="41" t="s">
        <v>43</v>
      </c>
      <c r="J718" s="42">
        <f>1497600/24</f>
        <v>62400</v>
      </c>
      <c r="K718" s="38" t="s">
        <v>43</v>
      </c>
      <c r="L718" s="43"/>
      <c r="M718" s="43">
        <v>0.17</v>
      </c>
      <c r="N718" s="40"/>
      <c r="O718" s="41" t="s">
        <v>43</v>
      </c>
      <c r="P718" s="37">
        <f>(C718+(E718*F718*H718))-N718</f>
        <v>24</v>
      </c>
      <c r="Q718" s="41" t="s">
        <v>43</v>
      </c>
      <c r="R718" s="42">
        <f>P718*(J718-(J718*L718)-((J718-(J718*L718))*M718))</f>
        <v>1243008</v>
      </c>
      <c r="S718" s="42">
        <f t="shared" si="159"/>
        <v>1119827.027027027</v>
      </c>
    </row>
    <row r="719" spans="1:19" s="45" customFormat="1">
      <c r="A719" s="44"/>
      <c r="C719" s="46"/>
      <c r="D719" s="47"/>
      <c r="E719" s="48"/>
      <c r="F719" s="49"/>
      <c r="G719" s="50"/>
      <c r="H719" s="49"/>
      <c r="I719" s="50"/>
      <c r="J719" s="51"/>
      <c r="K719" s="47"/>
      <c r="L719" s="52"/>
      <c r="M719" s="52"/>
      <c r="N719" s="49"/>
      <c r="O719" s="50"/>
      <c r="P719" s="46"/>
      <c r="Q719" s="50"/>
      <c r="R719" s="51"/>
      <c r="S719" s="32"/>
    </row>
    <row r="720" spans="1:19" s="26" customFormat="1">
      <c r="A720" s="108" t="s">
        <v>553</v>
      </c>
      <c r="B720" s="26" t="s">
        <v>182</v>
      </c>
      <c r="C720" s="27">
        <v>1062</v>
      </c>
      <c r="D720" s="28" t="s">
        <v>20</v>
      </c>
      <c r="E720" s="29"/>
      <c r="F720" s="30">
        <v>1</v>
      </c>
      <c r="G720" s="31" t="s">
        <v>21</v>
      </c>
      <c r="H720" s="30">
        <v>120</v>
      </c>
      <c r="I720" s="31" t="s">
        <v>20</v>
      </c>
      <c r="J720" s="32">
        <v>11500</v>
      </c>
      <c r="K720" s="28" t="s">
        <v>20</v>
      </c>
      <c r="L720" s="33"/>
      <c r="M720" s="33"/>
      <c r="N720" s="30"/>
      <c r="O720" s="31" t="s">
        <v>20</v>
      </c>
      <c r="P720" s="27">
        <f t="shared" ref="P720:P725" si="166">(C720+(E720*F720*H720))-N720</f>
        <v>1062</v>
      </c>
      <c r="Q720" s="31" t="s">
        <v>20</v>
      </c>
      <c r="R720" s="32">
        <f t="shared" ref="R720:R725" si="167">P720*(J720-(J720*L720)-((J720-(J720*L720))*M720))</f>
        <v>12213000</v>
      </c>
      <c r="S720" s="32">
        <f t="shared" si="159"/>
        <v>11002702.702702701</v>
      </c>
    </row>
    <row r="721" spans="1:19" s="26" customFormat="1">
      <c r="A721" s="108" t="s">
        <v>822</v>
      </c>
      <c r="B721" s="26" t="s">
        <v>182</v>
      </c>
      <c r="C721" s="27">
        <v>524</v>
      </c>
      <c r="D721" s="28" t="s">
        <v>20</v>
      </c>
      <c r="E721" s="29"/>
      <c r="F721" s="30">
        <v>1</v>
      </c>
      <c r="G721" s="31" t="s">
        <v>21</v>
      </c>
      <c r="H721" s="30">
        <v>100</v>
      </c>
      <c r="I721" s="31" t="s">
        <v>20</v>
      </c>
      <c r="J721" s="32">
        <v>13500</v>
      </c>
      <c r="K721" s="28" t="s">
        <v>20</v>
      </c>
      <c r="L721" s="33">
        <v>0.05</v>
      </c>
      <c r="M721" s="33"/>
      <c r="N721" s="30">
        <v>200</v>
      </c>
      <c r="O721" s="31" t="s">
        <v>20</v>
      </c>
      <c r="P721" s="27">
        <f t="shared" si="166"/>
        <v>324</v>
      </c>
      <c r="Q721" s="31" t="s">
        <v>20</v>
      </c>
      <c r="R721" s="32">
        <f t="shared" si="167"/>
        <v>4155300</v>
      </c>
      <c r="S721" s="32">
        <f t="shared" si="159"/>
        <v>3743513.5135135134</v>
      </c>
    </row>
    <row r="722" spans="1:19" s="26" customFormat="1">
      <c r="A722" s="108" t="s">
        <v>554</v>
      </c>
      <c r="B722" s="26" t="s">
        <v>182</v>
      </c>
      <c r="C722" s="27">
        <v>486</v>
      </c>
      <c r="D722" s="28" t="s">
        <v>20</v>
      </c>
      <c r="E722" s="29"/>
      <c r="F722" s="30">
        <v>1</v>
      </c>
      <c r="G722" s="31" t="s">
        <v>21</v>
      </c>
      <c r="H722" s="30">
        <v>96</v>
      </c>
      <c r="I722" s="31" t="s">
        <v>20</v>
      </c>
      <c r="J722" s="32">
        <v>21000</v>
      </c>
      <c r="K722" s="28" t="s">
        <v>20</v>
      </c>
      <c r="L722" s="33"/>
      <c r="M722" s="33"/>
      <c r="N722" s="30"/>
      <c r="O722" s="31" t="s">
        <v>20</v>
      </c>
      <c r="P722" s="27">
        <f t="shared" si="166"/>
        <v>486</v>
      </c>
      <c r="Q722" s="31" t="s">
        <v>20</v>
      </c>
      <c r="R722" s="32">
        <f t="shared" si="167"/>
        <v>10206000</v>
      </c>
      <c r="S722" s="32">
        <f t="shared" si="159"/>
        <v>9194594.5945945941</v>
      </c>
    </row>
    <row r="723" spans="1:19" s="17" customFormat="1">
      <c r="A723" s="109" t="s">
        <v>765</v>
      </c>
      <c r="B723" s="17" t="s">
        <v>182</v>
      </c>
      <c r="C723" s="18"/>
      <c r="D723" s="19" t="s">
        <v>20</v>
      </c>
      <c r="E723" s="20"/>
      <c r="F723" s="21">
        <v>1</v>
      </c>
      <c r="G723" s="22" t="s">
        <v>21</v>
      </c>
      <c r="H723" s="21">
        <v>144</v>
      </c>
      <c r="I723" s="22" t="s">
        <v>20</v>
      </c>
      <c r="J723" s="23">
        <v>8750</v>
      </c>
      <c r="K723" s="19" t="s">
        <v>20</v>
      </c>
      <c r="L723" s="24"/>
      <c r="M723" s="24"/>
      <c r="N723" s="21"/>
      <c r="O723" s="22" t="s">
        <v>20</v>
      </c>
      <c r="P723" s="18">
        <f t="shared" si="166"/>
        <v>0</v>
      </c>
      <c r="Q723" s="22" t="s">
        <v>20</v>
      </c>
      <c r="R723" s="23">
        <f t="shared" si="167"/>
        <v>0</v>
      </c>
      <c r="S723" s="23">
        <f t="shared" si="159"/>
        <v>0</v>
      </c>
    </row>
    <row r="724" spans="1:19" s="26" customFormat="1">
      <c r="A724" s="108" t="s">
        <v>766</v>
      </c>
      <c r="B724" s="26" t="s">
        <v>182</v>
      </c>
      <c r="C724" s="27">
        <v>24</v>
      </c>
      <c r="D724" s="28" t="s">
        <v>20</v>
      </c>
      <c r="E724" s="29"/>
      <c r="F724" s="30">
        <v>1</v>
      </c>
      <c r="G724" s="31" t="s">
        <v>21</v>
      </c>
      <c r="H724" s="30">
        <v>144</v>
      </c>
      <c r="I724" s="31" t="s">
        <v>20</v>
      </c>
      <c r="J724" s="32">
        <v>8750</v>
      </c>
      <c r="K724" s="28" t="s">
        <v>20</v>
      </c>
      <c r="L724" s="33"/>
      <c r="M724" s="33"/>
      <c r="N724" s="30"/>
      <c r="O724" s="31" t="s">
        <v>20</v>
      </c>
      <c r="P724" s="27">
        <f t="shared" si="166"/>
        <v>24</v>
      </c>
      <c r="Q724" s="31" t="s">
        <v>20</v>
      </c>
      <c r="R724" s="32">
        <f t="shared" si="167"/>
        <v>210000</v>
      </c>
      <c r="S724" s="32">
        <f t="shared" si="159"/>
        <v>189189.18918918917</v>
      </c>
    </row>
    <row r="725" spans="1:19" s="26" customFormat="1">
      <c r="A725" s="108" t="s">
        <v>767</v>
      </c>
      <c r="B725" s="26" t="s">
        <v>182</v>
      </c>
      <c r="C725" s="27">
        <v>40</v>
      </c>
      <c r="D725" s="28" t="s">
        <v>20</v>
      </c>
      <c r="E725" s="29"/>
      <c r="F725" s="30">
        <v>1</v>
      </c>
      <c r="G725" s="31" t="s">
        <v>21</v>
      </c>
      <c r="H725" s="30">
        <v>160</v>
      </c>
      <c r="I725" s="31" t="s">
        <v>20</v>
      </c>
      <c r="J725" s="32">
        <v>8750</v>
      </c>
      <c r="K725" s="28" t="s">
        <v>20</v>
      </c>
      <c r="L725" s="33"/>
      <c r="M725" s="33"/>
      <c r="N725" s="30"/>
      <c r="O725" s="31" t="s">
        <v>20</v>
      </c>
      <c r="P725" s="27">
        <f t="shared" si="166"/>
        <v>40</v>
      </c>
      <c r="Q725" s="31" t="s">
        <v>20</v>
      </c>
      <c r="R725" s="32">
        <f t="shared" si="167"/>
        <v>350000</v>
      </c>
      <c r="S725" s="32">
        <f t="shared" si="159"/>
        <v>315315.31531531527</v>
      </c>
    </row>
    <row r="726" spans="1:19" s="26" customFormat="1">
      <c r="A726" s="110"/>
      <c r="C726" s="27"/>
      <c r="D726" s="28"/>
      <c r="E726" s="29"/>
      <c r="F726" s="30"/>
      <c r="G726" s="31"/>
      <c r="H726" s="30"/>
      <c r="I726" s="31"/>
      <c r="J726" s="32"/>
      <c r="K726" s="28"/>
      <c r="L726" s="33"/>
      <c r="M726" s="33"/>
      <c r="N726" s="30"/>
      <c r="O726" s="31"/>
      <c r="P726" s="27"/>
      <c r="Q726" s="31"/>
      <c r="R726" s="32"/>
      <c r="S726" s="32"/>
    </row>
    <row r="727" spans="1:19" s="26" customFormat="1">
      <c r="A727" s="34" t="s">
        <v>761</v>
      </c>
      <c r="B727" s="26" t="s">
        <v>275</v>
      </c>
      <c r="C727" s="27">
        <v>2244</v>
      </c>
      <c r="D727" s="28" t="s">
        <v>20</v>
      </c>
      <c r="E727" s="244"/>
      <c r="F727" s="30">
        <v>1</v>
      </c>
      <c r="G727" s="31" t="s">
        <v>21</v>
      </c>
      <c r="H727" s="245">
        <v>480</v>
      </c>
      <c r="I727" s="31" t="s">
        <v>20</v>
      </c>
      <c r="J727" s="32">
        <v>26000</v>
      </c>
      <c r="K727" s="28" t="s">
        <v>20</v>
      </c>
      <c r="L727" s="227">
        <v>0.2</v>
      </c>
      <c r="M727" s="33"/>
      <c r="N727" s="30"/>
      <c r="O727" s="31" t="s">
        <v>20</v>
      </c>
      <c r="P727" s="27">
        <f>(C727+(E727*F727*H727))-N727</f>
        <v>2244</v>
      </c>
      <c r="Q727" s="31" t="s">
        <v>20</v>
      </c>
      <c r="R727" s="32">
        <f>P727*(J727-(J727*L727)-((J727-(J727*L727))*M727))</f>
        <v>46675200</v>
      </c>
      <c r="S727" s="32">
        <f>R727/1.11</f>
        <v>42049729.729729727</v>
      </c>
    </row>
    <row r="728" spans="1:19" s="26" customFormat="1">
      <c r="A728" s="34" t="s">
        <v>763</v>
      </c>
      <c r="B728" s="26" t="s">
        <v>275</v>
      </c>
      <c r="C728" s="27">
        <v>2268</v>
      </c>
      <c r="D728" s="28" t="s">
        <v>20</v>
      </c>
      <c r="E728" s="244"/>
      <c r="F728" s="30">
        <v>1</v>
      </c>
      <c r="G728" s="31" t="s">
        <v>21</v>
      </c>
      <c r="H728" s="245">
        <v>480</v>
      </c>
      <c r="I728" s="31" t="s">
        <v>20</v>
      </c>
      <c r="J728" s="32">
        <v>20800</v>
      </c>
      <c r="K728" s="28" t="s">
        <v>20</v>
      </c>
      <c r="L728" s="227">
        <v>0.3</v>
      </c>
      <c r="M728" s="33"/>
      <c r="N728" s="30"/>
      <c r="O728" s="31" t="s">
        <v>20</v>
      </c>
      <c r="P728" s="27">
        <f>(C728+(E728*F728*H728))-N728</f>
        <v>2268</v>
      </c>
      <c r="Q728" s="31" t="s">
        <v>20</v>
      </c>
      <c r="R728" s="32">
        <f>P728*(J728-(J728*L728)-((J728-(J728*L728))*M728))</f>
        <v>33022080</v>
      </c>
      <c r="S728" s="32">
        <f>R728/1.11</f>
        <v>29749621.62162162</v>
      </c>
    </row>
    <row r="729" spans="1:19" s="26" customFormat="1">
      <c r="A729" s="34" t="s">
        <v>759</v>
      </c>
      <c r="B729" s="26" t="s">
        <v>275</v>
      </c>
      <c r="C729" s="27">
        <v>1980</v>
      </c>
      <c r="D729" s="28" t="s">
        <v>20</v>
      </c>
      <c r="E729" s="244"/>
      <c r="F729" s="30">
        <v>1</v>
      </c>
      <c r="G729" s="31" t="s">
        <v>21</v>
      </c>
      <c r="H729" s="245">
        <v>480</v>
      </c>
      <c r="I729" s="31" t="s">
        <v>20</v>
      </c>
      <c r="J729" s="32">
        <v>15000</v>
      </c>
      <c r="K729" s="28" t="s">
        <v>20</v>
      </c>
      <c r="L729" s="227">
        <v>0.2</v>
      </c>
      <c r="M729" s="33"/>
      <c r="N729" s="30">
        <v>12</v>
      </c>
      <c r="O729" s="31" t="s">
        <v>20</v>
      </c>
      <c r="P729" s="27">
        <f>(C729+(E729*F729*H729))-N729</f>
        <v>1968</v>
      </c>
      <c r="Q729" s="31" t="s">
        <v>20</v>
      </c>
      <c r="R729" s="32">
        <f>P729*(J729-(J729*L729)-((J729-(J729*L729))*M729))</f>
        <v>23616000</v>
      </c>
      <c r="S729" s="32">
        <f>R729/1.11</f>
        <v>21275675.675675675</v>
      </c>
    </row>
    <row r="730" spans="1:19" s="26" customFormat="1">
      <c r="A730" s="34" t="s">
        <v>762</v>
      </c>
      <c r="B730" s="26" t="s">
        <v>275</v>
      </c>
      <c r="C730" s="27">
        <v>2130</v>
      </c>
      <c r="D730" s="28" t="s">
        <v>20</v>
      </c>
      <c r="E730" s="244"/>
      <c r="F730" s="30">
        <v>1</v>
      </c>
      <c r="G730" s="31" t="s">
        <v>21</v>
      </c>
      <c r="H730" s="245">
        <v>480</v>
      </c>
      <c r="I730" s="31" t="s">
        <v>20</v>
      </c>
      <c r="J730" s="32">
        <v>29900</v>
      </c>
      <c r="K730" s="28" t="s">
        <v>20</v>
      </c>
      <c r="L730" s="227">
        <v>0.25</v>
      </c>
      <c r="M730" s="33"/>
      <c r="N730" s="30"/>
      <c r="O730" s="31" t="s">
        <v>20</v>
      </c>
      <c r="P730" s="27">
        <f>(C730+(E730*F730*H730))-N730</f>
        <v>2130</v>
      </c>
      <c r="Q730" s="31" t="s">
        <v>20</v>
      </c>
      <c r="R730" s="32">
        <f>P730*(J730-(J730*L730)-((J730-(J730*L730))*M730))</f>
        <v>47765250</v>
      </c>
      <c r="S730" s="32">
        <f>R730/1.11</f>
        <v>43031756.756756753</v>
      </c>
    </row>
    <row r="731" spans="1:19" s="26" customFormat="1">
      <c r="A731" s="34" t="s">
        <v>760</v>
      </c>
      <c r="B731" s="26" t="s">
        <v>275</v>
      </c>
      <c r="C731" s="27">
        <v>1284</v>
      </c>
      <c r="D731" s="28" t="s">
        <v>20</v>
      </c>
      <c r="E731" s="244"/>
      <c r="F731" s="30">
        <v>1</v>
      </c>
      <c r="G731" s="31" t="s">
        <v>21</v>
      </c>
      <c r="H731" s="245">
        <v>384</v>
      </c>
      <c r="I731" s="31" t="s">
        <v>20</v>
      </c>
      <c r="J731" s="32">
        <v>16000</v>
      </c>
      <c r="K731" s="28" t="s">
        <v>20</v>
      </c>
      <c r="L731" s="227">
        <v>0.25</v>
      </c>
      <c r="M731" s="33"/>
      <c r="N731" s="30"/>
      <c r="O731" s="31" t="s">
        <v>20</v>
      </c>
      <c r="P731" s="27">
        <f>(C731+(E731*F731*H731))-N731</f>
        <v>1284</v>
      </c>
      <c r="Q731" s="31" t="s">
        <v>20</v>
      </c>
      <c r="R731" s="32">
        <f>P731*(J731-(J731*L731)-((J731-(J731*L731))*M731))</f>
        <v>15408000</v>
      </c>
      <c r="S731" s="32">
        <f>R731/1.11</f>
        <v>13881081.081081079</v>
      </c>
    </row>
    <row r="732" spans="1:19">
      <c r="S732" s="23"/>
    </row>
    <row r="733" spans="1:19" ht="15.75">
      <c r="A733" s="14" t="s">
        <v>555</v>
      </c>
      <c r="S733" s="23"/>
    </row>
    <row r="734" spans="1:19">
      <c r="A734" s="15" t="s">
        <v>556</v>
      </c>
      <c r="S734" s="23"/>
    </row>
    <row r="735" spans="1:19" s="17" customFormat="1">
      <c r="A735" s="16" t="s">
        <v>557</v>
      </c>
      <c r="B735" s="17" t="s">
        <v>19</v>
      </c>
      <c r="C735" s="18"/>
      <c r="D735" s="19" t="s">
        <v>34</v>
      </c>
      <c r="E735" s="20"/>
      <c r="F735" s="21">
        <v>1</v>
      </c>
      <c r="G735" s="22" t="s">
        <v>21</v>
      </c>
      <c r="H735" s="21">
        <v>48</v>
      </c>
      <c r="I735" s="22" t="s">
        <v>34</v>
      </c>
      <c r="J735" s="23">
        <v>31200</v>
      </c>
      <c r="K735" s="19" t="s">
        <v>34</v>
      </c>
      <c r="L735" s="24">
        <v>0.125</v>
      </c>
      <c r="M735" s="24">
        <v>0.05</v>
      </c>
      <c r="N735" s="21"/>
      <c r="O735" s="22" t="s">
        <v>34</v>
      </c>
      <c r="P735" s="18">
        <f>(C735+(E735*F735*H735))-N735</f>
        <v>0</v>
      </c>
      <c r="Q735" s="22" t="s">
        <v>34</v>
      </c>
      <c r="R735" s="23">
        <f>P735*(J735-(J735*L735)-((J735-(J735*L735))*M735))</f>
        <v>0</v>
      </c>
      <c r="S735" s="23">
        <f t="shared" si="159"/>
        <v>0</v>
      </c>
    </row>
    <row r="736" spans="1:19" s="45" customFormat="1">
      <c r="A736" s="94" t="s">
        <v>558</v>
      </c>
      <c r="B736" s="45" t="s">
        <v>26</v>
      </c>
      <c r="C736" s="46">
        <v>248</v>
      </c>
      <c r="D736" s="47" t="s">
        <v>43</v>
      </c>
      <c r="E736" s="48"/>
      <c r="F736" s="49">
        <v>1</v>
      </c>
      <c r="G736" s="50" t="s">
        <v>21</v>
      </c>
      <c r="H736" s="49">
        <v>48</v>
      </c>
      <c r="I736" s="50" t="s">
        <v>43</v>
      </c>
      <c r="J736" s="51">
        <f>1584000/48</f>
        <v>33000</v>
      </c>
      <c r="K736" s="47" t="s">
        <v>43</v>
      </c>
      <c r="L736" s="52"/>
      <c r="M736" s="52">
        <v>0.17</v>
      </c>
      <c r="N736" s="49">
        <f>48+6+48+48+1</f>
        <v>151</v>
      </c>
      <c r="O736" s="50" t="s">
        <v>43</v>
      </c>
      <c r="P736" s="46">
        <f>(C736+(E736*F736*H736))-N736</f>
        <v>97</v>
      </c>
      <c r="Q736" s="50" t="s">
        <v>43</v>
      </c>
      <c r="R736" s="51">
        <f>P736*(J736-(J736*L736)-((J736-(J736*L736))*M736))</f>
        <v>2656830</v>
      </c>
      <c r="S736" s="51">
        <f t="shared" si="159"/>
        <v>2393540.5405405401</v>
      </c>
    </row>
    <row r="737" spans="1:19">
      <c r="S737" s="23"/>
    </row>
    <row r="738" spans="1:19" ht="15.75">
      <c r="A738" s="14" t="s">
        <v>559</v>
      </c>
      <c r="S738" s="23"/>
    </row>
    <row r="739" spans="1:19" s="45" customFormat="1">
      <c r="A739" s="44" t="s">
        <v>734</v>
      </c>
      <c r="B739" s="45" t="s">
        <v>19</v>
      </c>
      <c r="C739" s="46">
        <v>60</v>
      </c>
      <c r="D739" s="47" t="s">
        <v>20</v>
      </c>
      <c r="E739" s="48"/>
      <c r="F739" s="49">
        <v>10</v>
      </c>
      <c r="G739" s="50" t="s">
        <v>34</v>
      </c>
      <c r="H739" s="49">
        <v>12</v>
      </c>
      <c r="I739" s="50" t="s">
        <v>20</v>
      </c>
      <c r="J739" s="51">
        <v>11200</v>
      </c>
      <c r="K739" s="47" t="s">
        <v>20</v>
      </c>
      <c r="L739" s="52">
        <v>0.125</v>
      </c>
      <c r="M739" s="52">
        <v>0.05</v>
      </c>
      <c r="N739" s="49"/>
      <c r="O739" s="50" t="s">
        <v>20</v>
      </c>
      <c r="P739" s="46">
        <f t="shared" ref="P739:P755" si="168">(C739+(E739*F739*H739))-N739</f>
        <v>60</v>
      </c>
      <c r="Q739" s="50" t="s">
        <v>20</v>
      </c>
      <c r="R739" s="51">
        <f t="shared" ref="R739:R755" si="169">P739*(J739-(J739*L739)-((J739-(J739*L739))*M739))</f>
        <v>558600</v>
      </c>
      <c r="S739" s="51">
        <f t="shared" ref="S739:S740" si="170">R739/1.11</f>
        <v>503243.2432432432</v>
      </c>
    </row>
    <row r="740" spans="1:19" s="45" customFormat="1">
      <c r="A740" s="44" t="s">
        <v>735</v>
      </c>
      <c r="B740" s="45" t="s">
        <v>19</v>
      </c>
      <c r="C740" s="46">
        <v>48</v>
      </c>
      <c r="D740" s="47" t="s">
        <v>20</v>
      </c>
      <c r="E740" s="48"/>
      <c r="F740" s="49">
        <v>10</v>
      </c>
      <c r="G740" s="50" t="s">
        <v>34</v>
      </c>
      <c r="H740" s="49">
        <v>12</v>
      </c>
      <c r="I740" s="50" t="s">
        <v>20</v>
      </c>
      <c r="J740" s="51">
        <v>12400</v>
      </c>
      <c r="K740" s="47" t="s">
        <v>20</v>
      </c>
      <c r="L740" s="52">
        <v>0.125</v>
      </c>
      <c r="M740" s="52">
        <v>0.05</v>
      </c>
      <c r="N740" s="49"/>
      <c r="O740" s="50" t="s">
        <v>20</v>
      </c>
      <c r="P740" s="46">
        <f t="shared" si="168"/>
        <v>48</v>
      </c>
      <c r="Q740" s="50" t="s">
        <v>20</v>
      </c>
      <c r="R740" s="51">
        <f t="shared" si="169"/>
        <v>494760</v>
      </c>
      <c r="S740" s="51">
        <f t="shared" si="170"/>
        <v>445729.7297297297</v>
      </c>
    </row>
    <row r="741" spans="1:19" s="45" customFormat="1">
      <c r="A741" s="44" t="s">
        <v>560</v>
      </c>
      <c r="B741" s="45" t="s">
        <v>19</v>
      </c>
      <c r="C741" s="46">
        <v>840</v>
      </c>
      <c r="D741" s="47" t="s">
        <v>20</v>
      </c>
      <c r="E741" s="48">
        <v>1</v>
      </c>
      <c r="F741" s="49">
        <v>10</v>
      </c>
      <c r="G741" s="50" t="s">
        <v>34</v>
      </c>
      <c r="H741" s="49">
        <v>12</v>
      </c>
      <c r="I741" s="50" t="s">
        <v>20</v>
      </c>
      <c r="J741" s="51">
        <v>12950</v>
      </c>
      <c r="K741" s="47" t="s">
        <v>20</v>
      </c>
      <c r="L741" s="52">
        <v>0.125</v>
      </c>
      <c r="M741" s="52">
        <v>0.05</v>
      </c>
      <c r="N741" s="49">
        <v>120</v>
      </c>
      <c r="O741" s="50" t="s">
        <v>20</v>
      </c>
      <c r="P741" s="46">
        <f t="shared" si="168"/>
        <v>840</v>
      </c>
      <c r="Q741" s="50" t="s">
        <v>20</v>
      </c>
      <c r="R741" s="51">
        <f t="shared" si="169"/>
        <v>9042337.5</v>
      </c>
      <c r="S741" s="51">
        <f t="shared" si="159"/>
        <v>8146249.9999999991</v>
      </c>
    </row>
    <row r="742" spans="1:19" s="17" customFormat="1">
      <c r="A742" s="16" t="s">
        <v>561</v>
      </c>
      <c r="B742" s="17" t="s">
        <v>19</v>
      </c>
      <c r="C742" s="18"/>
      <c r="D742" s="19" t="s">
        <v>20</v>
      </c>
      <c r="E742" s="20"/>
      <c r="F742" s="21">
        <v>5</v>
      </c>
      <c r="G742" s="22" t="s">
        <v>34</v>
      </c>
      <c r="H742" s="21">
        <v>12</v>
      </c>
      <c r="I742" s="22" t="s">
        <v>20</v>
      </c>
      <c r="J742" s="23">
        <v>27000</v>
      </c>
      <c r="K742" s="19" t="s">
        <v>20</v>
      </c>
      <c r="L742" s="24">
        <v>0.125</v>
      </c>
      <c r="M742" s="24">
        <v>0.05</v>
      </c>
      <c r="N742" s="21"/>
      <c r="O742" s="22" t="s">
        <v>20</v>
      </c>
      <c r="P742" s="18">
        <f t="shared" si="168"/>
        <v>0</v>
      </c>
      <c r="Q742" s="22" t="s">
        <v>20</v>
      </c>
      <c r="R742" s="23">
        <f t="shared" si="169"/>
        <v>0</v>
      </c>
      <c r="S742" s="23">
        <f t="shared" si="159"/>
        <v>0</v>
      </c>
    </row>
    <row r="743" spans="1:19" s="17" customFormat="1">
      <c r="A743" s="16" t="s">
        <v>562</v>
      </c>
      <c r="B743" s="17" t="s">
        <v>19</v>
      </c>
      <c r="C743" s="18"/>
      <c r="D743" s="19" t="s">
        <v>20</v>
      </c>
      <c r="E743" s="20"/>
      <c r="F743" s="21">
        <v>1</v>
      </c>
      <c r="G743" s="22" t="s">
        <v>21</v>
      </c>
      <c r="H743" s="21">
        <v>24</v>
      </c>
      <c r="I743" s="22" t="s">
        <v>20</v>
      </c>
      <c r="J743" s="23">
        <v>40000</v>
      </c>
      <c r="K743" s="19" t="s">
        <v>20</v>
      </c>
      <c r="L743" s="24">
        <v>0.125</v>
      </c>
      <c r="M743" s="24">
        <v>0.05</v>
      </c>
      <c r="N743" s="21"/>
      <c r="O743" s="22" t="s">
        <v>20</v>
      </c>
      <c r="P743" s="18">
        <f t="shared" si="168"/>
        <v>0</v>
      </c>
      <c r="Q743" s="22" t="s">
        <v>20</v>
      </c>
      <c r="R743" s="23">
        <f t="shared" si="169"/>
        <v>0</v>
      </c>
      <c r="S743" s="23">
        <f t="shared" si="159"/>
        <v>0</v>
      </c>
    </row>
    <row r="744" spans="1:19" s="26" customFormat="1">
      <c r="A744" s="25" t="s">
        <v>563</v>
      </c>
      <c r="B744" s="26" t="s">
        <v>19</v>
      </c>
      <c r="C744" s="27">
        <v>24</v>
      </c>
      <c r="D744" s="28" t="s">
        <v>20</v>
      </c>
      <c r="E744" s="29"/>
      <c r="F744" s="30">
        <v>1</v>
      </c>
      <c r="G744" s="31" t="s">
        <v>21</v>
      </c>
      <c r="H744" s="30">
        <v>24</v>
      </c>
      <c r="I744" s="31" t="s">
        <v>20</v>
      </c>
      <c r="J744" s="32">
        <v>45500</v>
      </c>
      <c r="K744" s="28" t="s">
        <v>20</v>
      </c>
      <c r="L744" s="33">
        <v>0.125</v>
      </c>
      <c r="M744" s="33">
        <v>0.05</v>
      </c>
      <c r="N744" s="30"/>
      <c r="O744" s="31" t="s">
        <v>20</v>
      </c>
      <c r="P744" s="27">
        <f t="shared" si="168"/>
        <v>24</v>
      </c>
      <c r="Q744" s="31" t="s">
        <v>20</v>
      </c>
      <c r="R744" s="32">
        <f t="shared" si="169"/>
        <v>907725</v>
      </c>
      <c r="S744" s="32">
        <f t="shared" si="159"/>
        <v>817770.27027027018</v>
      </c>
    </row>
    <row r="745" spans="1:19" s="17" customFormat="1">
      <c r="A745" s="16"/>
      <c r="C745" s="18"/>
      <c r="D745" s="19"/>
      <c r="E745" s="20"/>
      <c r="F745" s="21"/>
      <c r="G745" s="22"/>
      <c r="H745" s="21"/>
      <c r="I745" s="22"/>
      <c r="J745" s="23"/>
      <c r="K745" s="19"/>
      <c r="L745" s="24"/>
      <c r="M745" s="24"/>
      <c r="N745" s="21"/>
      <c r="O745" s="22"/>
      <c r="P745" s="18"/>
      <c r="Q745" s="22"/>
      <c r="R745" s="23"/>
      <c r="S745" s="23"/>
    </row>
    <row r="746" spans="1:19" s="17" customFormat="1">
      <c r="A746" s="16" t="s">
        <v>564</v>
      </c>
      <c r="B746" s="17" t="s">
        <v>26</v>
      </c>
      <c r="C746" s="18"/>
      <c r="D746" s="19" t="s">
        <v>20</v>
      </c>
      <c r="E746" s="20"/>
      <c r="F746" s="21">
        <v>10</v>
      </c>
      <c r="G746" s="22" t="s">
        <v>43</v>
      </c>
      <c r="H746" s="21">
        <v>12</v>
      </c>
      <c r="I746" s="22" t="s">
        <v>20</v>
      </c>
      <c r="J746" s="23">
        <f>1500000/10/12</f>
        <v>12500</v>
      </c>
      <c r="K746" s="19" t="s">
        <v>20</v>
      </c>
      <c r="L746" s="24"/>
      <c r="M746" s="24">
        <v>0.17</v>
      </c>
      <c r="N746" s="21"/>
      <c r="O746" s="22" t="s">
        <v>20</v>
      </c>
      <c r="P746" s="18">
        <f t="shared" si="168"/>
        <v>0</v>
      </c>
      <c r="Q746" s="22" t="s">
        <v>20</v>
      </c>
      <c r="R746" s="23">
        <f t="shared" si="169"/>
        <v>0</v>
      </c>
      <c r="S746" s="23">
        <f t="shared" si="159"/>
        <v>0</v>
      </c>
    </row>
    <row r="747" spans="1:19" s="45" customFormat="1">
      <c r="A747" s="44" t="s">
        <v>565</v>
      </c>
      <c r="B747" s="45" t="s">
        <v>26</v>
      </c>
      <c r="C747" s="46"/>
      <c r="D747" s="47" t="s">
        <v>43</v>
      </c>
      <c r="E747" s="48">
        <f>1+1</f>
        <v>2</v>
      </c>
      <c r="F747" s="49">
        <v>1</v>
      </c>
      <c r="G747" s="50" t="s">
        <v>21</v>
      </c>
      <c r="H747" s="49">
        <v>10</v>
      </c>
      <c r="I747" s="50" t="s">
        <v>43</v>
      </c>
      <c r="J747" s="51">
        <f>1560000/10</f>
        <v>156000</v>
      </c>
      <c r="K747" s="47" t="s">
        <v>43</v>
      </c>
      <c r="L747" s="52"/>
      <c r="M747" s="52">
        <v>0.17</v>
      </c>
      <c r="N747" s="49">
        <f>5+2</f>
        <v>7</v>
      </c>
      <c r="O747" s="50" t="s">
        <v>43</v>
      </c>
      <c r="P747" s="46">
        <f t="shared" si="168"/>
        <v>13</v>
      </c>
      <c r="Q747" s="50" t="s">
        <v>43</v>
      </c>
      <c r="R747" s="51">
        <f t="shared" si="169"/>
        <v>1683240</v>
      </c>
      <c r="S747" s="51">
        <f t="shared" si="159"/>
        <v>1516432.4324324322</v>
      </c>
    </row>
    <row r="748" spans="1:19" s="63" customFormat="1">
      <c r="A748" s="72" t="s">
        <v>566</v>
      </c>
      <c r="B748" s="63" t="s">
        <v>26</v>
      </c>
      <c r="C748" s="64"/>
      <c r="D748" s="65" t="s">
        <v>20</v>
      </c>
      <c r="E748" s="66"/>
      <c r="F748" s="67">
        <v>10</v>
      </c>
      <c r="G748" s="68" t="s">
        <v>43</v>
      </c>
      <c r="H748" s="67">
        <v>12</v>
      </c>
      <c r="I748" s="68" t="s">
        <v>20</v>
      </c>
      <c r="J748" s="69">
        <f>13000</f>
        <v>13000</v>
      </c>
      <c r="K748" s="65" t="s">
        <v>20</v>
      </c>
      <c r="L748" s="70"/>
      <c r="M748" s="70">
        <v>0.17</v>
      </c>
      <c r="N748" s="67"/>
      <c r="O748" s="68" t="s">
        <v>20</v>
      </c>
      <c r="P748" s="64">
        <f t="shared" si="168"/>
        <v>0</v>
      </c>
      <c r="Q748" s="68" t="s">
        <v>20</v>
      </c>
      <c r="R748" s="69">
        <f t="shared" si="169"/>
        <v>0</v>
      </c>
      <c r="S748" s="23">
        <f t="shared" si="159"/>
        <v>0</v>
      </c>
    </row>
    <row r="749" spans="1:19" s="45" customFormat="1">
      <c r="A749" s="44" t="s">
        <v>567</v>
      </c>
      <c r="B749" s="45" t="s">
        <v>26</v>
      </c>
      <c r="C749" s="46">
        <v>29</v>
      </c>
      <c r="D749" s="47" t="s">
        <v>43</v>
      </c>
      <c r="E749" s="48"/>
      <c r="F749" s="49">
        <v>4</v>
      </c>
      <c r="G749" s="50" t="s">
        <v>34</v>
      </c>
      <c r="H749" s="49">
        <v>2</v>
      </c>
      <c r="I749" s="50" t="s">
        <v>43</v>
      </c>
      <c r="J749" s="51">
        <f>1440000/4/2</f>
        <v>180000</v>
      </c>
      <c r="K749" s="47" t="s">
        <v>43</v>
      </c>
      <c r="L749" s="52"/>
      <c r="M749" s="52">
        <v>0.17</v>
      </c>
      <c r="N749" s="49">
        <v>1</v>
      </c>
      <c r="O749" s="50" t="s">
        <v>43</v>
      </c>
      <c r="P749" s="46">
        <f>(C749+(E749*F749*H749))-N749</f>
        <v>28</v>
      </c>
      <c r="Q749" s="50" t="s">
        <v>43</v>
      </c>
      <c r="R749" s="51">
        <f>P749*(J749-(J749*L749)-((J749-(J749*L749))*M749))</f>
        <v>4183200</v>
      </c>
      <c r="S749" s="51">
        <f t="shared" si="159"/>
        <v>3768648.6486486485</v>
      </c>
    </row>
    <row r="750" spans="1:19" s="45" customFormat="1">
      <c r="A750" s="44" t="s">
        <v>568</v>
      </c>
      <c r="B750" s="45" t="s">
        <v>26</v>
      </c>
      <c r="C750" s="46">
        <v>2</v>
      </c>
      <c r="D750" s="47" t="s">
        <v>43</v>
      </c>
      <c r="E750" s="48"/>
      <c r="F750" s="49">
        <v>1</v>
      </c>
      <c r="G750" s="50" t="s">
        <v>21</v>
      </c>
      <c r="H750" s="49">
        <v>5</v>
      </c>
      <c r="I750" s="50" t="s">
        <v>43</v>
      </c>
      <c r="J750" s="51">
        <f>1410000/5</f>
        <v>282000</v>
      </c>
      <c r="K750" s="47" t="s">
        <v>20</v>
      </c>
      <c r="L750" s="52"/>
      <c r="M750" s="52">
        <v>0.17</v>
      </c>
      <c r="N750" s="49"/>
      <c r="O750" s="50" t="s">
        <v>43</v>
      </c>
      <c r="P750" s="46">
        <f t="shared" si="168"/>
        <v>2</v>
      </c>
      <c r="Q750" s="50" t="s">
        <v>43</v>
      </c>
      <c r="R750" s="51">
        <f t="shared" si="169"/>
        <v>468120</v>
      </c>
      <c r="S750" s="51">
        <f t="shared" si="159"/>
        <v>421729.7297297297</v>
      </c>
    </row>
    <row r="751" spans="1:19" s="45" customFormat="1">
      <c r="A751" s="35" t="s">
        <v>569</v>
      </c>
      <c r="B751" s="36" t="s">
        <v>26</v>
      </c>
      <c r="C751" s="37">
        <v>6</v>
      </c>
      <c r="D751" s="38" t="s">
        <v>43</v>
      </c>
      <c r="E751" s="39">
        <v>1</v>
      </c>
      <c r="F751" s="40">
        <v>1</v>
      </c>
      <c r="G751" s="41" t="s">
        <v>21</v>
      </c>
      <c r="H751" s="40">
        <v>4</v>
      </c>
      <c r="I751" s="41" t="s">
        <v>43</v>
      </c>
      <c r="J751" s="42">
        <f>1536000/4</f>
        <v>384000</v>
      </c>
      <c r="K751" s="38" t="s">
        <v>43</v>
      </c>
      <c r="L751" s="43"/>
      <c r="M751" s="43">
        <v>0.17</v>
      </c>
      <c r="N751" s="40">
        <v>2</v>
      </c>
      <c r="O751" s="41" t="s">
        <v>43</v>
      </c>
      <c r="P751" s="37">
        <f t="shared" si="168"/>
        <v>8</v>
      </c>
      <c r="Q751" s="41" t="s">
        <v>43</v>
      </c>
      <c r="R751" s="42">
        <f t="shared" si="169"/>
        <v>2549760</v>
      </c>
      <c r="S751" s="42">
        <f t="shared" si="159"/>
        <v>2297081.0810810807</v>
      </c>
    </row>
    <row r="752" spans="1:19" s="45" customFormat="1">
      <c r="A752" s="35" t="s">
        <v>569</v>
      </c>
      <c r="B752" s="36" t="s">
        <v>26</v>
      </c>
      <c r="C752" s="37">
        <v>4</v>
      </c>
      <c r="D752" s="38" t="s">
        <v>43</v>
      </c>
      <c r="E752" s="39"/>
      <c r="F752" s="40">
        <v>1</v>
      </c>
      <c r="G752" s="41" t="s">
        <v>21</v>
      </c>
      <c r="H752" s="40">
        <v>4</v>
      </c>
      <c r="I752" s="41" t="s">
        <v>43</v>
      </c>
      <c r="J752" s="42">
        <f>1410000/4</f>
        <v>352500</v>
      </c>
      <c r="K752" s="38" t="s">
        <v>43</v>
      </c>
      <c r="L752" s="43"/>
      <c r="M752" s="43">
        <v>0.17</v>
      </c>
      <c r="N752" s="40"/>
      <c r="O752" s="41" t="s">
        <v>43</v>
      </c>
      <c r="P752" s="37">
        <f t="shared" si="168"/>
        <v>4</v>
      </c>
      <c r="Q752" s="41" t="s">
        <v>43</v>
      </c>
      <c r="R752" s="42">
        <f t="shared" si="169"/>
        <v>1170300</v>
      </c>
      <c r="S752" s="42">
        <f t="shared" si="159"/>
        <v>1054324.3243243243</v>
      </c>
    </row>
    <row r="753" spans="1:19" s="17" customFormat="1">
      <c r="A753" s="16" t="s">
        <v>570</v>
      </c>
      <c r="B753" s="17" t="s">
        <v>26</v>
      </c>
      <c r="C753" s="18"/>
      <c r="D753" s="19" t="s">
        <v>20</v>
      </c>
      <c r="E753" s="20"/>
      <c r="F753" s="21">
        <v>1</v>
      </c>
      <c r="G753" s="22" t="s">
        <v>21</v>
      </c>
      <c r="H753" s="21">
        <v>24</v>
      </c>
      <c r="I753" s="22" t="s">
        <v>20</v>
      </c>
      <c r="J753" s="23">
        <f>1164000/24</f>
        <v>48500</v>
      </c>
      <c r="K753" s="19" t="s">
        <v>20</v>
      </c>
      <c r="L753" s="24"/>
      <c r="M753" s="24">
        <v>0.17</v>
      </c>
      <c r="N753" s="21"/>
      <c r="O753" s="22" t="s">
        <v>20</v>
      </c>
      <c r="P753" s="18">
        <f t="shared" si="168"/>
        <v>0</v>
      </c>
      <c r="Q753" s="22" t="s">
        <v>20</v>
      </c>
      <c r="R753" s="23">
        <f t="shared" si="169"/>
        <v>0</v>
      </c>
      <c r="S753" s="23">
        <f t="shared" si="159"/>
        <v>0</v>
      </c>
    </row>
    <row r="754" spans="1:19" s="17" customFormat="1">
      <c r="A754" s="16" t="s">
        <v>571</v>
      </c>
      <c r="B754" s="17" t="s">
        <v>26</v>
      </c>
      <c r="C754" s="18"/>
      <c r="D754" s="19" t="s">
        <v>20</v>
      </c>
      <c r="E754" s="20">
        <v>1</v>
      </c>
      <c r="F754" s="21">
        <v>1</v>
      </c>
      <c r="G754" s="22" t="s">
        <v>21</v>
      </c>
      <c r="H754" s="21">
        <v>24</v>
      </c>
      <c r="I754" s="22" t="s">
        <v>20</v>
      </c>
      <c r="J754" s="23">
        <f>1020000/24</f>
        <v>42500</v>
      </c>
      <c r="K754" s="19" t="s">
        <v>20</v>
      </c>
      <c r="L754" s="24"/>
      <c r="M754" s="24">
        <v>0.17</v>
      </c>
      <c r="N754" s="21">
        <v>24</v>
      </c>
      <c r="O754" s="22" t="s">
        <v>20</v>
      </c>
      <c r="P754" s="18">
        <f t="shared" si="168"/>
        <v>0</v>
      </c>
      <c r="Q754" s="22" t="s">
        <v>20</v>
      </c>
      <c r="R754" s="23">
        <f t="shared" si="169"/>
        <v>0</v>
      </c>
      <c r="S754" s="23">
        <f t="shared" si="159"/>
        <v>0</v>
      </c>
    </row>
    <row r="755" spans="1:19" s="26" customFormat="1">
      <c r="A755" s="25" t="s">
        <v>572</v>
      </c>
      <c r="B755" s="26" t="s">
        <v>26</v>
      </c>
      <c r="C755" s="27"/>
      <c r="D755" s="28" t="s">
        <v>20</v>
      </c>
      <c r="E755" s="29">
        <f>1+1</f>
        <v>2</v>
      </c>
      <c r="F755" s="30">
        <v>1</v>
      </c>
      <c r="G755" s="31" t="s">
        <v>21</v>
      </c>
      <c r="H755" s="30">
        <v>24</v>
      </c>
      <c r="I755" s="31" t="s">
        <v>20</v>
      </c>
      <c r="J755" s="32">
        <f>1416000/24</f>
        <v>59000</v>
      </c>
      <c r="K755" s="28" t="s">
        <v>20</v>
      </c>
      <c r="L755" s="33"/>
      <c r="M755" s="33">
        <v>0.17</v>
      </c>
      <c r="N755" s="30">
        <v>24</v>
      </c>
      <c r="O755" s="31" t="s">
        <v>20</v>
      </c>
      <c r="P755" s="27">
        <f t="shared" si="168"/>
        <v>24</v>
      </c>
      <c r="Q755" s="31" t="s">
        <v>20</v>
      </c>
      <c r="R755" s="32">
        <f t="shared" si="169"/>
        <v>1175280</v>
      </c>
      <c r="S755" s="32">
        <f t="shared" si="159"/>
        <v>1058810.8108108107</v>
      </c>
    </row>
    <row r="756" spans="1:19">
      <c r="S756" s="23"/>
    </row>
    <row r="757" spans="1:19">
      <c r="S757" s="23"/>
    </row>
    <row r="758" spans="1:19" ht="15.75">
      <c r="A758" s="14" t="s">
        <v>585</v>
      </c>
      <c r="S758" s="23"/>
    </row>
    <row r="759" spans="1:19" s="45" customFormat="1">
      <c r="A759" s="44" t="s">
        <v>586</v>
      </c>
      <c r="B759" s="45" t="s">
        <v>19</v>
      </c>
      <c r="C759" s="46">
        <v>180</v>
      </c>
      <c r="D759" s="47" t="s">
        <v>20</v>
      </c>
      <c r="E759" s="48"/>
      <c r="F759" s="49">
        <v>72</v>
      </c>
      <c r="G759" s="50" t="s">
        <v>34</v>
      </c>
      <c r="H759" s="49">
        <v>10</v>
      </c>
      <c r="I759" s="50" t="s">
        <v>20</v>
      </c>
      <c r="J759" s="51">
        <v>3600</v>
      </c>
      <c r="K759" s="47" t="s">
        <v>20</v>
      </c>
      <c r="L759" s="52">
        <v>0.125</v>
      </c>
      <c r="M759" s="52">
        <v>0.05</v>
      </c>
      <c r="N759" s="49">
        <v>60</v>
      </c>
      <c r="O759" s="50" t="s">
        <v>20</v>
      </c>
      <c r="P759" s="46">
        <f t="shared" ref="P759:P770" si="171">(C759+(E759*F759*H759))-N759</f>
        <v>120</v>
      </c>
      <c r="Q759" s="50" t="s">
        <v>20</v>
      </c>
      <c r="R759" s="51">
        <f t="shared" ref="R759:R770" si="172">P759*(J759-(J759*L759)-((J759-(J759*L759))*M759))</f>
        <v>359100</v>
      </c>
      <c r="S759" s="51">
        <f t="shared" ref="S759:S832" si="173">R759/1.11</f>
        <v>323513.51351351349</v>
      </c>
    </row>
    <row r="760" spans="1:19" s="63" customFormat="1">
      <c r="A760" s="72" t="s">
        <v>587</v>
      </c>
      <c r="B760" s="63" t="s">
        <v>19</v>
      </c>
      <c r="C760" s="64"/>
      <c r="D760" s="65" t="s">
        <v>162</v>
      </c>
      <c r="E760" s="66"/>
      <c r="F760" s="67">
        <v>12</v>
      </c>
      <c r="G760" s="68" t="s">
        <v>34</v>
      </c>
      <c r="H760" s="67">
        <v>24</v>
      </c>
      <c r="I760" s="68" t="s">
        <v>162</v>
      </c>
      <c r="J760" s="69">
        <v>16500</v>
      </c>
      <c r="K760" s="65" t="s">
        <v>162</v>
      </c>
      <c r="L760" s="70">
        <v>0.125</v>
      </c>
      <c r="M760" s="70">
        <v>0.05</v>
      </c>
      <c r="N760" s="67"/>
      <c r="O760" s="68" t="s">
        <v>162</v>
      </c>
      <c r="P760" s="64">
        <f t="shared" si="171"/>
        <v>0</v>
      </c>
      <c r="Q760" s="68" t="s">
        <v>162</v>
      </c>
      <c r="R760" s="69">
        <f t="shared" si="172"/>
        <v>0</v>
      </c>
      <c r="S760" s="23">
        <f t="shared" si="173"/>
        <v>0</v>
      </c>
    </row>
    <row r="761" spans="1:19" s="63" customFormat="1">
      <c r="A761" s="72"/>
      <c r="C761" s="64"/>
      <c r="D761" s="65"/>
      <c r="E761" s="66"/>
      <c r="F761" s="67"/>
      <c r="G761" s="68"/>
      <c r="H761" s="67"/>
      <c r="I761" s="68"/>
      <c r="J761" s="69"/>
      <c r="K761" s="65"/>
      <c r="L761" s="70"/>
      <c r="M761" s="70"/>
      <c r="N761" s="67"/>
      <c r="O761" s="68"/>
      <c r="P761" s="64"/>
      <c r="Q761" s="68"/>
      <c r="R761" s="69"/>
      <c r="S761" s="23"/>
    </row>
    <row r="762" spans="1:19" s="26" customFormat="1">
      <c r="A762" s="25" t="s">
        <v>588</v>
      </c>
      <c r="B762" s="26" t="s">
        <v>26</v>
      </c>
      <c r="C762" s="27">
        <v>400</v>
      </c>
      <c r="D762" s="28" t="s">
        <v>20</v>
      </c>
      <c r="E762" s="29"/>
      <c r="F762" s="30">
        <v>48</v>
      </c>
      <c r="G762" s="31" t="s">
        <v>34</v>
      </c>
      <c r="H762" s="30">
        <v>10</v>
      </c>
      <c r="I762" s="31" t="s">
        <v>20</v>
      </c>
      <c r="J762" s="32">
        <f>30500/10</f>
        <v>3050</v>
      </c>
      <c r="K762" s="28" t="s">
        <v>20</v>
      </c>
      <c r="L762" s="33"/>
      <c r="M762" s="33">
        <v>0.17</v>
      </c>
      <c r="N762" s="30">
        <f>(2*10)+20</f>
        <v>40</v>
      </c>
      <c r="O762" s="31" t="s">
        <v>20</v>
      </c>
      <c r="P762" s="27">
        <f t="shared" si="171"/>
        <v>360</v>
      </c>
      <c r="Q762" s="31" t="s">
        <v>20</v>
      </c>
      <c r="R762" s="32">
        <f t="shared" si="172"/>
        <v>911340</v>
      </c>
      <c r="S762" s="32">
        <f t="shared" si="173"/>
        <v>821027.02702702698</v>
      </c>
    </row>
    <row r="763" spans="1:19" s="17" customFormat="1">
      <c r="A763" s="16" t="s">
        <v>589</v>
      </c>
      <c r="B763" s="17" t="s">
        <v>26</v>
      </c>
      <c r="C763" s="18"/>
      <c r="D763" s="19" t="s">
        <v>20</v>
      </c>
      <c r="E763" s="20"/>
      <c r="F763" s="21">
        <v>48</v>
      </c>
      <c r="G763" s="22" t="s">
        <v>34</v>
      </c>
      <c r="H763" s="21">
        <v>10</v>
      </c>
      <c r="I763" s="22" t="s">
        <v>20</v>
      </c>
      <c r="J763" s="23">
        <f>30500/10</f>
        <v>3050</v>
      </c>
      <c r="K763" s="19" t="s">
        <v>20</v>
      </c>
      <c r="L763" s="24"/>
      <c r="M763" s="24">
        <v>0.17</v>
      </c>
      <c r="N763" s="21"/>
      <c r="O763" s="22" t="s">
        <v>20</v>
      </c>
      <c r="P763" s="18">
        <f t="shared" si="171"/>
        <v>0</v>
      </c>
      <c r="Q763" s="22" t="s">
        <v>20</v>
      </c>
      <c r="R763" s="23">
        <f t="shared" si="172"/>
        <v>0</v>
      </c>
      <c r="S763" s="23">
        <f t="shared" si="173"/>
        <v>0</v>
      </c>
    </row>
    <row r="764" spans="1:19" s="17" customFormat="1">
      <c r="A764" s="16" t="s">
        <v>590</v>
      </c>
      <c r="B764" s="17" t="s">
        <v>26</v>
      </c>
      <c r="C764" s="18"/>
      <c r="D764" s="19" t="s">
        <v>43</v>
      </c>
      <c r="E764" s="20"/>
      <c r="F764" s="21">
        <v>12</v>
      </c>
      <c r="G764" s="22" t="s">
        <v>34</v>
      </c>
      <c r="H764" s="21">
        <v>12</v>
      </c>
      <c r="I764" s="22" t="s">
        <v>43</v>
      </c>
      <c r="J764" s="23">
        <v>25800</v>
      </c>
      <c r="K764" s="19" t="s">
        <v>43</v>
      </c>
      <c r="L764" s="24"/>
      <c r="M764" s="24">
        <v>0.17</v>
      </c>
      <c r="N764" s="21"/>
      <c r="O764" s="22" t="s">
        <v>43</v>
      </c>
      <c r="P764" s="18">
        <f t="shared" si="171"/>
        <v>0</v>
      </c>
      <c r="Q764" s="22" t="s">
        <v>43</v>
      </c>
      <c r="R764" s="23">
        <f t="shared" si="172"/>
        <v>0</v>
      </c>
      <c r="S764" s="23">
        <f t="shared" si="173"/>
        <v>0</v>
      </c>
    </row>
    <row r="765" spans="1:19" s="17" customFormat="1">
      <c r="A765" s="16"/>
      <c r="C765" s="18"/>
      <c r="D765" s="19"/>
      <c r="E765" s="20"/>
      <c r="F765" s="21"/>
      <c r="G765" s="22"/>
      <c r="H765" s="21"/>
      <c r="I765" s="22"/>
      <c r="J765" s="23"/>
      <c r="K765" s="19"/>
      <c r="L765" s="24"/>
      <c r="M765" s="24"/>
      <c r="N765" s="21"/>
      <c r="O765" s="22"/>
      <c r="P765" s="18"/>
      <c r="Q765" s="22"/>
      <c r="R765" s="23"/>
      <c r="S765" s="23"/>
    </row>
    <row r="766" spans="1:19" s="63" customFormat="1">
      <c r="A766" s="72" t="s">
        <v>591</v>
      </c>
      <c r="B766" s="63" t="s">
        <v>275</v>
      </c>
      <c r="C766" s="64"/>
      <c r="D766" s="65" t="s">
        <v>104</v>
      </c>
      <c r="E766" s="66"/>
      <c r="F766" s="67">
        <v>1</v>
      </c>
      <c r="G766" s="68" t="s">
        <v>21</v>
      </c>
      <c r="H766" s="67">
        <v>24</v>
      </c>
      <c r="I766" s="68" t="s">
        <v>104</v>
      </c>
      <c r="J766" s="69">
        <v>94000</v>
      </c>
      <c r="K766" s="65" t="s">
        <v>104</v>
      </c>
      <c r="L766" s="70"/>
      <c r="M766" s="70"/>
      <c r="N766" s="67"/>
      <c r="O766" s="68" t="s">
        <v>104</v>
      </c>
      <c r="P766" s="64">
        <f t="shared" si="171"/>
        <v>0</v>
      </c>
      <c r="Q766" s="68" t="s">
        <v>104</v>
      </c>
      <c r="R766" s="69">
        <f t="shared" si="172"/>
        <v>0</v>
      </c>
      <c r="S766" s="23">
        <f t="shared" si="173"/>
        <v>0</v>
      </c>
    </row>
    <row r="767" spans="1:19" s="63" customFormat="1">
      <c r="A767" s="72"/>
      <c r="C767" s="64"/>
      <c r="D767" s="65"/>
      <c r="E767" s="66"/>
      <c r="F767" s="67"/>
      <c r="G767" s="68"/>
      <c r="H767" s="67"/>
      <c r="I767" s="68"/>
      <c r="J767" s="69"/>
      <c r="K767" s="65"/>
      <c r="L767" s="70"/>
      <c r="M767" s="70"/>
      <c r="N767" s="67"/>
      <c r="O767" s="68"/>
      <c r="P767" s="64"/>
      <c r="Q767" s="68"/>
      <c r="R767" s="69"/>
      <c r="S767" s="23"/>
    </row>
    <row r="768" spans="1:19" s="26" customFormat="1">
      <c r="A768" s="25" t="s">
        <v>592</v>
      </c>
      <c r="B768" s="26" t="s">
        <v>182</v>
      </c>
      <c r="C768" s="27">
        <v>657</v>
      </c>
      <c r="D768" s="28" t="s">
        <v>43</v>
      </c>
      <c r="E768" s="29"/>
      <c r="F768" s="30">
        <v>1</v>
      </c>
      <c r="G768" s="31" t="s">
        <v>21</v>
      </c>
      <c r="H768" s="30">
        <v>108</v>
      </c>
      <c r="I768" s="31" t="s">
        <v>43</v>
      </c>
      <c r="J768" s="32">
        <v>18000</v>
      </c>
      <c r="K768" s="28" t="s">
        <v>43</v>
      </c>
      <c r="L768" s="33">
        <v>0.05</v>
      </c>
      <c r="M768" s="33"/>
      <c r="N768" s="30">
        <f>1+108+5+108</f>
        <v>222</v>
      </c>
      <c r="O768" s="31" t="s">
        <v>43</v>
      </c>
      <c r="P768" s="27">
        <f t="shared" si="171"/>
        <v>435</v>
      </c>
      <c r="Q768" s="31" t="s">
        <v>43</v>
      </c>
      <c r="R768" s="32">
        <f t="shared" si="172"/>
        <v>7438500</v>
      </c>
      <c r="S768" s="32">
        <f t="shared" si="173"/>
        <v>6701351.3513513505</v>
      </c>
    </row>
    <row r="769" spans="1:19" s="26" customFormat="1">
      <c r="A769" s="25"/>
      <c r="C769" s="27"/>
      <c r="D769" s="28"/>
      <c r="E769" s="29"/>
      <c r="F769" s="30"/>
      <c r="G769" s="31"/>
      <c r="H769" s="30"/>
      <c r="I769" s="31"/>
      <c r="J769" s="32"/>
      <c r="K769" s="28"/>
      <c r="L769" s="33"/>
      <c r="M769" s="33"/>
      <c r="N769" s="30"/>
      <c r="O769" s="31"/>
      <c r="P769" s="27"/>
      <c r="Q769" s="31"/>
      <c r="R769" s="32"/>
      <c r="S769" s="32"/>
    </row>
    <row r="770" spans="1:19" s="26" customFormat="1">
      <c r="A770" s="25" t="s">
        <v>738</v>
      </c>
      <c r="B770" s="26" t="s">
        <v>659</v>
      </c>
      <c r="C770" s="27">
        <v>3400</v>
      </c>
      <c r="D770" s="28" t="s">
        <v>20</v>
      </c>
      <c r="E770" s="29"/>
      <c r="F770" s="30">
        <v>1</v>
      </c>
      <c r="G770" s="31" t="s">
        <v>21</v>
      </c>
      <c r="H770" s="30">
        <v>600</v>
      </c>
      <c r="I770" s="31" t="s">
        <v>20</v>
      </c>
      <c r="J770" s="32">
        <v>2700</v>
      </c>
      <c r="K770" s="28" t="s">
        <v>20</v>
      </c>
      <c r="L770" s="33">
        <v>0.35</v>
      </c>
      <c r="M770" s="33"/>
      <c r="N770" s="30"/>
      <c r="O770" s="31" t="s">
        <v>20</v>
      </c>
      <c r="P770" s="27">
        <f t="shared" si="171"/>
        <v>3400</v>
      </c>
      <c r="Q770" s="31" t="s">
        <v>20</v>
      </c>
      <c r="R770" s="32">
        <f t="shared" si="172"/>
        <v>5967000</v>
      </c>
      <c r="S770" s="32">
        <f t="shared" si="173"/>
        <v>5375675.6756756753</v>
      </c>
    </row>
    <row r="771" spans="1:19">
      <c r="S771" s="23"/>
    </row>
    <row r="772" spans="1:19" ht="15.75">
      <c r="A772" s="14" t="s">
        <v>593</v>
      </c>
      <c r="S772" s="23"/>
    </row>
    <row r="773" spans="1:19">
      <c r="A773" s="15" t="s">
        <v>594</v>
      </c>
      <c r="S773" s="23"/>
    </row>
    <row r="774" spans="1:19" s="63" customFormat="1">
      <c r="A774" s="72" t="s">
        <v>595</v>
      </c>
      <c r="B774" s="63" t="s">
        <v>19</v>
      </c>
      <c r="C774" s="64"/>
      <c r="D774" s="65" t="s">
        <v>20</v>
      </c>
      <c r="E774" s="66"/>
      <c r="F774" s="67">
        <v>40</v>
      </c>
      <c r="G774" s="68" t="s">
        <v>104</v>
      </c>
      <c r="H774" s="67">
        <v>12</v>
      </c>
      <c r="I774" s="68" t="s">
        <v>20</v>
      </c>
      <c r="J774" s="69">
        <v>6700</v>
      </c>
      <c r="K774" s="65" t="s">
        <v>20</v>
      </c>
      <c r="L774" s="70">
        <v>0.125</v>
      </c>
      <c r="M774" s="70">
        <v>0.05</v>
      </c>
      <c r="N774" s="67"/>
      <c r="O774" s="68" t="s">
        <v>20</v>
      </c>
      <c r="P774" s="64">
        <f t="shared" ref="P774" si="174">(C774+(E774*F774*H774))-N774</f>
        <v>0</v>
      </c>
      <c r="Q774" s="68" t="s">
        <v>20</v>
      </c>
      <c r="R774" s="69">
        <f t="shared" ref="R774" si="175">P774*(J774-(J774*L774)-((J774-(J774*L774))*M774))</f>
        <v>0</v>
      </c>
      <c r="S774" s="23">
        <f t="shared" si="173"/>
        <v>0</v>
      </c>
    </row>
    <row r="775" spans="1:19" s="63" customFormat="1">
      <c r="A775" s="72" t="s">
        <v>596</v>
      </c>
      <c r="B775" s="63" t="s">
        <v>19</v>
      </c>
      <c r="C775" s="64"/>
      <c r="D775" s="65" t="s">
        <v>20</v>
      </c>
      <c r="E775" s="66"/>
      <c r="F775" s="67">
        <v>20</v>
      </c>
      <c r="G775" s="68" t="s">
        <v>104</v>
      </c>
      <c r="H775" s="67">
        <v>12</v>
      </c>
      <c r="I775" s="68" t="s">
        <v>20</v>
      </c>
      <c r="J775" s="69">
        <v>8400</v>
      </c>
      <c r="K775" s="65" t="s">
        <v>20</v>
      </c>
      <c r="L775" s="70">
        <v>0.125</v>
      </c>
      <c r="M775" s="70">
        <v>0.05</v>
      </c>
      <c r="N775" s="67"/>
      <c r="O775" s="68" t="s">
        <v>20</v>
      </c>
      <c r="P775" s="64">
        <f>(C775+(E775*F775*H775))-N775</f>
        <v>0</v>
      </c>
      <c r="Q775" s="68" t="s">
        <v>20</v>
      </c>
      <c r="R775" s="69">
        <f>P775*(J775-(J775*L775)-((J775-(J775*L775))*M775))</f>
        <v>0</v>
      </c>
      <c r="S775" s="23">
        <f t="shared" si="173"/>
        <v>0</v>
      </c>
    </row>
    <row r="776" spans="1:19" s="63" customFormat="1">
      <c r="A776" s="72"/>
      <c r="C776" s="64"/>
      <c r="D776" s="65"/>
      <c r="E776" s="66"/>
      <c r="F776" s="67"/>
      <c r="G776" s="68"/>
      <c r="H776" s="67"/>
      <c r="I776" s="68"/>
      <c r="J776" s="69"/>
      <c r="K776" s="65"/>
      <c r="L776" s="70"/>
      <c r="M776" s="70"/>
      <c r="N776" s="67"/>
      <c r="O776" s="68"/>
      <c r="P776" s="64"/>
      <c r="Q776" s="68"/>
      <c r="R776" s="69"/>
      <c r="S776" s="23"/>
    </row>
    <row r="777" spans="1:19" s="26" customFormat="1">
      <c r="A777" s="94" t="s">
        <v>597</v>
      </c>
      <c r="B777" s="26" t="s">
        <v>26</v>
      </c>
      <c r="C777" s="27"/>
      <c r="D777" s="28" t="s">
        <v>43</v>
      </c>
      <c r="E777" s="29">
        <v>1</v>
      </c>
      <c r="F777" s="30">
        <v>1</v>
      </c>
      <c r="G777" s="31" t="s">
        <v>21</v>
      </c>
      <c r="H777" s="30">
        <v>40</v>
      </c>
      <c r="I777" s="31" t="s">
        <v>43</v>
      </c>
      <c r="J777" s="32">
        <f>3096000/40</f>
        <v>77400</v>
      </c>
      <c r="K777" s="28" t="s">
        <v>43</v>
      </c>
      <c r="L777" s="33"/>
      <c r="M777" s="33">
        <v>0.17</v>
      </c>
      <c r="N777" s="30">
        <f>1+2+10+3</f>
        <v>16</v>
      </c>
      <c r="O777" s="31" t="s">
        <v>43</v>
      </c>
      <c r="P777" s="27">
        <f t="shared" ref="P777:P782" si="176">(C777+(E777*F777*H777))-N777</f>
        <v>24</v>
      </c>
      <c r="Q777" s="31" t="s">
        <v>43</v>
      </c>
      <c r="R777" s="32">
        <f t="shared" ref="R777:R782" si="177">P777*(J777-(J777*L777)-((J777-(J777*L777))*M777))</f>
        <v>1541808</v>
      </c>
      <c r="S777" s="32">
        <f t="shared" si="173"/>
        <v>1389016.2162162161</v>
      </c>
    </row>
    <row r="778" spans="1:19" s="26" customFormat="1">
      <c r="A778" s="94" t="s">
        <v>598</v>
      </c>
      <c r="B778" s="26" t="s">
        <v>26</v>
      </c>
      <c r="C778" s="27">
        <v>24</v>
      </c>
      <c r="D778" s="28" t="s">
        <v>43</v>
      </c>
      <c r="E778" s="29">
        <v>1</v>
      </c>
      <c r="F778" s="30">
        <v>1</v>
      </c>
      <c r="G778" s="31" t="s">
        <v>21</v>
      </c>
      <c r="H778" s="30">
        <v>40</v>
      </c>
      <c r="I778" s="31" t="s">
        <v>43</v>
      </c>
      <c r="J778" s="32">
        <f>2976000/40</f>
        <v>74400</v>
      </c>
      <c r="K778" s="28" t="s">
        <v>43</v>
      </c>
      <c r="L778" s="33"/>
      <c r="M778" s="33">
        <v>0.17</v>
      </c>
      <c r="N778" s="30">
        <f>7+2</f>
        <v>9</v>
      </c>
      <c r="O778" s="31" t="s">
        <v>43</v>
      </c>
      <c r="P778" s="27">
        <f t="shared" si="176"/>
        <v>55</v>
      </c>
      <c r="Q778" s="31" t="s">
        <v>43</v>
      </c>
      <c r="R778" s="32">
        <f t="shared" si="177"/>
        <v>3396360</v>
      </c>
      <c r="S778" s="32">
        <f t="shared" si="173"/>
        <v>3059783.7837837837</v>
      </c>
    </row>
    <row r="779" spans="1:19" s="17" customFormat="1">
      <c r="A779" s="93" t="s">
        <v>599</v>
      </c>
      <c r="B779" s="17" t="s">
        <v>26</v>
      </c>
      <c r="C779" s="18"/>
      <c r="D779" s="19" t="s">
        <v>20</v>
      </c>
      <c r="E779" s="20"/>
      <c r="F779" s="21">
        <v>1</v>
      </c>
      <c r="G779" s="22" t="s">
        <v>21</v>
      </c>
      <c r="H779" s="21">
        <v>20</v>
      </c>
      <c r="I779" s="22" t="s">
        <v>20</v>
      </c>
      <c r="J779" s="23">
        <v>90000</v>
      </c>
      <c r="K779" s="19" t="s">
        <v>20</v>
      </c>
      <c r="L779" s="24"/>
      <c r="M779" s="24">
        <v>0.17</v>
      </c>
      <c r="N779" s="21"/>
      <c r="O779" s="22" t="s">
        <v>20</v>
      </c>
      <c r="P779" s="18">
        <f t="shared" si="176"/>
        <v>0</v>
      </c>
      <c r="Q779" s="22" t="s">
        <v>20</v>
      </c>
      <c r="R779" s="23">
        <f t="shared" si="177"/>
        <v>0</v>
      </c>
      <c r="S779" s="23">
        <f t="shared" si="173"/>
        <v>0</v>
      </c>
    </row>
    <row r="780" spans="1:19" s="17" customFormat="1">
      <c r="A780" s="93" t="s">
        <v>600</v>
      </c>
      <c r="B780" s="17" t="s">
        <v>26</v>
      </c>
      <c r="C780" s="18"/>
      <c r="D780" s="19" t="s">
        <v>20</v>
      </c>
      <c r="E780" s="20"/>
      <c r="F780" s="21">
        <v>1</v>
      </c>
      <c r="G780" s="22" t="s">
        <v>21</v>
      </c>
      <c r="H780" s="21">
        <v>20</v>
      </c>
      <c r="I780" s="22" t="s">
        <v>20</v>
      </c>
      <c r="J780" s="23">
        <v>87500</v>
      </c>
      <c r="K780" s="19" t="s">
        <v>20</v>
      </c>
      <c r="L780" s="24"/>
      <c r="M780" s="24">
        <v>0.17</v>
      </c>
      <c r="N780" s="21"/>
      <c r="O780" s="22" t="s">
        <v>20</v>
      </c>
      <c r="P780" s="18">
        <f t="shared" si="176"/>
        <v>0</v>
      </c>
      <c r="Q780" s="22" t="s">
        <v>20</v>
      </c>
      <c r="R780" s="23">
        <f t="shared" si="177"/>
        <v>0</v>
      </c>
      <c r="S780" s="23">
        <f t="shared" si="173"/>
        <v>0</v>
      </c>
    </row>
    <row r="781" spans="1:19" s="26" customFormat="1">
      <c r="A781" s="94" t="s">
        <v>601</v>
      </c>
      <c r="B781" s="26" t="s">
        <v>26</v>
      </c>
      <c r="C781" s="27">
        <v>39</v>
      </c>
      <c r="D781" s="28" t="s">
        <v>43</v>
      </c>
      <c r="E781" s="29"/>
      <c r="F781" s="30">
        <v>1</v>
      </c>
      <c r="G781" s="31" t="s">
        <v>21</v>
      </c>
      <c r="H781" s="30">
        <v>40</v>
      </c>
      <c r="I781" s="31" t="s">
        <v>43</v>
      </c>
      <c r="J781" s="32">
        <f>3360000/40</f>
        <v>84000</v>
      </c>
      <c r="K781" s="28" t="s">
        <v>43</v>
      </c>
      <c r="L781" s="33"/>
      <c r="M781" s="33">
        <v>0.17</v>
      </c>
      <c r="N781" s="30">
        <f>3+1+2</f>
        <v>6</v>
      </c>
      <c r="O781" s="31" t="s">
        <v>43</v>
      </c>
      <c r="P781" s="27">
        <f t="shared" si="176"/>
        <v>33</v>
      </c>
      <c r="Q781" s="31" t="s">
        <v>43</v>
      </c>
      <c r="R781" s="32">
        <f t="shared" si="177"/>
        <v>2300760</v>
      </c>
      <c r="S781" s="32">
        <f t="shared" si="173"/>
        <v>2072756.7567567567</v>
      </c>
    </row>
    <row r="782" spans="1:19" s="26" customFormat="1">
      <c r="A782" s="94" t="s">
        <v>602</v>
      </c>
      <c r="B782" s="26" t="s">
        <v>26</v>
      </c>
      <c r="C782" s="27">
        <v>13</v>
      </c>
      <c r="D782" s="28" t="s">
        <v>43</v>
      </c>
      <c r="E782" s="29">
        <v>1</v>
      </c>
      <c r="F782" s="30">
        <v>1</v>
      </c>
      <c r="G782" s="31" t="s">
        <v>21</v>
      </c>
      <c r="H782" s="30">
        <v>20</v>
      </c>
      <c r="I782" s="31" t="s">
        <v>43</v>
      </c>
      <c r="J782" s="32">
        <f>1992000/20</f>
        <v>99600</v>
      </c>
      <c r="K782" s="28" t="s">
        <v>43</v>
      </c>
      <c r="L782" s="33"/>
      <c r="M782" s="33">
        <v>0.17</v>
      </c>
      <c r="N782" s="30">
        <v>3</v>
      </c>
      <c r="O782" s="31" t="s">
        <v>43</v>
      </c>
      <c r="P782" s="27">
        <f t="shared" si="176"/>
        <v>30</v>
      </c>
      <c r="Q782" s="31" t="s">
        <v>43</v>
      </c>
      <c r="R782" s="32">
        <f t="shared" si="177"/>
        <v>2480040</v>
      </c>
      <c r="S782" s="32">
        <f t="shared" si="173"/>
        <v>2234270.2702702703</v>
      </c>
    </row>
    <row r="783" spans="1:19" s="26" customFormat="1">
      <c r="A783" s="94"/>
      <c r="C783" s="27"/>
      <c r="D783" s="28"/>
      <c r="E783" s="29"/>
      <c r="F783" s="30"/>
      <c r="G783" s="31"/>
      <c r="H783" s="30"/>
      <c r="I783" s="31"/>
      <c r="J783" s="32"/>
      <c r="K783" s="28"/>
      <c r="L783" s="33"/>
      <c r="M783" s="33"/>
      <c r="N783" s="30"/>
      <c r="O783" s="31"/>
      <c r="P783" s="27"/>
      <c r="Q783" s="31"/>
      <c r="R783" s="32"/>
      <c r="S783" s="32"/>
    </row>
    <row r="784" spans="1:19">
      <c r="A784" s="15" t="s">
        <v>603</v>
      </c>
      <c r="S784" s="23"/>
    </row>
    <row r="785" spans="1:19" s="63" customFormat="1">
      <c r="A785" s="72" t="s">
        <v>604</v>
      </c>
      <c r="B785" s="63" t="s">
        <v>19</v>
      </c>
      <c r="C785" s="64"/>
      <c r="D785" s="65" t="s">
        <v>43</v>
      </c>
      <c r="E785" s="66">
        <v>1</v>
      </c>
      <c r="F785" s="67">
        <v>18</v>
      </c>
      <c r="G785" s="68" t="s">
        <v>104</v>
      </c>
      <c r="H785" s="67">
        <v>1</v>
      </c>
      <c r="I785" s="68" t="s">
        <v>43</v>
      </c>
      <c r="J785" s="69">
        <f>5300*12</f>
        <v>63600</v>
      </c>
      <c r="K785" s="65" t="s">
        <v>43</v>
      </c>
      <c r="L785" s="70">
        <v>0.125</v>
      </c>
      <c r="M785" s="70">
        <v>0.05</v>
      </c>
      <c r="N785" s="67">
        <f>(216/12)</f>
        <v>18</v>
      </c>
      <c r="O785" s="68" t="s">
        <v>43</v>
      </c>
      <c r="P785" s="64">
        <f t="shared" ref="P785:P791" si="178">(C785+(E785*F785*H785))-N785</f>
        <v>0</v>
      </c>
      <c r="Q785" s="68" t="s">
        <v>43</v>
      </c>
      <c r="R785" s="69">
        <f t="shared" ref="R785:R791" si="179">P785*(J785-(J785*L785)-((J785-(J785*L785))*M785))</f>
        <v>0</v>
      </c>
      <c r="S785" s="23">
        <f t="shared" si="173"/>
        <v>0</v>
      </c>
    </row>
    <row r="786" spans="1:19" s="63" customFormat="1">
      <c r="A786" s="72" t="s">
        <v>605</v>
      </c>
      <c r="B786" s="63" t="s">
        <v>19</v>
      </c>
      <c r="C786" s="64"/>
      <c r="D786" s="65" t="s">
        <v>43</v>
      </c>
      <c r="E786" s="66"/>
      <c r="F786" s="67">
        <v>24</v>
      </c>
      <c r="G786" s="68" t="s">
        <v>104</v>
      </c>
      <c r="H786" s="67">
        <v>2</v>
      </c>
      <c r="I786" s="68" t="s">
        <v>43</v>
      </c>
      <c r="J786" s="69">
        <f>4900*12</f>
        <v>58800</v>
      </c>
      <c r="K786" s="65" t="s">
        <v>43</v>
      </c>
      <c r="L786" s="70">
        <v>0.125</v>
      </c>
      <c r="M786" s="70">
        <v>0.05</v>
      </c>
      <c r="N786" s="67"/>
      <c r="O786" s="68" t="s">
        <v>43</v>
      </c>
      <c r="P786" s="64">
        <f t="shared" si="178"/>
        <v>0</v>
      </c>
      <c r="Q786" s="68" t="s">
        <v>43</v>
      </c>
      <c r="R786" s="69">
        <f t="shared" si="179"/>
        <v>0</v>
      </c>
      <c r="S786" s="23">
        <f t="shared" si="173"/>
        <v>0</v>
      </c>
    </row>
    <row r="787" spans="1:19" s="63" customFormat="1">
      <c r="A787" s="72" t="s">
        <v>606</v>
      </c>
      <c r="B787" s="63" t="s">
        <v>19</v>
      </c>
      <c r="C787" s="64"/>
      <c r="D787" s="65" t="s">
        <v>43</v>
      </c>
      <c r="E787" s="66"/>
      <c r="F787" s="67">
        <v>18</v>
      </c>
      <c r="G787" s="68" t="s">
        <v>104</v>
      </c>
      <c r="H787" s="67">
        <v>1</v>
      </c>
      <c r="I787" s="68" t="s">
        <v>43</v>
      </c>
      <c r="J787" s="69">
        <f>6100*12</f>
        <v>73200</v>
      </c>
      <c r="K787" s="65" t="s">
        <v>43</v>
      </c>
      <c r="L787" s="70">
        <v>0.125</v>
      </c>
      <c r="M787" s="70">
        <v>0.05</v>
      </c>
      <c r="N787" s="67"/>
      <c r="O787" s="68" t="s">
        <v>43</v>
      </c>
      <c r="P787" s="64">
        <f t="shared" si="178"/>
        <v>0</v>
      </c>
      <c r="Q787" s="68" t="s">
        <v>43</v>
      </c>
      <c r="R787" s="69">
        <f t="shared" si="179"/>
        <v>0</v>
      </c>
      <c r="S787" s="23">
        <f t="shared" si="173"/>
        <v>0</v>
      </c>
    </row>
    <row r="788" spans="1:19" s="63" customFormat="1">
      <c r="A788" s="72" t="s">
        <v>607</v>
      </c>
      <c r="B788" s="63" t="s">
        <v>19</v>
      </c>
      <c r="C788" s="64"/>
      <c r="D788" s="65" t="s">
        <v>43</v>
      </c>
      <c r="E788" s="66"/>
      <c r="F788" s="67">
        <v>24</v>
      </c>
      <c r="G788" s="68" t="s">
        <v>104</v>
      </c>
      <c r="H788" s="67">
        <v>6</v>
      </c>
      <c r="I788" s="68" t="s">
        <v>20</v>
      </c>
      <c r="J788" s="69">
        <v>12600</v>
      </c>
      <c r="K788" s="65" t="s">
        <v>20</v>
      </c>
      <c r="L788" s="70">
        <v>0.125</v>
      </c>
      <c r="M788" s="70">
        <v>0.05</v>
      </c>
      <c r="N788" s="67">
        <v>144</v>
      </c>
      <c r="O788" s="68" t="s">
        <v>20</v>
      </c>
      <c r="P788" s="64">
        <f t="shared" si="178"/>
        <v>-144</v>
      </c>
      <c r="Q788" s="68" t="s">
        <v>20</v>
      </c>
      <c r="R788" s="69">
        <f t="shared" si="179"/>
        <v>-1508220</v>
      </c>
      <c r="S788" s="23">
        <f t="shared" si="173"/>
        <v>-1358756.7567567567</v>
      </c>
    </row>
    <row r="789" spans="1:19" s="63" customFormat="1">
      <c r="A789" s="72"/>
      <c r="C789" s="64"/>
      <c r="D789" s="65"/>
      <c r="E789" s="66"/>
      <c r="F789" s="67"/>
      <c r="G789" s="68"/>
      <c r="H789" s="67"/>
      <c r="I789" s="68"/>
      <c r="J789" s="69"/>
      <c r="K789" s="65"/>
      <c r="L789" s="70"/>
      <c r="M789" s="70"/>
      <c r="N789" s="67"/>
      <c r="O789" s="68"/>
      <c r="P789" s="64"/>
      <c r="Q789" s="68"/>
      <c r="R789" s="69"/>
      <c r="S789" s="23"/>
    </row>
    <row r="790" spans="1:19" s="45" customFormat="1">
      <c r="A790" s="44" t="s">
        <v>608</v>
      </c>
      <c r="B790" s="45" t="s">
        <v>26</v>
      </c>
      <c r="C790" s="46">
        <v>34</v>
      </c>
      <c r="D790" s="47" t="s">
        <v>43</v>
      </c>
      <c r="E790" s="48">
        <v>2</v>
      </c>
      <c r="F790" s="49">
        <v>1</v>
      </c>
      <c r="G790" s="50" t="s">
        <v>21</v>
      </c>
      <c r="H790" s="49">
        <v>18</v>
      </c>
      <c r="I790" s="50" t="s">
        <v>43</v>
      </c>
      <c r="J790" s="51">
        <f>1069200/18</f>
        <v>59400</v>
      </c>
      <c r="K790" s="47" t="s">
        <v>43</v>
      </c>
      <c r="L790" s="52"/>
      <c r="M790" s="52">
        <v>0.17</v>
      </c>
      <c r="N790" s="49">
        <f>3+18</f>
        <v>21</v>
      </c>
      <c r="O790" s="50" t="s">
        <v>43</v>
      </c>
      <c r="P790" s="46">
        <f t="shared" si="178"/>
        <v>49</v>
      </c>
      <c r="Q790" s="50" t="s">
        <v>43</v>
      </c>
      <c r="R790" s="51">
        <f t="shared" si="179"/>
        <v>2415798</v>
      </c>
      <c r="S790" s="51">
        <f t="shared" si="173"/>
        <v>2176394.5945945946</v>
      </c>
    </row>
    <row r="791" spans="1:19" s="26" customFormat="1">
      <c r="A791" s="25" t="s">
        <v>609</v>
      </c>
      <c r="B791" s="26" t="s">
        <v>26</v>
      </c>
      <c r="C791" s="27">
        <v>5</v>
      </c>
      <c r="D791" s="28" t="s">
        <v>43</v>
      </c>
      <c r="E791" s="29">
        <f>1+1</f>
        <v>2</v>
      </c>
      <c r="F791" s="30">
        <v>1</v>
      </c>
      <c r="G791" s="31" t="s">
        <v>21</v>
      </c>
      <c r="H791" s="30">
        <v>18</v>
      </c>
      <c r="I791" s="31" t="s">
        <v>43</v>
      </c>
      <c r="J791" s="32">
        <f>1274400/18</f>
        <v>70800</v>
      </c>
      <c r="K791" s="28" t="s">
        <v>43</v>
      </c>
      <c r="L791" s="33"/>
      <c r="M791" s="33">
        <v>0.17</v>
      </c>
      <c r="N791" s="30">
        <v>18</v>
      </c>
      <c r="O791" s="31" t="s">
        <v>43</v>
      </c>
      <c r="P791" s="27">
        <f t="shared" si="178"/>
        <v>23</v>
      </c>
      <c r="Q791" s="31" t="s">
        <v>43</v>
      </c>
      <c r="R791" s="32">
        <f t="shared" si="179"/>
        <v>1351572</v>
      </c>
      <c r="S791" s="32">
        <f t="shared" si="173"/>
        <v>1217632.4324324324</v>
      </c>
    </row>
    <row r="792" spans="1:19">
      <c r="S792" s="23"/>
    </row>
    <row r="793" spans="1:19" ht="15.75">
      <c r="A793" s="14" t="s">
        <v>610</v>
      </c>
      <c r="S793" s="23"/>
    </row>
    <row r="794" spans="1:19">
      <c r="A794" s="15" t="s">
        <v>611</v>
      </c>
      <c r="S794" s="23"/>
    </row>
    <row r="795" spans="1:19" s="17" customFormat="1">
      <c r="A795" s="16" t="s">
        <v>782</v>
      </c>
      <c r="B795" s="63" t="s">
        <v>19</v>
      </c>
      <c r="C795" s="18"/>
      <c r="D795" s="19" t="s">
        <v>20</v>
      </c>
      <c r="E795" s="20"/>
      <c r="F795" s="21">
        <v>1</v>
      </c>
      <c r="G795" s="22" t="s">
        <v>21</v>
      </c>
      <c r="H795" s="21">
        <v>72</v>
      </c>
      <c r="I795" s="22" t="s">
        <v>20</v>
      </c>
      <c r="J795" s="23">
        <v>34500</v>
      </c>
      <c r="K795" s="19" t="s">
        <v>20</v>
      </c>
      <c r="L795" s="24">
        <v>0.125</v>
      </c>
      <c r="M795" s="24">
        <v>0.05</v>
      </c>
      <c r="N795" s="21"/>
      <c r="O795" s="22" t="s">
        <v>20</v>
      </c>
      <c r="P795" s="18">
        <f>(C795+(E795*F795*H795))-N795</f>
        <v>0</v>
      </c>
      <c r="Q795" s="22" t="s">
        <v>20</v>
      </c>
      <c r="R795" s="23">
        <f>P795*(J795-(J795*L795)-((J795-(J795*L795))*M795))</f>
        <v>0</v>
      </c>
      <c r="S795" s="23">
        <f t="shared" ref="S795" si="180">R795/1.11</f>
        <v>0</v>
      </c>
    </row>
    <row r="796" spans="1:19" s="17" customFormat="1">
      <c r="A796" s="16" t="s">
        <v>612</v>
      </c>
      <c r="B796" s="63" t="s">
        <v>19</v>
      </c>
      <c r="C796" s="18"/>
      <c r="D796" s="19" t="s">
        <v>20</v>
      </c>
      <c r="E796" s="20"/>
      <c r="F796" s="21">
        <v>1</v>
      </c>
      <c r="G796" s="22" t="s">
        <v>21</v>
      </c>
      <c r="H796" s="21">
        <v>24</v>
      </c>
      <c r="I796" s="22" t="s">
        <v>20</v>
      </c>
      <c r="J796" s="23">
        <v>97000</v>
      </c>
      <c r="K796" s="19" t="s">
        <v>20</v>
      </c>
      <c r="L796" s="24">
        <v>0.125</v>
      </c>
      <c r="M796" s="24">
        <v>0.05</v>
      </c>
      <c r="N796" s="21"/>
      <c r="O796" s="22" t="s">
        <v>20</v>
      </c>
      <c r="P796" s="18">
        <f>(C796+(E796*F796*H796))-N796</f>
        <v>0</v>
      </c>
      <c r="Q796" s="22" t="s">
        <v>20</v>
      </c>
      <c r="R796" s="23">
        <f>P796*(J796-(J796*L796)-((J796-(J796*L796))*M796))</f>
        <v>0</v>
      </c>
      <c r="S796" s="23">
        <f t="shared" si="173"/>
        <v>0</v>
      </c>
    </row>
    <row r="797" spans="1:19" s="17" customFormat="1">
      <c r="A797" s="16"/>
      <c r="B797" s="63"/>
      <c r="C797" s="18"/>
      <c r="D797" s="19"/>
      <c r="E797" s="20"/>
      <c r="F797" s="21"/>
      <c r="G797" s="22"/>
      <c r="H797" s="21"/>
      <c r="I797" s="22"/>
      <c r="J797" s="23"/>
      <c r="K797" s="19"/>
      <c r="L797" s="24"/>
      <c r="M797" s="24"/>
      <c r="N797" s="21"/>
      <c r="O797" s="22"/>
      <c r="P797" s="18"/>
      <c r="Q797" s="22"/>
      <c r="R797" s="23"/>
      <c r="S797" s="23"/>
    </row>
    <row r="798" spans="1:19" s="17" customFormat="1">
      <c r="A798" s="16" t="s">
        <v>613</v>
      </c>
      <c r="B798" s="17" t="s">
        <v>26</v>
      </c>
      <c r="C798" s="18"/>
      <c r="D798" s="19" t="s">
        <v>43</v>
      </c>
      <c r="E798" s="20"/>
      <c r="F798" s="21">
        <v>1</v>
      </c>
      <c r="G798" s="22" t="s">
        <v>21</v>
      </c>
      <c r="H798" s="21">
        <v>48</v>
      </c>
      <c r="I798" s="22" t="s">
        <v>20</v>
      </c>
      <c r="J798" s="23">
        <f>2400000/48</f>
        <v>50000</v>
      </c>
      <c r="K798" s="19" t="s">
        <v>20</v>
      </c>
      <c r="L798" s="24"/>
      <c r="M798" s="24">
        <v>0.17</v>
      </c>
      <c r="N798" s="21"/>
      <c r="O798" s="22" t="s">
        <v>20</v>
      </c>
      <c r="P798" s="18">
        <f>(C798+(E798*F798*H798))-N798</f>
        <v>0</v>
      </c>
      <c r="Q798" s="22" t="s">
        <v>20</v>
      </c>
      <c r="R798" s="23">
        <f>P798*(J798-(J798*L798)-((J798-(J798*L798))*M798))</f>
        <v>0</v>
      </c>
      <c r="S798" s="23">
        <f t="shared" si="173"/>
        <v>0</v>
      </c>
    </row>
    <row r="799" spans="1:19" s="17" customFormat="1">
      <c r="A799" s="16"/>
      <c r="C799" s="18"/>
      <c r="D799" s="19"/>
      <c r="E799" s="20"/>
      <c r="F799" s="21"/>
      <c r="G799" s="22"/>
      <c r="H799" s="21"/>
      <c r="I799" s="22"/>
      <c r="J799" s="23"/>
      <c r="K799" s="19"/>
      <c r="L799" s="24"/>
      <c r="M799" s="24"/>
      <c r="N799" s="21"/>
      <c r="O799" s="22"/>
      <c r="P799" s="18"/>
      <c r="Q799" s="22"/>
      <c r="R799" s="23"/>
      <c r="S799" s="23"/>
    </row>
    <row r="800" spans="1:19">
      <c r="A800" s="15" t="s">
        <v>614</v>
      </c>
      <c r="S800" s="23"/>
    </row>
    <row r="801" spans="1:19" s="45" customFormat="1">
      <c r="A801" s="44" t="s">
        <v>615</v>
      </c>
      <c r="B801" s="45" t="s">
        <v>19</v>
      </c>
      <c r="C801" s="46">
        <v>74</v>
      </c>
      <c r="D801" s="47" t="s">
        <v>43</v>
      </c>
      <c r="E801" s="48">
        <f>6+5</f>
        <v>11</v>
      </c>
      <c r="F801" s="49">
        <v>1</v>
      </c>
      <c r="G801" s="50" t="s">
        <v>21</v>
      </c>
      <c r="H801" s="49">
        <v>20</v>
      </c>
      <c r="I801" s="50" t="s">
        <v>43</v>
      </c>
      <c r="J801" s="51">
        <v>85200</v>
      </c>
      <c r="K801" s="47" t="s">
        <v>43</v>
      </c>
      <c r="L801" s="52">
        <v>0.125</v>
      </c>
      <c r="M801" s="52">
        <v>0.05</v>
      </c>
      <c r="N801" s="49">
        <f>100+20+20+100</f>
        <v>240</v>
      </c>
      <c r="O801" s="50" t="s">
        <v>43</v>
      </c>
      <c r="P801" s="46">
        <f t="shared" ref="P801:P842" si="181">(C801+(E801*F801*H801))-N801</f>
        <v>54</v>
      </c>
      <c r="Q801" s="50" t="s">
        <v>43</v>
      </c>
      <c r="R801" s="51">
        <f t="shared" ref="R801:R842" si="182">P801*(J801-(J801*L801)-((J801-(J801*L801))*M801))</f>
        <v>3824415</v>
      </c>
      <c r="S801" s="51">
        <f t="shared" si="173"/>
        <v>3445418.9189189188</v>
      </c>
    </row>
    <row r="802" spans="1:19" s="17" customFormat="1">
      <c r="A802" s="16" t="s">
        <v>616</v>
      </c>
      <c r="B802" s="17" t="s">
        <v>19</v>
      </c>
      <c r="C802" s="18"/>
      <c r="D802" s="19" t="s">
        <v>20</v>
      </c>
      <c r="E802" s="20"/>
      <c r="F802" s="21">
        <v>24</v>
      </c>
      <c r="G802" s="22" t="s">
        <v>34</v>
      </c>
      <c r="H802" s="21">
        <v>10</v>
      </c>
      <c r="I802" s="22" t="s">
        <v>20</v>
      </c>
      <c r="J802" s="23">
        <v>9750</v>
      </c>
      <c r="K802" s="19" t="s">
        <v>20</v>
      </c>
      <c r="L802" s="24">
        <v>0.125</v>
      </c>
      <c r="M802" s="24">
        <v>0.05</v>
      </c>
      <c r="N802" s="21"/>
      <c r="O802" s="22" t="s">
        <v>20</v>
      </c>
      <c r="P802" s="18">
        <f t="shared" si="181"/>
        <v>0</v>
      </c>
      <c r="Q802" s="22" t="s">
        <v>20</v>
      </c>
      <c r="R802" s="23">
        <f t="shared" si="182"/>
        <v>0</v>
      </c>
      <c r="S802" s="23">
        <f t="shared" si="173"/>
        <v>0</v>
      </c>
    </row>
    <row r="803" spans="1:19" s="17" customFormat="1">
      <c r="A803" s="16" t="s">
        <v>617</v>
      </c>
      <c r="B803" s="17" t="s">
        <v>19</v>
      </c>
      <c r="C803" s="18"/>
      <c r="D803" s="19" t="s">
        <v>43</v>
      </c>
      <c r="E803" s="20"/>
      <c r="F803" s="21">
        <v>1</v>
      </c>
      <c r="G803" s="22" t="s">
        <v>21</v>
      </c>
      <c r="H803" s="21">
        <v>25</v>
      </c>
      <c r="I803" s="22" t="s">
        <v>43</v>
      </c>
      <c r="J803" s="23">
        <v>70800</v>
      </c>
      <c r="K803" s="19" t="s">
        <v>43</v>
      </c>
      <c r="L803" s="24">
        <v>0.125</v>
      </c>
      <c r="M803" s="24">
        <v>0.05</v>
      </c>
      <c r="N803" s="21"/>
      <c r="O803" s="22" t="s">
        <v>43</v>
      </c>
      <c r="P803" s="18">
        <f t="shared" si="181"/>
        <v>0</v>
      </c>
      <c r="Q803" s="22" t="s">
        <v>43</v>
      </c>
      <c r="R803" s="23">
        <f t="shared" si="182"/>
        <v>0</v>
      </c>
      <c r="S803" s="23">
        <f t="shared" si="173"/>
        <v>0</v>
      </c>
    </row>
    <row r="804" spans="1:19" s="45" customFormat="1">
      <c r="A804" s="44" t="s">
        <v>618</v>
      </c>
      <c r="B804" s="45" t="s">
        <v>19</v>
      </c>
      <c r="C804" s="46">
        <v>200</v>
      </c>
      <c r="D804" s="47" t="s">
        <v>43</v>
      </c>
      <c r="E804" s="48"/>
      <c r="F804" s="49">
        <v>20</v>
      </c>
      <c r="G804" s="50" t="s">
        <v>34</v>
      </c>
      <c r="H804" s="49">
        <v>1</v>
      </c>
      <c r="I804" s="50" t="s">
        <v>43</v>
      </c>
      <c r="J804" s="51">
        <f>6600*12</f>
        <v>79200</v>
      </c>
      <c r="K804" s="47" t="s">
        <v>43</v>
      </c>
      <c r="L804" s="52">
        <v>0.125</v>
      </c>
      <c r="M804" s="52">
        <v>0.05</v>
      </c>
      <c r="N804" s="49"/>
      <c r="O804" s="50" t="s">
        <v>43</v>
      </c>
      <c r="P804" s="46">
        <f t="shared" si="181"/>
        <v>200</v>
      </c>
      <c r="Q804" s="50" t="s">
        <v>43</v>
      </c>
      <c r="R804" s="51">
        <f t="shared" si="182"/>
        <v>13167000</v>
      </c>
      <c r="S804" s="51">
        <f t="shared" si="173"/>
        <v>11862162.162162161</v>
      </c>
    </row>
    <row r="805" spans="1:19" s="85" customFormat="1">
      <c r="A805" s="84" t="s">
        <v>619</v>
      </c>
      <c r="B805" s="85" t="s">
        <v>19</v>
      </c>
      <c r="C805" s="86">
        <v>570</v>
      </c>
      <c r="D805" s="87" t="s">
        <v>20</v>
      </c>
      <c r="E805" s="92"/>
      <c r="F805" s="88">
        <v>20</v>
      </c>
      <c r="G805" s="89" t="s">
        <v>34</v>
      </c>
      <c r="H805" s="88">
        <v>6</v>
      </c>
      <c r="I805" s="89" t="s">
        <v>20</v>
      </c>
      <c r="J805" s="90">
        <v>18700</v>
      </c>
      <c r="K805" s="87" t="s">
        <v>20</v>
      </c>
      <c r="L805" s="91">
        <v>0.125</v>
      </c>
      <c r="M805" s="91">
        <v>0.05</v>
      </c>
      <c r="N805" s="88">
        <f>(10*12)+(10*12)</f>
        <v>240</v>
      </c>
      <c r="O805" s="89" t="s">
        <v>20</v>
      </c>
      <c r="P805" s="86">
        <f t="shared" si="181"/>
        <v>330</v>
      </c>
      <c r="Q805" s="89" t="s">
        <v>20</v>
      </c>
      <c r="R805" s="90">
        <f t="shared" si="182"/>
        <v>5129643.75</v>
      </c>
      <c r="S805" s="51">
        <f t="shared" si="173"/>
        <v>4621300.6756756753</v>
      </c>
    </row>
    <row r="806" spans="1:19" s="63" customFormat="1">
      <c r="A806" s="72" t="s">
        <v>620</v>
      </c>
      <c r="B806" s="63" t="s">
        <v>19</v>
      </c>
      <c r="C806" s="64"/>
      <c r="D806" s="65" t="s">
        <v>20</v>
      </c>
      <c r="E806" s="66"/>
      <c r="F806" s="67">
        <v>20</v>
      </c>
      <c r="G806" s="68" t="s">
        <v>34</v>
      </c>
      <c r="H806" s="67">
        <v>6</v>
      </c>
      <c r="I806" s="68" t="s">
        <v>20</v>
      </c>
      <c r="J806" s="69">
        <v>14800</v>
      </c>
      <c r="K806" s="65" t="s">
        <v>20</v>
      </c>
      <c r="L806" s="70">
        <v>0.125</v>
      </c>
      <c r="M806" s="70">
        <v>0.05</v>
      </c>
      <c r="N806" s="67"/>
      <c r="O806" s="68" t="s">
        <v>20</v>
      </c>
      <c r="P806" s="64">
        <f t="shared" si="181"/>
        <v>0</v>
      </c>
      <c r="Q806" s="68" t="s">
        <v>20</v>
      </c>
      <c r="R806" s="69">
        <f t="shared" si="182"/>
        <v>0</v>
      </c>
      <c r="S806" s="69">
        <f t="shared" si="173"/>
        <v>0</v>
      </c>
    </row>
    <row r="807" spans="1:19" s="17" customFormat="1">
      <c r="A807" s="16" t="s">
        <v>621</v>
      </c>
      <c r="B807" s="17" t="s">
        <v>19</v>
      </c>
      <c r="C807" s="18"/>
      <c r="D807" s="19" t="s">
        <v>20</v>
      </c>
      <c r="E807" s="20"/>
      <c r="F807" s="21">
        <v>1</v>
      </c>
      <c r="G807" s="22" t="s">
        <v>21</v>
      </c>
      <c r="H807" s="21">
        <v>12</v>
      </c>
      <c r="I807" s="22" t="s">
        <v>20</v>
      </c>
      <c r="J807" s="23">
        <v>162000</v>
      </c>
      <c r="K807" s="19" t="s">
        <v>20</v>
      </c>
      <c r="L807" s="24">
        <v>0.125</v>
      </c>
      <c r="M807" s="24">
        <v>0.05</v>
      </c>
      <c r="N807" s="21"/>
      <c r="O807" s="22" t="s">
        <v>20</v>
      </c>
      <c r="P807" s="18">
        <f t="shared" si="181"/>
        <v>0</v>
      </c>
      <c r="Q807" s="22" t="s">
        <v>20</v>
      </c>
      <c r="R807" s="23">
        <f t="shared" si="182"/>
        <v>0</v>
      </c>
      <c r="S807" s="23">
        <f t="shared" si="173"/>
        <v>0</v>
      </c>
    </row>
    <row r="808" spans="1:19" s="26" customFormat="1">
      <c r="A808" s="25" t="s">
        <v>865</v>
      </c>
      <c r="B808" s="26" t="s">
        <v>19</v>
      </c>
      <c r="C808" s="27"/>
      <c r="D808" s="28" t="s">
        <v>20</v>
      </c>
      <c r="E808" s="29">
        <v>1</v>
      </c>
      <c r="F808" s="30">
        <v>1</v>
      </c>
      <c r="G808" s="31" t="s">
        <v>21</v>
      </c>
      <c r="H808" s="30">
        <v>12</v>
      </c>
      <c r="I808" s="31" t="s">
        <v>20</v>
      </c>
      <c r="J808" s="32">
        <v>200000</v>
      </c>
      <c r="K808" s="28" t="s">
        <v>20</v>
      </c>
      <c r="L808" s="33">
        <v>0.125</v>
      </c>
      <c r="M808" s="33">
        <v>0.05</v>
      </c>
      <c r="N808" s="30"/>
      <c r="O808" s="31" t="s">
        <v>20</v>
      </c>
      <c r="P808" s="27">
        <f t="shared" ref="P808" si="183">(C808+(E808*F808*H808))-N808</f>
        <v>12</v>
      </c>
      <c r="Q808" s="31" t="s">
        <v>20</v>
      </c>
      <c r="R808" s="32">
        <f t="shared" ref="R808" si="184">P808*(J808-(J808*L808)-((J808-(J808*L808))*M808))</f>
        <v>1995000</v>
      </c>
      <c r="S808" s="32">
        <f t="shared" ref="S808" si="185">R808/1.11</f>
        <v>1797297.297297297</v>
      </c>
    </row>
    <row r="809" spans="1:19" s="17" customFormat="1">
      <c r="A809" s="16" t="s">
        <v>622</v>
      </c>
      <c r="B809" s="17" t="s">
        <v>19</v>
      </c>
      <c r="C809" s="18"/>
      <c r="D809" s="19" t="s">
        <v>20</v>
      </c>
      <c r="E809" s="20"/>
      <c r="F809" s="21">
        <v>1</v>
      </c>
      <c r="G809" s="22" t="s">
        <v>21</v>
      </c>
      <c r="H809" s="21">
        <v>36</v>
      </c>
      <c r="I809" s="22" t="s">
        <v>20</v>
      </c>
      <c r="J809" s="23">
        <v>58000</v>
      </c>
      <c r="K809" s="19" t="s">
        <v>20</v>
      </c>
      <c r="L809" s="24">
        <v>0.125</v>
      </c>
      <c r="M809" s="24">
        <v>0.05</v>
      </c>
      <c r="N809" s="21"/>
      <c r="O809" s="22" t="s">
        <v>20</v>
      </c>
      <c r="P809" s="18">
        <f t="shared" si="181"/>
        <v>0</v>
      </c>
      <c r="Q809" s="22" t="s">
        <v>20</v>
      </c>
      <c r="R809" s="23">
        <f t="shared" si="182"/>
        <v>0</v>
      </c>
      <c r="S809" s="23">
        <f t="shared" si="173"/>
        <v>0</v>
      </c>
    </row>
    <row r="810" spans="1:19" s="26" customFormat="1">
      <c r="A810" s="25" t="s">
        <v>623</v>
      </c>
      <c r="B810" s="26" t="s">
        <v>19</v>
      </c>
      <c r="C810" s="27">
        <v>12</v>
      </c>
      <c r="D810" s="28" t="s">
        <v>20</v>
      </c>
      <c r="E810" s="29">
        <v>2</v>
      </c>
      <c r="F810" s="30">
        <v>1</v>
      </c>
      <c r="G810" s="31" t="s">
        <v>21</v>
      </c>
      <c r="H810" s="30">
        <v>12</v>
      </c>
      <c r="I810" s="31" t="s">
        <v>20</v>
      </c>
      <c r="J810" s="32">
        <v>97000</v>
      </c>
      <c r="K810" s="28" t="s">
        <v>20</v>
      </c>
      <c r="L810" s="33">
        <v>0.125</v>
      </c>
      <c r="M810" s="33">
        <v>0.05</v>
      </c>
      <c r="N810" s="30"/>
      <c r="O810" s="31" t="s">
        <v>20</v>
      </c>
      <c r="P810" s="27">
        <f t="shared" si="181"/>
        <v>36</v>
      </c>
      <c r="Q810" s="31" t="s">
        <v>20</v>
      </c>
      <c r="R810" s="32">
        <f t="shared" si="182"/>
        <v>2902725</v>
      </c>
      <c r="S810" s="32">
        <f t="shared" si="173"/>
        <v>2615067.5675675673</v>
      </c>
    </row>
    <row r="811" spans="1:19" s="26" customFormat="1">
      <c r="A811" s="25" t="s">
        <v>624</v>
      </c>
      <c r="B811" s="26" t="s">
        <v>19</v>
      </c>
      <c r="C811" s="27">
        <v>6</v>
      </c>
      <c r="D811" s="28" t="s">
        <v>20</v>
      </c>
      <c r="E811" s="29">
        <f>2+2</f>
        <v>4</v>
      </c>
      <c r="F811" s="30">
        <v>1</v>
      </c>
      <c r="G811" s="31" t="s">
        <v>21</v>
      </c>
      <c r="H811" s="30">
        <v>12</v>
      </c>
      <c r="I811" s="31" t="s">
        <v>20</v>
      </c>
      <c r="J811" s="32">
        <v>95000</v>
      </c>
      <c r="K811" s="28" t="s">
        <v>20</v>
      </c>
      <c r="L811" s="33">
        <v>0.125</v>
      </c>
      <c r="M811" s="33">
        <v>0.05</v>
      </c>
      <c r="N811" s="30">
        <v>24</v>
      </c>
      <c r="O811" s="31" t="s">
        <v>20</v>
      </c>
      <c r="P811" s="27">
        <f t="shared" si="181"/>
        <v>30</v>
      </c>
      <c r="Q811" s="31" t="s">
        <v>20</v>
      </c>
      <c r="R811" s="32">
        <f t="shared" si="182"/>
        <v>2369062.5</v>
      </c>
      <c r="S811" s="32">
        <f t="shared" si="173"/>
        <v>2134290.5405405401</v>
      </c>
    </row>
    <row r="812" spans="1:19" s="26" customFormat="1">
      <c r="A812" s="25" t="s">
        <v>625</v>
      </c>
      <c r="B812" s="26" t="s">
        <v>19</v>
      </c>
      <c r="C812" s="27"/>
      <c r="D812" s="28" t="s">
        <v>20</v>
      </c>
      <c r="E812" s="29">
        <f>1+1+2</f>
        <v>4</v>
      </c>
      <c r="F812" s="30">
        <v>1</v>
      </c>
      <c r="G812" s="31" t="s">
        <v>21</v>
      </c>
      <c r="H812" s="30">
        <v>6</v>
      </c>
      <c r="I812" s="31" t="s">
        <v>20</v>
      </c>
      <c r="J812" s="32">
        <v>187000</v>
      </c>
      <c r="K812" s="28" t="s">
        <v>20</v>
      </c>
      <c r="L812" s="33">
        <v>0.125</v>
      </c>
      <c r="M812" s="33">
        <v>0.05</v>
      </c>
      <c r="N812" s="30">
        <v>6</v>
      </c>
      <c r="O812" s="31" t="s">
        <v>20</v>
      </c>
      <c r="P812" s="27">
        <f t="shared" si="181"/>
        <v>18</v>
      </c>
      <c r="Q812" s="31" t="s">
        <v>20</v>
      </c>
      <c r="R812" s="32">
        <f t="shared" si="182"/>
        <v>2797987.5</v>
      </c>
      <c r="S812" s="32">
        <f t="shared" si="173"/>
        <v>2520709.4594594594</v>
      </c>
    </row>
    <row r="813" spans="1:19" s="26" customFormat="1">
      <c r="A813" s="25" t="s">
        <v>626</v>
      </c>
      <c r="B813" s="26" t="s">
        <v>19</v>
      </c>
      <c r="C813" s="27">
        <v>6</v>
      </c>
      <c r="D813" s="28" t="s">
        <v>20</v>
      </c>
      <c r="E813" s="29"/>
      <c r="F813" s="30">
        <v>1</v>
      </c>
      <c r="G813" s="31" t="s">
        <v>21</v>
      </c>
      <c r="H813" s="30">
        <v>6</v>
      </c>
      <c r="I813" s="31" t="s">
        <v>20</v>
      </c>
      <c r="J813" s="32">
        <v>420000</v>
      </c>
      <c r="K813" s="28" t="s">
        <v>20</v>
      </c>
      <c r="L813" s="33">
        <v>0.125</v>
      </c>
      <c r="M813" s="33">
        <v>0.05</v>
      </c>
      <c r="N813" s="30"/>
      <c r="O813" s="31" t="s">
        <v>20</v>
      </c>
      <c r="P813" s="27">
        <f t="shared" si="181"/>
        <v>6</v>
      </c>
      <c r="Q813" s="31" t="s">
        <v>20</v>
      </c>
      <c r="R813" s="32">
        <f t="shared" si="182"/>
        <v>2094750</v>
      </c>
      <c r="S813" s="32">
        <f t="shared" si="173"/>
        <v>1887162.1621621619</v>
      </c>
    </row>
    <row r="814" spans="1:19" s="26" customFormat="1">
      <c r="A814" s="25"/>
      <c r="C814" s="27"/>
      <c r="D814" s="28"/>
      <c r="E814" s="29"/>
      <c r="F814" s="30"/>
      <c r="G814" s="31"/>
      <c r="H814" s="30"/>
      <c r="I814" s="31"/>
      <c r="J814" s="32"/>
      <c r="K814" s="28"/>
      <c r="L814" s="33"/>
      <c r="M814" s="33"/>
      <c r="N814" s="30"/>
      <c r="O814" s="31"/>
      <c r="P814" s="27"/>
      <c r="Q814" s="31"/>
      <c r="R814" s="32"/>
      <c r="S814" s="32"/>
    </row>
    <row r="815" spans="1:19" s="45" customFormat="1">
      <c r="A815" s="44" t="s">
        <v>627</v>
      </c>
      <c r="B815" s="45" t="s">
        <v>26</v>
      </c>
      <c r="C815" s="46">
        <v>95</v>
      </c>
      <c r="D815" s="47" t="s">
        <v>43</v>
      </c>
      <c r="E815" s="48">
        <f>7+5+5+5</f>
        <v>22</v>
      </c>
      <c r="F815" s="49">
        <v>1</v>
      </c>
      <c r="G815" s="50" t="s">
        <v>21</v>
      </c>
      <c r="H815" s="49">
        <v>20</v>
      </c>
      <c r="I815" s="50" t="s">
        <v>43</v>
      </c>
      <c r="J815" s="51">
        <f>1740000/20</f>
        <v>87000</v>
      </c>
      <c r="K815" s="47" t="s">
        <v>43</v>
      </c>
      <c r="L815" s="52"/>
      <c r="M815" s="52">
        <v>0.17</v>
      </c>
      <c r="N815" s="49">
        <f>40+20+10+60+20+20+5+60+20+6+10+60+1</f>
        <v>332</v>
      </c>
      <c r="O815" s="50" t="s">
        <v>43</v>
      </c>
      <c r="P815" s="46">
        <f t="shared" si="181"/>
        <v>203</v>
      </c>
      <c r="Q815" s="50" t="s">
        <v>43</v>
      </c>
      <c r="R815" s="51">
        <f t="shared" si="182"/>
        <v>14658630</v>
      </c>
      <c r="S815" s="51">
        <f t="shared" si="173"/>
        <v>13205972.972972972</v>
      </c>
    </row>
    <row r="816" spans="1:19">
      <c r="A816" s="34" t="s">
        <v>628</v>
      </c>
      <c r="B816" s="2" t="s">
        <v>26</v>
      </c>
      <c r="C816" s="3">
        <v>180</v>
      </c>
      <c r="D816" s="4" t="s">
        <v>43</v>
      </c>
      <c r="F816" s="6">
        <v>1</v>
      </c>
      <c r="G816" s="7" t="s">
        <v>21</v>
      </c>
      <c r="H816" s="6">
        <v>20</v>
      </c>
      <c r="I816" s="7" t="s">
        <v>43</v>
      </c>
      <c r="J816" s="8">
        <f>1680000/20</f>
        <v>84000</v>
      </c>
      <c r="K816" s="4" t="s">
        <v>43</v>
      </c>
      <c r="M816" s="9">
        <v>0.17</v>
      </c>
      <c r="N816" s="6">
        <f>(40-10)</f>
        <v>30</v>
      </c>
      <c r="O816" s="7" t="s">
        <v>43</v>
      </c>
      <c r="P816" s="3">
        <f t="shared" si="181"/>
        <v>150</v>
      </c>
      <c r="Q816" s="7" t="s">
        <v>43</v>
      </c>
      <c r="R816" s="8">
        <f t="shared" si="182"/>
        <v>10458000</v>
      </c>
      <c r="S816" s="32">
        <f t="shared" si="173"/>
        <v>9421621.6216216199</v>
      </c>
    </row>
    <row r="817" spans="1:19" s="17" customFormat="1">
      <c r="A817" s="95" t="s">
        <v>629</v>
      </c>
      <c r="B817" s="96" t="s">
        <v>26</v>
      </c>
      <c r="C817" s="97">
        <v>10</v>
      </c>
      <c r="D817" s="98" t="s">
        <v>43</v>
      </c>
      <c r="E817" s="105"/>
      <c r="F817" s="100">
        <v>1</v>
      </c>
      <c r="G817" s="101" t="s">
        <v>21</v>
      </c>
      <c r="H817" s="100">
        <v>20</v>
      </c>
      <c r="I817" s="101" t="s">
        <v>43</v>
      </c>
      <c r="J817" s="102">
        <f>1680000/20</f>
        <v>84000</v>
      </c>
      <c r="K817" s="98" t="s">
        <v>43</v>
      </c>
      <c r="L817" s="103"/>
      <c r="M817" s="103">
        <v>0.17</v>
      </c>
      <c r="N817" s="100">
        <f>40-30</f>
        <v>10</v>
      </c>
      <c r="O817" s="101" t="s">
        <v>43</v>
      </c>
      <c r="P817" s="97">
        <f t="shared" si="181"/>
        <v>0</v>
      </c>
      <c r="Q817" s="101" t="s">
        <v>43</v>
      </c>
      <c r="R817" s="102">
        <f t="shared" si="182"/>
        <v>0</v>
      </c>
      <c r="S817" s="102">
        <f t="shared" si="173"/>
        <v>0</v>
      </c>
    </row>
    <row r="818" spans="1:19">
      <c r="A818" s="159" t="s">
        <v>629</v>
      </c>
      <c r="B818" s="160" t="s">
        <v>26</v>
      </c>
      <c r="C818" s="161">
        <v>100</v>
      </c>
      <c r="D818" s="162" t="s">
        <v>43</v>
      </c>
      <c r="E818" s="163"/>
      <c r="F818" s="164">
        <v>1</v>
      </c>
      <c r="G818" s="165" t="s">
        <v>21</v>
      </c>
      <c r="H818" s="164">
        <v>20</v>
      </c>
      <c r="I818" s="165" t="s">
        <v>43</v>
      </c>
      <c r="J818" s="166">
        <f>1740000/20</f>
        <v>87000</v>
      </c>
      <c r="K818" s="162" t="s">
        <v>43</v>
      </c>
      <c r="L818" s="167"/>
      <c r="M818" s="167">
        <v>0.17</v>
      </c>
      <c r="N818" s="164"/>
      <c r="O818" s="165" t="s">
        <v>43</v>
      </c>
      <c r="P818" s="161">
        <f t="shared" si="181"/>
        <v>100</v>
      </c>
      <c r="Q818" s="165" t="s">
        <v>43</v>
      </c>
      <c r="R818" s="166">
        <f t="shared" si="182"/>
        <v>7221000</v>
      </c>
      <c r="S818" s="42">
        <f t="shared" si="173"/>
        <v>6505405.405405405</v>
      </c>
    </row>
    <row r="819" spans="1:19" s="45" customFormat="1">
      <c r="A819" s="44" t="s">
        <v>630</v>
      </c>
      <c r="B819" s="45" t="s">
        <v>26</v>
      </c>
      <c r="C819" s="46"/>
      <c r="D819" s="47" t="s">
        <v>43</v>
      </c>
      <c r="E819" s="48">
        <f>3+2+2</f>
        <v>7</v>
      </c>
      <c r="F819" s="49">
        <v>1</v>
      </c>
      <c r="G819" s="50" t="s">
        <v>21</v>
      </c>
      <c r="H819" s="49">
        <v>20</v>
      </c>
      <c r="I819" s="50" t="s">
        <v>43</v>
      </c>
      <c r="J819" s="51">
        <f>2352000/20</f>
        <v>117600</v>
      </c>
      <c r="K819" s="47" t="s">
        <v>43</v>
      </c>
      <c r="L819" s="52"/>
      <c r="M819" s="52">
        <v>0.17</v>
      </c>
      <c r="N819" s="49">
        <f>20+20+20+20+20</f>
        <v>100</v>
      </c>
      <c r="O819" s="169" t="s">
        <v>43</v>
      </c>
      <c r="P819" s="46">
        <f t="shared" si="181"/>
        <v>40</v>
      </c>
      <c r="Q819" s="50" t="s">
        <v>43</v>
      </c>
      <c r="R819" s="51">
        <f t="shared" si="182"/>
        <v>3904320</v>
      </c>
      <c r="S819" s="51">
        <f t="shared" si="173"/>
        <v>3517405.405405405</v>
      </c>
    </row>
    <row r="820" spans="1:19" s="45" customFormat="1">
      <c r="A820" s="44" t="s">
        <v>724</v>
      </c>
      <c r="B820" s="45" t="s">
        <v>26</v>
      </c>
      <c r="C820" s="46"/>
      <c r="D820" s="47" t="s">
        <v>43</v>
      </c>
      <c r="E820" s="48">
        <v>2</v>
      </c>
      <c r="F820" s="49">
        <v>1</v>
      </c>
      <c r="G820" s="50" t="s">
        <v>21</v>
      </c>
      <c r="H820" s="49">
        <v>20</v>
      </c>
      <c r="I820" s="50" t="s">
        <v>43</v>
      </c>
      <c r="J820" s="51">
        <f>2352000/20</f>
        <v>117600</v>
      </c>
      <c r="K820" s="47" t="s">
        <v>43</v>
      </c>
      <c r="L820" s="52"/>
      <c r="M820" s="52">
        <v>0.17</v>
      </c>
      <c r="N820" s="49"/>
      <c r="O820" s="116" t="s">
        <v>43</v>
      </c>
      <c r="P820" s="46">
        <f t="shared" si="181"/>
        <v>40</v>
      </c>
      <c r="Q820" s="50" t="s">
        <v>43</v>
      </c>
      <c r="R820" s="51">
        <f t="shared" si="182"/>
        <v>3904320</v>
      </c>
      <c r="S820" s="51">
        <f t="shared" si="173"/>
        <v>3517405.405405405</v>
      </c>
    </row>
    <row r="821" spans="1:19" s="85" customFormat="1">
      <c r="A821" s="84" t="s">
        <v>631</v>
      </c>
      <c r="B821" s="85" t="s">
        <v>26</v>
      </c>
      <c r="C821" s="86">
        <v>121</v>
      </c>
      <c r="D821" s="87" t="s">
        <v>43</v>
      </c>
      <c r="E821" s="92"/>
      <c r="F821" s="88">
        <v>1</v>
      </c>
      <c r="G821" s="89" t="s">
        <v>21</v>
      </c>
      <c r="H821" s="88">
        <v>20</v>
      </c>
      <c r="I821" s="89" t="s">
        <v>43</v>
      </c>
      <c r="J821" s="90">
        <f>2352000/20</f>
        <v>117600</v>
      </c>
      <c r="K821" s="87" t="s">
        <v>43</v>
      </c>
      <c r="L821" s="91"/>
      <c r="M821" s="91">
        <v>0.17</v>
      </c>
      <c r="N821" s="88">
        <f>2+6+5</f>
        <v>13</v>
      </c>
      <c r="O821" s="89" t="s">
        <v>43</v>
      </c>
      <c r="P821" s="86">
        <f t="shared" si="181"/>
        <v>108</v>
      </c>
      <c r="Q821" s="89" t="s">
        <v>43</v>
      </c>
      <c r="R821" s="90">
        <f t="shared" si="182"/>
        <v>10541664</v>
      </c>
      <c r="S821" s="51">
        <f t="shared" si="173"/>
        <v>9496994.5945945941</v>
      </c>
    </row>
    <row r="822" spans="1:19">
      <c r="A822" s="34" t="s">
        <v>632</v>
      </c>
      <c r="B822" s="2" t="s">
        <v>26</v>
      </c>
      <c r="C822" s="3">
        <v>26</v>
      </c>
      <c r="D822" s="4" t="s">
        <v>43</v>
      </c>
      <c r="F822" s="6">
        <v>1</v>
      </c>
      <c r="G822" s="7" t="s">
        <v>21</v>
      </c>
      <c r="H822" s="6">
        <v>40</v>
      </c>
      <c r="I822" s="7" t="s">
        <v>43</v>
      </c>
      <c r="J822" s="8">
        <f>2688000/40</f>
        <v>67200</v>
      </c>
      <c r="K822" s="4" t="s">
        <v>43</v>
      </c>
      <c r="M822" s="9">
        <v>0.17</v>
      </c>
      <c r="O822" s="7" t="s">
        <v>43</v>
      </c>
      <c r="P822" s="3">
        <f t="shared" si="181"/>
        <v>26</v>
      </c>
      <c r="Q822" s="7" t="s">
        <v>43</v>
      </c>
      <c r="R822" s="8">
        <f t="shared" si="182"/>
        <v>1450176</v>
      </c>
      <c r="S822" s="32">
        <f t="shared" si="173"/>
        <v>1306464.8648648649</v>
      </c>
    </row>
    <row r="823" spans="1:19" s="17" customFormat="1">
      <c r="A823" s="16" t="s">
        <v>633</v>
      </c>
      <c r="B823" s="17" t="s">
        <v>26</v>
      </c>
      <c r="C823" s="18"/>
      <c r="D823" s="19" t="s">
        <v>43</v>
      </c>
      <c r="E823" s="20"/>
      <c r="F823" s="21">
        <v>1</v>
      </c>
      <c r="G823" s="22" t="s">
        <v>21</v>
      </c>
      <c r="H823" s="21">
        <v>20</v>
      </c>
      <c r="I823" s="22" t="s">
        <v>43</v>
      </c>
      <c r="J823" s="23">
        <v>120000</v>
      </c>
      <c r="K823" s="19" t="s">
        <v>43</v>
      </c>
      <c r="L823" s="24"/>
      <c r="M823" s="24">
        <v>0.17</v>
      </c>
      <c r="N823" s="21"/>
      <c r="O823" s="22" t="s">
        <v>43</v>
      </c>
      <c r="P823" s="18">
        <f t="shared" si="181"/>
        <v>0</v>
      </c>
      <c r="Q823" s="22" t="s">
        <v>43</v>
      </c>
      <c r="R823" s="23">
        <f t="shared" si="182"/>
        <v>0</v>
      </c>
      <c r="S823" s="23">
        <f t="shared" si="173"/>
        <v>0</v>
      </c>
    </row>
    <row r="824" spans="1:19" s="45" customFormat="1">
      <c r="A824" s="44" t="s">
        <v>634</v>
      </c>
      <c r="B824" s="45" t="s">
        <v>26</v>
      </c>
      <c r="C824" s="46">
        <v>1</v>
      </c>
      <c r="D824" s="47" t="s">
        <v>43</v>
      </c>
      <c r="E824" s="48">
        <v>2</v>
      </c>
      <c r="F824" s="49">
        <v>1</v>
      </c>
      <c r="G824" s="50" t="s">
        <v>21</v>
      </c>
      <c r="H824" s="49">
        <v>25</v>
      </c>
      <c r="I824" s="50" t="s">
        <v>43</v>
      </c>
      <c r="J824" s="51">
        <f>1740000/25</f>
        <v>69600</v>
      </c>
      <c r="K824" s="47" t="s">
        <v>43</v>
      </c>
      <c r="L824" s="52"/>
      <c r="M824" s="52">
        <v>0.17</v>
      </c>
      <c r="N824" s="49">
        <f>1+3+1</f>
        <v>5</v>
      </c>
      <c r="O824" s="50" t="s">
        <v>43</v>
      </c>
      <c r="P824" s="46">
        <f t="shared" si="181"/>
        <v>46</v>
      </c>
      <c r="Q824" s="50" t="s">
        <v>43</v>
      </c>
      <c r="R824" s="51">
        <f t="shared" si="182"/>
        <v>2657328</v>
      </c>
      <c r="S824" s="51">
        <f t="shared" si="173"/>
        <v>2393989.1891891891</v>
      </c>
    </row>
    <row r="825" spans="1:19" s="45" customFormat="1">
      <c r="A825" s="44" t="s">
        <v>635</v>
      </c>
      <c r="B825" s="45" t="s">
        <v>26</v>
      </c>
      <c r="C825" s="46">
        <v>1</v>
      </c>
      <c r="D825" s="47" t="s">
        <v>43</v>
      </c>
      <c r="E825" s="48"/>
      <c r="F825" s="49">
        <v>1</v>
      </c>
      <c r="G825" s="50" t="s">
        <v>21</v>
      </c>
      <c r="H825" s="49">
        <v>10</v>
      </c>
      <c r="I825" s="50" t="s">
        <v>43</v>
      </c>
      <c r="J825" s="51">
        <f>2280000/10</f>
        <v>228000</v>
      </c>
      <c r="K825" s="47" t="s">
        <v>43</v>
      </c>
      <c r="L825" s="52"/>
      <c r="M825" s="52">
        <v>0.17</v>
      </c>
      <c r="N825" s="49"/>
      <c r="O825" s="50" t="s">
        <v>43</v>
      </c>
      <c r="P825" s="46">
        <f t="shared" si="181"/>
        <v>1</v>
      </c>
      <c r="Q825" s="50" t="s">
        <v>43</v>
      </c>
      <c r="R825" s="51">
        <f t="shared" si="182"/>
        <v>189240</v>
      </c>
      <c r="S825" s="32">
        <f t="shared" si="173"/>
        <v>170486.48648648648</v>
      </c>
    </row>
    <row r="826" spans="1:19" s="45" customFormat="1">
      <c r="A826" s="44" t="s">
        <v>636</v>
      </c>
      <c r="B826" s="45" t="s">
        <v>26</v>
      </c>
      <c r="C826" s="46"/>
      <c r="D826" s="47" t="s">
        <v>43</v>
      </c>
      <c r="E826" s="48">
        <f>2+1+3+2+2+1</f>
        <v>11</v>
      </c>
      <c r="F826" s="49">
        <v>1</v>
      </c>
      <c r="G826" s="50" t="s">
        <v>21</v>
      </c>
      <c r="H826" s="49">
        <v>10</v>
      </c>
      <c r="I826" s="50" t="s">
        <v>43</v>
      </c>
      <c r="J826" s="51">
        <f>2280000/10</f>
        <v>228000</v>
      </c>
      <c r="K826" s="47" t="s">
        <v>43</v>
      </c>
      <c r="L826" s="52"/>
      <c r="M826" s="52">
        <v>0.17</v>
      </c>
      <c r="N826" s="49">
        <f>(240/12)+10+20</f>
        <v>50</v>
      </c>
      <c r="O826" s="142" t="s">
        <v>43</v>
      </c>
      <c r="P826" s="46">
        <f t="shared" si="181"/>
        <v>60</v>
      </c>
      <c r="Q826" s="50" t="s">
        <v>43</v>
      </c>
      <c r="R826" s="51">
        <f t="shared" si="182"/>
        <v>11354400</v>
      </c>
      <c r="S826" s="32">
        <f t="shared" si="173"/>
        <v>10229189.189189188</v>
      </c>
    </row>
    <row r="827" spans="1:19" s="45" customFormat="1">
      <c r="A827" s="44" t="s">
        <v>637</v>
      </c>
      <c r="B827" s="45" t="s">
        <v>26</v>
      </c>
      <c r="C827" s="46">
        <v>59</v>
      </c>
      <c r="D827" s="47" t="s">
        <v>43</v>
      </c>
      <c r="E827" s="48"/>
      <c r="F827" s="49">
        <v>1</v>
      </c>
      <c r="G827" s="50" t="s">
        <v>21</v>
      </c>
      <c r="H827" s="49">
        <v>10</v>
      </c>
      <c r="I827" s="50" t="s">
        <v>43</v>
      </c>
      <c r="J827" s="51">
        <f>2040000/10</f>
        <v>204000</v>
      </c>
      <c r="K827" s="47" t="s">
        <v>43</v>
      </c>
      <c r="L827" s="52"/>
      <c r="M827" s="52">
        <v>0.17</v>
      </c>
      <c r="N827" s="49">
        <f>3+3+3</f>
        <v>9</v>
      </c>
      <c r="O827" s="50" t="s">
        <v>43</v>
      </c>
      <c r="P827" s="46">
        <f t="shared" si="181"/>
        <v>50</v>
      </c>
      <c r="Q827" s="50" t="s">
        <v>43</v>
      </c>
      <c r="R827" s="51">
        <f t="shared" si="182"/>
        <v>8466000</v>
      </c>
      <c r="S827" s="32">
        <f t="shared" si="173"/>
        <v>7627027.0270270268</v>
      </c>
    </row>
    <row r="828" spans="1:19" s="85" customFormat="1">
      <c r="A828" s="84" t="s">
        <v>638</v>
      </c>
      <c r="B828" s="85" t="s">
        <v>26</v>
      </c>
      <c r="C828" s="86">
        <v>45</v>
      </c>
      <c r="D828" s="87" t="s">
        <v>43</v>
      </c>
      <c r="E828" s="92"/>
      <c r="F828" s="88">
        <v>1</v>
      </c>
      <c r="G828" s="89" t="s">
        <v>21</v>
      </c>
      <c r="H828" s="88">
        <v>10</v>
      </c>
      <c r="I828" s="89" t="s">
        <v>43</v>
      </c>
      <c r="J828" s="90">
        <f>2040000/10</f>
        <v>204000</v>
      </c>
      <c r="K828" s="87" t="s">
        <v>43</v>
      </c>
      <c r="L828" s="91"/>
      <c r="M828" s="91">
        <v>0.17</v>
      </c>
      <c r="N828" s="88"/>
      <c r="O828" s="89" t="s">
        <v>43</v>
      </c>
      <c r="P828" s="86">
        <f t="shared" si="181"/>
        <v>45</v>
      </c>
      <c r="Q828" s="89" t="s">
        <v>43</v>
      </c>
      <c r="R828" s="90">
        <f t="shared" si="182"/>
        <v>7619400</v>
      </c>
      <c r="S828" s="32">
        <f t="shared" si="173"/>
        <v>6864324.3243243238</v>
      </c>
    </row>
    <row r="829" spans="1:19" s="17" customFormat="1">
      <c r="A829" s="16" t="s">
        <v>639</v>
      </c>
      <c r="B829" s="17" t="s">
        <v>26</v>
      </c>
      <c r="C829" s="18"/>
      <c r="D829" s="19" t="s">
        <v>20</v>
      </c>
      <c r="E829" s="20"/>
      <c r="F829" s="21">
        <v>20</v>
      </c>
      <c r="G829" s="22" t="s">
        <v>34</v>
      </c>
      <c r="H829" s="21">
        <v>6</v>
      </c>
      <c r="I829" s="22" t="s">
        <v>20</v>
      </c>
      <c r="J829" s="23">
        <v>14500</v>
      </c>
      <c r="K829" s="19" t="s">
        <v>20</v>
      </c>
      <c r="L829" s="24"/>
      <c r="M829" s="24">
        <v>0.17</v>
      </c>
      <c r="N829" s="21"/>
      <c r="O829" s="22" t="s">
        <v>20</v>
      </c>
      <c r="P829" s="18">
        <f t="shared" si="181"/>
        <v>0</v>
      </c>
      <c r="Q829" s="22" t="s">
        <v>20</v>
      </c>
      <c r="R829" s="23">
        <f t="shared" si="182"/>
        <v>0</v>
      </c>
      <c r="S829" s="23">
        <f t="shared" si="173"/>
        <v>0</v>
      </c>
    </row>
    <row r="830" spans="1:19" s="45" customFormat="1">
      <c r="A830" s="35" t="s">
        <v>640</v>
      </c>
      <c r="B830" s="36" t="s">
        <v>26</v>
      </c>
      <c r="C830" s="37">
        <v>23</v>
      </c>
      <c r="D830" s="38" t="s">
        <v>20</v>
      </c>
      <c r="E830" s="39"/>
      <c r="F830" s="40">
        <v>1</v>
      </c>
      <c r="G830" s="41" t="s">
        <v>21</v>
      </c>
      <c r="H830" s="40">
        <v>6</v>
      </c>
      <c r="I830" s="41" t="s">
        <v>20</v>
      </c>
      <c r="J830" s="42">
        <f>2130000/6</f>
        <v>355000</v>
      </c>
      <c r="K830" s="38" t="s">
        <v>20</v>
      </c>
      <c r="L830" s="43"/>
      <c r="M830" s="43">
        <v>0.17</v>
      </c>
      <c r="N830" s="40"/>
      <c r="O830" s="41" t="s">
        <v>20</v>
      </c>
      <c r="P830" s="37">
        <f t="shared" si="181"/>
        <v>23</v>
      </c>
      <c r="Q830" s="41" t="s">
        <v>20</v>
      </c>
      <c r="R830" s="42">
        <f t="shared" si="182"/>
        <v>6776950</v>
      </c>
      <c r="S830" s="42">
        <f t="shared" si="173"/>
        <v>6105360.3603603598</v>
      </c>
    </row>
    <row r="831" spans="1:19" s="45" customFormat="1">
      <c r="A831" s="35" t="s">
        <v>640</v>
      </c>
      <c r="B831" s="36" t="s">
        <v>26</v>
      </c>
      <c r="C831" s="37">
        <v>6</v>
      </c>
      <c r="D831" s="38" t="s">
        <v>20</v>
      </c>
      <c r="E831" s="39"/>
      <c r="F831" s="40">
        <v>1</v>
      </c>
      <c r="G831" s="41" t="s">
        <v>21</v>
      </c>
      <c r="H831" s="40">
        <v>6</v>
      </c>
      <c r="I831" s="41" t="s">
        <v>20</v>
      </c>
      <c r="J831" s="42">
        <f>2160000/6</f>
        <v>360000</v>
      </c>
      <c r="K831" s="38" t="s">
        <v>20</v>
      </c>
      <c r="L831" s="43"/>
      <c r="M831" s="43">
        <v>0.17</v>
      </c>
      <c r="N831" s="40"/>
      <c r="O831" s="41" t="s">
        <v>20</v>
      </c>
      <c r="P831" s="37">
        <f t="shared" si="181"/>
        <v>6</v>
      </c>
      <c r="Q831" s="41" t="s">
        <v>20</v>
      </c>
      <c r="R831" s="42">
        <f t="shared" si="182"/>
        <v>1792800</v>
      </c>
      <c r="S831" s="42">
        <f t="shared" si="173"/>
        <v>1615135.1351351349</v>
      </c>
    </row>
    <row r="832" spans="1:19" s="63" customFormat="1">
      <c r="A832" s="72" t="s">
        <v>641</v>
      </c>
      <c r="B832" s="63" t="s">
        <v>26</v>
      </c>
      <c r="C832" s="64"/>
      <c r="D832" s="65" t="s">
        <v>20</v>
      </c>
      <c r="E832" s="66"/>
      <c r="F832" s="67">
        <v>1</v>
      </c>
      <c r="G832" s="68" t="s">
        <v>21</v>
      </c>
      <c r="H832" s="67">
        <v>6</v>
      </c>
      <c r="I832" s="68" t="s">
        <v>20</v>
      </c>
      <c r="J832" s="69">
        <f>930000/6</f>
        <v>155000</v>
      </c>
      <c r="K832" s="65" t="s">
        <v>20</v>
      </c>
      <c r="L832" s="70"/>
      <c r="M832" s="70">
        <v>0.17</v>
      </c>
      <c r="N832" s="67"/>
      <c r="O832" s="68" t="s">
        <v>20</v>
      </c>
      <c r="P832" s="64">
        <f t="shared" si="181"/>
        <v>0</v>
      </c>
      <c r="Q832" s="68" t="s">
        <v>20</v>
      </c>
      <c r="R832" s="69">
        <f t="shared" si="182"/>
        <v>0</v>
      </c>
      <c r="S832" s="69">
        <f t="shared" si="173"/>
        <v>0</v>
      </c>
    </row>
    <row r="833" spans="1:19" s="45" customFormat="1">
      <c r="A833" s="44" t="s">
        <v>642</v>
      </c>
      <c r="B833" s="45" t="s">
        <v>26</v>
      </c>
      <c r="C833" s="46">
        <v>21</v>
      </c>
      <c r="D833" s="47" t="s">
        <v>20</v>
      </c>
      <c r="E833" s="48">
        <v>1</v>
      </c>
      <c r="F833" s="49">
        <v>1</v>
      </c>
      <c r="G833" s="50" t="s">
        <v>21</v>
      </c>
      <c r="H833" s="49">
        <v>6</v>
      </c>
      <c r="I833" s="50" t="s">
        <v>20</v>
      </c>
      <c r="J833" s="51">
        <f>504000/6</f>
        <v>84000</v>
      </c>
      <c r="K833" s="47" t="s">
        <v>20</v>
      </c>
      <c r="L833" s="52"/>
      <c r="M833" s="52">
        <v>0.17</v>
      </c>
      <c r="N833" s="49">
        <v>6</v>
      </c>
      <c r="O833" s="50" t="s">
        <v>20</v>
      </c>
      <c r="P833" s="46">
        <f t="shared" si="181"/>
        <v>21</v>
      </c>
      <c r="Q833" s="50" t="s">
        <v>20</v>
      </c>
      <c r="R833" s="51">
        <f t="shared" si="182"/>
        <v>1464120</v>
      </c>
      <c r="S833" s="51">
        <f t="shared" ref="S833:S842" si="186">R833/1.11</f>
        <v>1319027.027027027</v>
      </c>
    </row>
    <row r="834" spans="1:19" s="17" customFormat="1">
      <c r="A834" s="16" t="s">
        <v>643</v>
      </c>
      <c r="B834" s="17" t="s">
        <v>26</v>
      </c>
      <c r="C834" s="18"/>
      <c r="D834" s="19" t="s">
        <v>20</v>
      </c>
      <c r="E834" s="20"/>
      <c r="F834" s="21">
        <v>1</v>
      </c>
      <c r="G834" s="22" t="s">
        <v>21</v>
      </c>
      <c r="H834" s="21">
        <v>6</v>
      </c>
      <c r="I834" s="22" t="s">
        <v>20</v>
      </c>
      <c r="J834" s="23">
        <f>990000/6</f>
        <v>165000</v>
      </c>
      <c r="K834" s="19" t="s">
        <v>20</v>
      </c>
      <c r="L834" s="24"/>
      <c r="M834" s="24">
        <v>0.17</v>
      </c>
      <c r="N834" s="21"/>
      <c r="O834" s="22" t="s">
        <v>20</v>
      </c>
      <c r="P834" s="18">
        <f t="shared" si="181"/>
        <v>0</v>
      </c>
      <c r="Q834" s="22" t="s">
        <v>20</v>
      </c>
      <c r="R834" s="23">
        <f t="shared" si="182"/>
        <v>0</v>
      </c>
      <c r="S834" s="23">
        <f t="shared" si="186"/>
        <v>0</v>
      </c>
    </row>
    <row r="835" spans="1:19" s="17" customFormat="1">
      <c r="A835" s="16"/>
      <c r="C835" s="18"/>
      <c r="D835" s="19"/>
      <c r="E835" s="20"/>
      <c r="F835" s="21"/>
      <c r="G835" s="22"/>
      <c r="H835" s="21"/>
      <c r="I835" s="22"/>
      <c r="J835" s="23"/>
      <c r="K835" s="19"/>
      <c r="L835" s="24"/>
      <c r="M835" s="24"/>
      <c r="N835" s="21"/>
      <c r="O835" s="22"/>
      <c r="P835" s="18"/>
      <c r="Q835" s="22"/>
      <c r="R835" s="23"/>
      <c r="S835" s="23"/>
    </row>
    <row r="836" spans="1:19" s="26" customFormat="1">
      <c r="A836" s="138" t="s">
        <v>644</v>
      </c>
      <c r="B836" s="26" t="s">
        <v>645</v>
      </c>
      <c r="C836" s="27">
        <v>50</v>
      </c>
      <c r="D836" s="28" t="s">
        <v>43</v>
      </c>
      <c r="E836" s="29"/>
      <c r="F836" s="30">
        <v>1</v>
      </c>
      <c r="G836" s="31" t="s">
        <v>21</v>
      </c>
      <c r="H836" s="30">
        <v>30</v>
      </c>
      <c r="I836" s="31" t="s">
        <v>43</v>
      </c>
      <c r="J836" s="32">
        <v>130000</v>
      </c>
      <c r="K836" s="28" t="s">
        <v>43</v>
      </c>
      <c r="L836" s="33">
        <v>0.17499999999999999</v>
      </c>
      <c r="M836" s="33">
        <v>0.03</v>
      </c>
      <c r="N836" s="30">
        <v>1</v>
      </c>
      <c r="O836" s="31" t="s">
        <v>43</v>
      </c>
      <c r="P836" s="27">
        <f t="shared" si="181"/>
        <v>49</v>
      </c>
      <c r="Q836" s="31" t="s">
        <v>43</v>
      </c>
      <c r="R836" s="32">
        <f t="shared" si="182"/>
        <v>5097592.5</v>
      </c>
      <c r="S836" s="32">
        <f t="shared" si="186"/>
        <v>4592425.6756756753</v>
      </c>
    </row>
    <row r="837" spans="1:19" s="17" customFormat="1">
      <c r="A837" s="137" t="s">
        <v>646</v>
      </c>
      <c r="B837" s="17" t="s">
        <v>645</v>
      </c>
      <c r="C837" s="18"/>
      <c r="D837" s="19" t="s">
        <v>43</v>
      </c>
      <c r="E837" s="20"/>
      <c r="F837" s="21">
        <v>1</v>
      </c>
      <c r="G837" s="22" t="s">
        <v>21</v>
      </c>
      <c r="H837" s="21">
        <v>30</v>
      </c>
      <c r="I837" s="22" t="s">
        <v>43</v>
      </c>
      <c r="J837" s="23">
        <v>216000</v>
      </c>
      <c r="K837" s="19" t="s">
        <v>43</v>
      </c>
      <c r="L837" s="24"/>
      <c r="M837" s="24">
        <v>0.15</v>
      </c>
      <c r="N837" s="21"/>
      <c r="O837" s="22" t="s">
        <v>43</v>
      </c>
      <c r="P837" s="18">
        <f t="shared" si="181"/>
        <v>0</v>
      </c>
      <c r="Q837" s="22" t="s">
        <v>43</v>
      </c>
      <c r="R837" s="23">
        <f t="shared" si="182"/>
        <v>0</v>
      </c>
      <c r="S837" s="23">
        <f t="shared" si="186"/>
        <v>0</v>
      </c>
    </row>
    <row r="838" spans="1:19" s="17" customFormat="1">
      <c r="A838" s="137" t="s">
        <v>647</v>
      </c>
      <c r="B838" s="17" t="s">
        <v>645</v>
      </c>
      <c r="C838" s="18"/>
      <c r="D838" s="19" t="s">
        <v>43</v>
      </c>
      <c r="E838" s="20"/>
      <c r="F838" s="21">
        <v>1</v>
      </c>
      <c r="G838" s="22" t="s">
        <v>21</v>
      </c>
      <c r="H838" s="21">
        <v>30</v>
      </c>
      <c r="I838" s="22" t="s">
        <v>43</v>
      </c>
      <c r="J838" s="23">
        <v>216000</v>
      </c>
      <c r="K838" s="19" t="s">
        <v>43</v>
      </c>
      <c r="L838" s="24"/>
      <c r="M838" s="24">
        <v>0.15</v>
      </c>
      <c r="N838" s="21"/>
      <c r="O838" s="22" t="s">
        <v>43</v>
      </c>
      <c r="P838" s="18">
        <f t="shared" si="181"/>
        <v>0</v>
      </c>
      <c r="Q838" s="22" t="s">
        <v>43</v>
      </c>
      <c r="R838" s="23">
        <f t="shared" si="182"/>
        <v>0</v>
      </c>
      <c r="S838" s="23">
        <f t="shared" si="186"/>
        <v>0</v>
      </c>
    </row>
    <row r="839" spans="1:19" s="17" customFormat="1">
      <c r="A839" s="137" t="s">
        <v>648</v>
      </c>
      <c r="B839" s="17" t="s">
        <v>645</v>
      </c>
      <c r="C839" s="18"/>
      <c r="D839" s="19" t="s">
        <v>43</v>
      </c>
      <c r="E839" s="20"/>
      <c r="F839" s="21">
        <v>1</v>
      </c>
      <c r="G839" s="22" t="s">
        <v>21</v>
      </c>
      <c r="H839" s="21">
        <v>30</v>
      </c>
      <c r="I839" s="22" t="s">
        <v>43</v>
      </c>
      <c r="J839" s="23">
        <v>220000</v>
      </c>
      <c r="K839" s="19" t="s">
        <v>43</v>
      </c>
      <c r="L839" s="24"/>
      <c r="M839" s="24">
        <v>0.15</v>
      </c>
      <c r="N839" s="21"/>
      <c r="O839" s="22" t="s">
        <v>43</v>
      </c>
      <c r="P839" s="18">
        <f t="shared" si="181"/>
        <v>0</v>
      </c>
      <c r="Q839" s="22" t="s">
        <v>43</v>
      </c>
      <c r="R839" s="23">
        <f t="shared" si="182"/>
        <v>0</v>
      </c>
      <c r="S839" s="23">
        <f t="shared" si="186"/>
        <v>0</v>
      </c>
    </row>
    <row r="840" spans="1:19" s="26" customFormat="1">
      <c r="A840" s="138" t="s">
        <v>649</v>
      </c>
      <c r="B840" s="26" t="s">
        <v>645</v>
      </c>
      <c r="C840" s="27">
        <v>18</v>
      </c>
      <c r="D840" s="28" t="s">
        <v>43</v>
      </c>
      <c r="E840" s="29"/>
      <c r="F840" s="30">
        <v>1</v>
      </c>
      <c r="G840" s="31" t="s">
        <v>21</v>
      </c>
      <c r="H840" s="30">
        <v>20</v>
      </c>
      <c r="I840" s="31" t="s">
        <v>43</v>
      </c>
      <c r="J840" s="32">
        <v>285600</v>
      </c>
      <c r="K840" s="28" t="s">
        <v>43</v>
      </c>
      <c r="L840" s="33">
        <v>0.17499999999999999</v>
      </c>
      <c r="M840" s="33">
        <v>0.03</v>
      </c>
      <c r="N840" s="30">
        <v>1</v>
      </c>
      <c r="O840" s="31" t="s">
        <v>43</v>
      </c>
      <c r="P840" s="27">
        <f t="shared" si="181"/>
        <v>17</v>
      </c>
      <c r="Q840" s="31" t="s">
        <v>43</v>
      </c>
      <c r="R840" s="32">
        <f t="shared" si="182"/>
        <v>3885373.8</v>
      </c>
      <c r="S840" s="32">
        <f t="shared" si="186"/>
        <v>3500336.7567567565</v>
      </c>
    </row>
    <row r="841" spans="1:19" s="26" customFormat="1">
      <c r="A841" s="138"/>
      <c r="C841" s="27"/>
      <c r="D841" s="28"/>
      <c r="E841" s="29"/>
      <c r="F841" s="30"/>
      <c r="G841" s="31"/>
      <c r="H841" s="30"/>
      <c r="I841" s="31"/>
      <c r="J841" s="32"/>
      <c r="K841" s="28"/>
      <c r="L841" s="33"/>
      <c r="M841" s="33"/>
      <c r="N841" s="30"/>
      <c r="O841" s="31"/>
      <c r="P841" s="27"/>
      <c r="Q841" s="31"/>
      <c r="R841" s="32"/>
      <c r="S841" s="32"/>
    </row>
    <row r="842" spans="1:19" s="26" customFormat="1">
      <c r="A842" s="138" t="s">
        <v>650</v>
      </c>
      <c r="B842" s="45" t="s">
        <v>192</v>
      </c>
      <c r="C842" s="27">
        <v>97</v>
      </c>
      <c r="D842" s="28" t="s">
        <v>43</v>
      </c>
      <c r="E842" s="29"/>
      <c r="F842" s="30">
        <v>1</v>
      </c>
      <c r="G842" s="31" t="s">
        <v>21</v>
      </c>
      <c r="H842" s="30">
        <v>5</v>
      </c>
      <c r="I842" s="31" t="s">
        <v>43</v>
      </c>
      <c r="J842" s="32">
        <v>250000</v>
      </c>
      <c r="K842" s="28" t="s">
        <v>43</v>
      </c>
      <c r="L842" s="33"/>
      <c r="M842" s="33"/>
      <c r="N842" s="30">
        <v>1</v>
      </c>
      <c r="O842" s="228" t="s">
        <v>43</v>
      </c>
      <c r="P842" s="27">
        <f t="shared" si="181"/>
        <v>96</v>
      </c>
      <c r="Q842" s="31" t="s">
        <v>43</v>
      </c>
      <c r="R842" s="32">
        <f t="shared" si="182"/>
        <v>24000000</v>
      </c>
      <c r="S842" s="32">
        <f t="shared" si="186"/>
        <v>21621621.62162162</v>
      </c>
    </row>
    <row r="843" spans="1:19" s="26" customFormat="1">
      <c r="A843" s="138"/>
      <c r="B843" s="45"/>
      <c r="C843" s="27"/>
      <c r="D843" s="28"/>
      <c r="E843" s="29"/>
      <c r="F843" s="30"/>
      <c r="G843" s="31"/>
      <c r="H843" s="30"/>
      <c r="I843" s="31"/>
      <c r="J843" s="32"/>
      <c r="K843" s="28"/>
      <c r="L843" s="33"/>
      <c r="M843" s="33"/>
      <c r="N843" s="30"/>
      <c r="O843" s="228"/>
      <c r="P843" s="27"/>
      <c r="Q843" s="31"/>
      <c r="R843" s="32"/>
      <c r="S843" s="32"/>
    </row>
    <row r="844" spans="1:19">
      <c r="A844" s="15" t="s">
        <v>651</v>
      </c>
      <c r="S844" s="23"/>
    </row>
    <row r="845" spans="1:19" s="45" customFormat="1">
      <c r="A845" s="44" t="s">
        <v>653</v>
      </c>
      <c r="B845" s="45" t="s">
        <v>645</v>
      </c>
      <c r="C845" s="46">
        <v>3344</v>
      </c>
      <c r="D845" s="47" t="s">
        <v>104</v>
      </c>
      <c r="E845" s="48">
        <v>20</v>
      </c>
      <c r="F845" s="49">
        <v>1</v>
      </c>
      <c r="G845" s="50" t="s">
        <v>21</v>
      </c>
      <c r="H845" s="49">
        <v>100</v>
      </c>
      <c r="I845" s="50" t="s">
        <v>104</v>
      </c>
      <c r="J845" s="51">
        <v>14000</v>
      </c>
      <c r="K845" s="47" t="s">
        <v>104</v>
      </c>
      <c r="L845" s="52">
        <v>0.1</v>
      </c>
      <c r="M845" s="52"/>
      <c r="N845" s="49">
        <f>200+100+200</f>
        <v>500</v>
      </c>
      <c r="O845" s="50" t="s">
        <v>104</v>
      </c>
      <c r="P845" s="46">
        <f t="shared" ref="P845:P855" si="187">(C845+(E845*F845*H845))-N845</f>
        <v>4844</v>
      </c>
      <c r="Q845" s="50" t="s">
        <v>104</v>
      </c>
      <c r="R845" s="51">
        <f t="shared" ref="R845:R855" si="188">P845*(J845-(J845*L845)-((J845-(J845*L845))*M845))</f>
        <v>61034400</v>
      </c>
      <c r="S845" s="51">
        <f t="shared" ref="S845:S935" si="189">R845/1.11</f>
        <v>54985945.945945941</v>
      </c>
    </row>
    <row r="846" spans="1:19" s="45" customFormat="1">
      <c r="A846" s="44" t="s">
        <v>654</v>
      </c>
      <c r="B846" s="45" t="s">
        <v>645</v>
      </c>
      <c r="C846" s="46">
        <v>605</v>
      </c>
      <c r="D846" s="47" t="s">
        <v>104</v>
      </c>
      <c r="E846" s="48">
        <v>10</v>
      </c>
      <c r="F846" s="49">
        <v>1</v>
      </c>
      <c r="G846" s="50" t="s">
        <v>21</v>
      </c>
      <c r="H846" s="49">
        <v>50</v>
      </c>
      <c r="I846" s="50" t="s">
        <v>104</v>
      </c>
      <c r="J846" s="51">
        <v>24000</v>
      </c>
      <c r="K846" s="47" t="s">
        <v>104</v>
      </c>
      <c r="L846" s="52"/>
      <c r="M846" s="52"/>
      <c r="N846" s="49">
        <f>250+15+100+100</f>
        <v>465</v>
      </c>
      <c r="O846" s="50" t="s">
        <v>104</v>
      </c>
      <c r="P846" s="46">
        <f t="shared" si="187"/>
        <v>640</v>
      </c>
      <c r="Q846" s="50" t="s">
        <v>104</v>
      </c>
      <c r="R846" s="51">
        <f t="shared" si="188"/>
        <v>15360000</v>
      </c>
      <c r="S846" s="51">
        <f t="shared" si="189"/>
        <v>13837837.837837836</v>
      </c>
    </row>
    <row r="847" spans="1:19" s="45" customFormat="1">
      <c r="A847" s="44"/>
      <c r="C847" s="46"/>
      <c r="D847" s="47"/>
      <c r="E847" s="48"/>
      <c r="F847" s="49"/>
      <c r="G847" s="50"/>
      <c r="H847" s="49"/>
      <c r="I847" s="50"/>
      <c r="J847" s="51"/>
      <c r="K847" s="47"/>
      <c r="L847" s="52"/>
      <c r="M847" s="52"/>
      <c r="N847" s="49"/>
      <c r="O847" s="50"/>
      <c r="P847" s="46"/>
      <c r="Q847" s="50"/>
      <c r="R847" s="51"/>
      <c r="S847" s="51"/>
    </row>
    <row r="848" spans="1:19" s="26" customFormat="1">
      <c r="A848" s="25" t="s">
        <v>652</v>
      </c>
      <c r="B848" s="26" t="s">
        <v>19</v>
      </c>
      <c r="C848" s="27">
        <v>32</v>
      </c>
      <c r="D848" s="28" t="s">
        <v>34</v>
      </c>
      <c r="E848" s="29"/>
      <c r="F848" s="30">
        <v>1</v>
      </c>
      <c r="G848" s="31" t="s">
        <v>21</v>
      </c>
      <c r="H848" s="30">
        <v>50</v>
      </c>
      <c r="I848" s="31" t="s">
        <v>34</v>
      </c>
      <c r="J848" s="32">
        <v>28000</v>
      </c>
      <c r="K848" s="28" t="s">
        <v>34</v>
      </c>
      <c r="L848" s="33">
        <v>0.125</v>
      </c>
      <c r="M848" s="33">
        <v>0.05</v>
      </c>
      <c r="N848" s="30"/>
      <c r="O848" s="31" t="s">
        <v>34</v>
      </c>
      <c r="P848" s="27">
        <f>(C848+(E848*F848*H848))-N848</f>
        <v>32</v>
      </c>
      <c r="Q848" s="31" t="s">
        <v>34</v>
      </c>
      <c r="R848" s="32">
        <f>P848*(J848-(J848*L848)-((J848-(J848*L848))*M848))</f>
        <v>744800</v>
      </c>
      <c r="S848" s="32">
        <f>R848/1.11</f>
        <v>670990.99099099089</v>
      </c>
    </row>
    <row r="849" spans="1:19" s="26" customFormat="1">
      <c r="A849" s="25"/>
      <c r="C849" s="27"/>
      <c r="D849" s="28"/>
      <c r="E849" s="29"/>
      <c r="F849" s="30"/>
      <c r="G849" s="31"/>
      <c r="H849" s="30"/>
      <c r="I849" s="31"/>
      <c r="J849" s="32"/>
      <c r="K849" s="28"/>
      <c r="L849" s="33"/>
      <c r="M849" s="33"/>
      <c r="N849" s="30"/>
      <c r="O849" s="31"/>
      <c r="P849" s="27"/>
      <c r="Q849" s="31"/>
      <c r="R849" s="32"/>
      <c r="S849" s="32"/>
    </row>
    <row r="850" spans="1:19" s="17" customFormat="1">
      <c r="A850" s="109" t="s">
        <v>655</v>
      </c>
      <c r="B850" s="17" t="s">
        <v>26</v>
      </c>
      <c r="C850" s="18"/>
      <c r="D850" s="19" t="s">
        <v>34</v>
      </c>
      <c r="E850" s="20">
        <v>1</v>
      </c>
      <c r="F850" s="21">
        <v>40</v>
      </c>
      <c r="G850" s="22" t="s">
        <v>104</v>
      </c>
      <c r="H850" s="21">
        <v>20</v>
      </c>
      <c r="I850" s="22" t="s">
        <v>34</v>
      </c>
      <c r="J850" s="23">
        <f>840000/40/20</f>
        <v>1050</v>
      </c>
      <c r="K850" s="19" t="s">
        <v>34</v>
      </c>
      <c r="L850" s="24"/>
      <c r="M850" s="24">
        <v>0.17</v>
      </c>
      <c r="N850" s="21">
        <f>(40*20)</f>
        <v>800</v>
      </c>
      <c r="O850" s="22" t="s">
        <v>34</v>
      </c>
      <c r="P850" s="18">
        <f>(C850+(E850*F850*H850))-N850</f>
        <v>0</v>
      </c>
      <c r="Q850" s="22" t="s">
        <v>34</v>
      </c>
      <c r="R850" s="23">
        <f>P850*(J850-(J850*L850)-((J850-(J850*L850))*M850))</f>
        <v>0</v>
      </c>
      <c r="S850" s="23">
        <f t="shared" si="189"/>
        <v>0</v>
      </c>
    </row>
    <row r="851" spans="1:19" s="45" customFormat="1">
      <c r="A851" s="108" t="s">
        <v>656</v>
      </c>
      <c r="B851" s="45" t="s">
        <v>26</v>
      </c>
      <c r="C851" s="46">
        <v>20</v>
      </c>
      <c r="D851" s="47" t="s">
        <v>104</v>
      </c>
      <c r="E851" s="48">
        <v>1</v>
      </c>
      <c r="F851" s="49">
        <v>1</v>
      </c>
      <c r="G851" s="50" t="s">
        <v>21</v>
      </c>
      <c r="H851" s="49">
        <v>20</v>
      </c>
      <c r="I851" s="50" t="s">
        <v>104</v>
      </c>
      <c r="J851" s="51">
        <f>840000/20</f>
        <v>42000</v>
      </c>
      <c r="K851" s="47" t="s">
        <v>104</v>
      </c>
      <c r="L851" s="52"/>
      <c r="M851" s="52">
        <v>0.17</v>
      </c>
      <c r="N851" s="49">
        <f>10+20</f>
        <v>30</v>
      </c>
      <c r="O851" s="50" t="s">
        <v>104</v>
      </c>
      <c r="P851" s="46">
        <f>(C851+(E851*F851*H851))-N851</f>
        <v>10</v>
      </c>
      <c r="Q851" s="50" t="s">
        <v>104</v>
      </c>
      <c r="R851" s="51">
        <f>P851*(J851-(J851*L851)-((J851-(J851*L851))*M851))</f>
        <v>348600</v>
      </c>
      <c r="S851" s="51">
        <f t="shared" si="189"/>
        <v>314054.05405405402</v>
      </c>
    </row>
    <row r="852" spans="1:19" s="25" customFormat="1">
      <c r="A852" s="44" t="s">
        <v>657</v>
      </c>
      <c r="B852" s="25" t="s">
        <v>26</v>
      </c>
      <c r="C852" s="122"/>
      <c r="D852" s="123" t="s">
        <v>104</v>
      </c>
      <c r="E852" s="124">
        <v>5</v>
      </c>
      <c r="F852" s="125">
        <v>1</v>
      </c>
      <c r="G852" s="126" t="s">
        <v>21</v>
      </c>
      <c r="H852" s="125">
        <v>15</v>
      </c>
      <c r="I852" s="126" t="s">
        <v>104</v>
      </c>
      <c r="J852" s="127">
        <f>525000/15</f>
        <v>35000</v>
      </c>
      <c r="K852" s="123" t="s">
        <v>104</v>
      </c>
      <c r="L852" s="128"/>
      <c r="M852" s="128">
        <v>0.17</v>
      </c>
      <c r="N852" s="125"/>
      <c r="O852" s="126" t="s">
        <v>104</v>
      </c>
      <c r="P852" s="122">
        <f>(C852+(E852*F852*H852))-N852</f>
        <v>75</v>
      </c>
      <c r="Q852" s="126" t="s">
        <v>104</v>
      </c>
      <c r="R852" s="127">
        <f>P852*(J852-(J852*L852)-((J852-(J852*L852))*M852))</f>
        <v>2178750</v>
      </c>
      <c r="S852" s="127">
        <f t="shared" si="189"/>
        <v>1962837.8378378376</v>
      </c>
    </row>
    <row r="853" spans="1:19" s="16" customFormat="1">
      <c r="A853" s="72"/>
      <c r="C853" s="129"/>
      <c r="D853" s="130"/>
      <c r="E853" s="131"/>
      <c r="F853" s="132"/>
      <c r="G853" s="133"/>
      <c r="H853" s="132"/>
      <c r="I853" s="133"/>
      <c r="J853" s="134"/>
      <c r="K853" s="130"/>
      <c r="L853" s="135"/>
      <c r="M853" s="135"/>
      <c r="N853" s="132"/>
      <c r="O853" s="133"/>
      <c r="P853" s="129"/>
      <c r="Q853" s="133"/>
      <c r="R853" s="134"/>
      <c r="S853" s="134"/>
    </row>
    <row r="854" spans="1:19" s="45" customFormat="1">
      <c r="A854" s="108" t="s">
        <v>658</v>
      </c>
      <c r="B854" s="45" t="s">
        <v>659</v>
      </c>
      <c r="C854" s="46">
        <v>150</v>
      </c>
      <c r="D854" s="47" t="s">
        <v>34</v>
      </c>
      <c r="E854" s="48"/>
      <c r="F854" s="49">
        <v>1</v>
      </c>
      <c r="G854" s="50" t="s">
        <v>21</v>
      </c>
      <c r="H854" s="49">
        <v>200</v>
      </c>
      <c r="I854" s="50" t="s">
        <v>34</v>
      </c>
      <c r="J854" s="51">
        <v>11500</v>
      </c>
      <c r="K854" s="47" t="s">
        <v>104</v>
      </c>
      <c r="L854" s="52">
        <v>0.17499999999999999</v>
      </c>
      <c r="M854" s="52">
        <v>0.03</v>
      </c>
      <c r="N854" s="49">
        <v>100</v>
      </c>
      <c r="O854" s="50" t="s">
        <v>34</v>
      </c>
      <c r="P854" s="46">
        <f t="shared" si="187"/>
        <v>50</v>
      </c>
      <c r="Q854" s="50" t="s">
        <v>34</v>
      </c>
      <c r="R854" s="51">
        <f t="shared" si="188"/>
        <v>460143.75</v>
      </c>
      <c r="S854" s="32">
        <f t="shared" si="189"/>
        <v>414543.91891891888</v>
      </c>
    </row>
    <row r="855" spans="1:19" s="45" customFormat="1">
      <c r="A855" s="108" t="s">
        <v>736</v>
      </c>
      <c r="B855" s="45" t="s">
        <v>659</v>
      </c>
      <c r="C855" s="46">
        <v>350</v>
      </c>
      <c r="D855" s="47" t="s">
        <v>34</v>
      </c>
      <c r="E855" s="48"/>
      <c r="F855" s="49">
        <v>1</v>
      </c>
      <c r="G855" s="50" t="s">
        <v>21</v>
      </c>
      <c r="H855" s="49">
        <v>200</v>
      </c>
      <c r="I855" s="50" t="s">
        <v>34</v>
      </c>
      <c r="J855" s="51">
        <v>13800</v>
      </c>
      <c r="K855" s="47" t="s">
        <v>104</v>
      </c>
      <c r="L855" s="52">
        <v>0.17499999999999999</v>
      </c>
      <c r="M855" s="52">
        <v>0.03</v>
      </c>
      <c r="N855" s="49"/>
      <c r="O855" s="50" t="s">
        <v>34</v>
      </c>
      <c r="P855" s="46">
        <f t="shared" si="187"/>
        <v>350</v>
      </c>
      <c r="Q855" s="50" t="s">
        <v>34</v>
      </c>
      <c r="R855" s="51">
        <f t="shared" si="188"/>
        <v>3865207.5000000005</v>
      </c>
      <c r="S855" s="32">
        <f t="shared" si="189"/>
        <v>3482168.9189189188</v>
      </c>
    </row>
    <row r="856" spans="1:19" s="26" customFormat="1">
      <c r="A856" s="138"/>
      <c r="B856" s="45"/>
      <c r="C856" s="27"/>
      <c r="D856" s="28"/>
      <c r="E856" s="29"/>
      <c r="F856" s="30"/>
      <c r="G856" s="31"/>
      <c r="H856" s="30"/>
      <c r="I856" s="31"/>
      <c r="J856" s="32"/>
      <c r="K856" s="28"/>
      <c r="L856" s="33"/>
      <c r="M856" s="33"/>
      <c r="N856" s="30"/>
      <c r="O856" s="228"/>
      <c r="P856" s="27"/>
      <c r="Q856" s="31"/>
      <c r="R856" s="32"/>
      <c r="S856" s="32"/>
    </row>
    <row r="857" spans="1:19">
      <c r="A857" s="15" t="s">
        <v>844</v>
      </c>
      <c r="S857" s="23"/>
    </row>
    <row r="858" spans="1:19" s="63" customFormat="1">
      <c r="A858" s="72" t="s">
        <v>845</v>
      </c>
      <c r="B858" s="63" t="s">
        <v>645</v>
      </c>
      <c r="C858" s="64"/>
      <c r="D858" s="65" t="s">
        <v>43</v>
      </c>
      <c r="E858" s="66"/>
      <c r="F858" s="67">
        <v>1</v>
      </c>
      <c r="G858" s="68" t="s">
        <v>21</v>
      </c>
      <c r="H858" s="67">
        <v>30</v>
      </c>
      <c r="I858" s="68" t="s">
        <v>43</v>
      </c>
      <c r="J858" s="69">
        <v>102000</v>
      </c>
      <c r="K858" s="65" t="s">
        <v>43</v>
      </c>
      <c r="L858" s="70">
        <v>0.17499999999999999</v>
      </c>
      <c r="M858" s="70">
        <v>0.03</v>
      </c>
      <c r="N858" s="67"/>
      <c r="O858" s="68" t="s">
        <v>43</v>
      </c>
      <c r="P858" s="64">
        <f t="shared" ref="P858" si="190">(C858+(E858*F858*H858))-N858</f>
        <v>0</v>
      </c>
      <c r="Q858" s="68" t="s">
        <v>43</v>
      </c>
      <c r="R858" s="69">
        <f t="shared" ref="R858" si="191">P858*(J858-(J858*L858)-((J858-(J858*L858))*M858))</f>
        <v>0</v>
      </c>
      <c r="S858" s="69">
        <f t="shared" ref="S858" si="192">R858/1.11</f>
        <v>0</v>
      </c>
    </row>
    <row r="859" spans="1:19">
      <c r="S859" s="23"/>
    </row>
    <row r="860" spans="1:19" ht="15.75">
      <c r="A860" s="14" t="s">
        <v>660</v>
      </c>
      <c r="S860" s="23"/>
    </row>
    <row r="861" spans="1:19" s="26" customFormat="1">
      <c r="A861" s="94" t="s">
        <v>661</v>
      </c>
      <c r="B861" s="26" t="s">
        <v>182</v>
      </c>
      <c r="C861" s="27">
        <v>383</v>
      </c>
      <c r="D861" s="28" t="s">
        <v>104</v>
      </c>
      <c r="E861" s="29"/>
      <c r="F861" s="30">
        <v>1</v>
      </c>
      <c r="G861" s="31" t="s">
        <v>21</v>
      </c>
      <c r="H861" s="30">
        <v>60</v>
      </c>
      <c r="I861" s="31" t="s">
        <v>104</v>
      </c>
      <c r="J861" s="32">
        <v>8600</v>
      </c>
      <c r="K861" s="28" t="s">
        <v>104</v>
      </c>
      <c r="L861" s="33">
        <v>0.05</v>
      </c>
      <c r="M861" s="33"/>
      <c r="N861" s="30"/>
      <c r="O861" s="31" t="s">
        <v>104</v>
      </c>
      <c r="P861" s="27">
        <f t="shared" ref="P861:P880" si="193">(C861+(E861*F861*H861))-N861</f>
        <v>383</v>
      </c>
      <c r="Q861" s="31" t="s">
        <v>104</v>
      </c>
      <c r="R861" s="32">
        <f t="shared" ref="R861:R880" si="194">P861*(J861-(J861*L861)-((J861-(J861*L861))*M861))</f>
        <v>3129110</v>
      </c>
      <c r="S861" s="32">
        <f t="shared" si="189"/>
        <v>2819018.018018018</v>
      </c>
    </row>
    <row r="862" spans="1:19" s="26" customFormat="1">
      <c r="A862" s="94"/>
      <c r="C862" s="27"/>
      <c r="D862" s="28"/>
      <c r="E862" s="29"/>
      <c r="F862" s="30"/>
      <c r="G862" s="31"/>
      <c r="H862" s="30"/>
      <c r="I862" s="31"/>
      <c r="J862" s="32"/>
      <c r="K862" s="28"/>
      <c r="L862" s="33"/>
      <c r="M862" s="33"/>
      <c r="N862" s="30"/>
      <c r="O862" s="31"/>
      <c r="P862" s="27"/>
      <c r="Q862" s="31"/>
      <c r="R862" s="32"/>
      <c r="S862" s="32"/>
    </row>
    <row r="863" spans="1:19" s="17" customFormat="1">
      <c r="A863" s="93" t="s">
        <v>666</v>
      </c>
      <c r="B863" s="17" t="s">
        <v>19</v>
      </c>
      <c r="C863" s="18"/>
      <c r="D863" s="19" t="s">
        <v>34</v>
      </c>
      <c r="E863" s="20"/>
      <c r="F863" s="21">
        <v>1</v>
      </c>
      <c r="G863" s="22" t="s">
        <v>21</v>
      </c>
      <c r="H863" s="21">
        <v>50</v>
      </c>
      <c r="I863" s="22" t="s">
        <v>34</v>
      </c>
      <c r="J863" s="23">
        <v>32300</v>
      </c>
      <c r="K863" s="19" t="s">
        <v>34</v>
      </c>
      <c r="L863" s="24">
        <v>0.125</v>
      </c>
      <c r="M863" s="24">
        <v>0.05</v>
      </c>
      <c r="N863" s="21"/>
      <c r="O863" s="22" t="s">
        <v>34</v>
      </c>
      <c r="P863" s="18">
        <f>(C863+(E863*F863*H863))-N863</f>
        <v>0</v>
      </c>
      <c r="Q863" s="22" t="s">
        <v>34</v>
      </c>
      <c r="R863" s="23">
        <f>P863*(J863-(J863*L863)-((J863-(J863*L863))*M863))</f>
        <v>0</v>
      </c>
      <c r="S863" s="23">
        <f>R863/1.11</f>
        <v>0</v>
      </c>
    </row>
    <row r="864" spans="1:19" s="17" customFormat="1">
      <c r="A864" s="93" t="s">
        <v>667</v>
      </c>
      <c r="B864" s="17" t="s">
        <v>19</v>
      </c>
      <c r="C864" s="18"/>
      <c r="D864" s="19" t="s">
        <v>34</v>
      </c>
      <c r="E864" s="20"/>
      <c r="F864" s="21">
        <v>1</v>
      </c>
      <c r="G864" s="22" t="s">
        <v>21</v>
      </c>
      <c r="H864" s="21">
        <v>50</v>
      </c>
      <c r="I864" s="22" t="s">
        <v>34</v>
      </c>
      <c r="J864" s="23">
        <v>12000</v>
      </c>
      <c r="K864" s="19" t="s">
        <v>34</v>
      </c>
      <c r="L864" s="24">
        <v>0.125</v>
      </c>
      <c r="M864" s="24">
        <v>0.05</v>
      </c>
      <c r="N864" s="21"/>
      <c r="O864" s="22" t="s">
        <v>34</v>
      </c>
      <c r="P864" s="18">
        <f>(C864+(E864*F864*H864))-N864</f>
        <v>0</v>
      </c>
      <c r="Q864" s="22" t="s">
        <v>34</v>
      </c>
      <c r="R864" s="23">
        <f>P864*(J864-(J864*L864)-((J864-(J864*L864))*M864))</f>
        <v>0</v>
      </c>
      <c r="S864" s="23">
        <f>R864/1.11</f>
        <v>0</v>
      </c>
    </row>
    <row r="865" spans="1:19" s="26" customFormat="1">
      <c r="A865" s="94" t="s">
        <v>829</v>
      </c>
      <c r="B865" s="26" t="s">
        <v>19</v>
      </c>
      <c r="C865" s="27">
        <v>100</v>
      </c>
      <c r="D865" s="28" t="s">
        <v>34</v>
      </c>
      <c r="E865" s="29"/>
      <c r="F865" s="30">
        <v>1</v>
      </c>
      <c r="G865" s="31" t="s">
        <v>21</v>
      </c>
      <c r="H865" s="30">
        <v>50</v>
      </c>
      <c r="I865" s="31" t="s">
        <v>34</v>
      </c>
      <c r="J865" s="32">
        <v>29100</v>
      </c>
      <c r="K865" s="28" t="s">
        <v>34</v>
      </c>
      <c r="L865" s="33">
        <v>0.125</v>
      </c>
      <c r="M865" s="33">
        <v>0.05</v>
      </c>
      <c r="N865" s="30"/>
      <c r="O865" s="31" t="s">
        <v>34</v>
      </c>
      <c r="P865" s="27">
        <f>(C865+(E865*F865*H865))-N865</f>
        <v>100</v>
      </c>
      <c r="Q865" s="31" t="s">
        <v>34</v>
      </c>
      <c r="R865" s="32">
        <f>P865*(J865-(J865*L865)-((J865-(J865*L865))*M865))</f>
        <v>2418937.5</v>
      </c>
      <c r="S865" s="32">
        <f>R865/1.11</f>
        <v>2179222.9729729728</v>
      </c>
    </row>
    <row r="866" spans="1:19" s="17" customFormat="1">
      <c r="A866" s="93" t="s">
        <v>668</v>
      </c>
      <c r="B866" s="17" t="s">
        <v>19</v>
      </c>
      <c r="C866" s="18"/>
      <c r="D866" s="19" t="s">
        <v>34</v>
      </c>
      <c r="E866" s="20"/>
      <c r="F866" s="21">
        <v>1</v>
      </c>
      <c r="G866" s="22" t="s">
        <v>21</v>
      </c>
      <c r="H866" s="21">
        <v>50</v>
      </c>
      <c r="I866" s="22" t="s">
        <v>34</v>
      </c>
      <c r="J866" s="23">
        <v>36200</v>
      </c>
      <c r="K866" s="19" t="s">
        <v>34</v>
      </c>
      <c r="L866" s="24">
        <v>0.125</v>
      </c>
      <c r="M866" s="24">
        <v>0.05</v>
      </c>
      <c r="N866" s="21"/>
      <c r="O866" s="22" t="s">
        <v>34</v>
      </c>
      <c r="P866" s="18">
        <f>(C866+(E866*F866*H866))-N866</f>
        <v>0</v>
      </c>
      <c r="Q866" s="22" t="s">
        <v>34</v>
      </c>
      <c r="R866" s="23">
        <f>P866*(J866-(J866*L866)-((J866-(J866*L866))*M866))</f>
        <v>0</v>
      </c>
      <c r="S866" s="23">
        <f>R866/1.11</f>
        <v>0</v>
      </c>
    </row>
    <row r="867" spans="1:19" s="45" customFormat="1">
      <c r="A867" s="94" t="s">
        <v>662</v>
      </c>
      <c r="B867" s="45" t="s">
        <v>19</v>
      </c>
      <c r="C867" s="46">
        <v>43</v>
      </c>
      <c r="D867" s="47" t="s">
        <v>34</v>
      </c>
      <c r="E867" s="48">
        <v>1</v>
      </c>
      <c r="F867" s="49">
        <v>1</v>
      </c>
      <c r="G867" s="50" t="s">
        <v>21</v>
      </c>
      <c r="H867" s="49">
        <v>50</v>
      </c>
      <c r="I867" s="50" t="s">
        <v>34</v>
      </c>
      <c r="J867" s="51">
        <v>34100</v>
      </c>
      <c r="K867" s="47" t="s">
        <v>34</v>
      </c>
      <c r="L867" s="52">
        <v>0.125</v>
      </c>
      <c r="M867" s="52">
        <v>0.05</v>
      </c>
      <c r="N867" s="49">
        <v>50</v>
      </c>
      <c r="O867" s="50" t="s">
        <v>34</v>
      </c>
      <c r="P867" s="46">
        <f t="shared" si="193"/>
        <v>43</v>
      </c>
      <c r="Q867" s="50" t="s">
        <v>34</v>
      </c>
      <c r="R867" s="51">
        <f t="shared" si="194"/>
        <v>1218861.875</v>
      </c>
      <c r="S867" s="32">
        <f t="shared" si="189"/>
        <v>1098073.7612612611</v>
      </c>
    </row>
    <row r="868" spans="1:19" s="45" customFormat="1">
      <c r="A868" s="44" t="s">
        <v>663</v>
      </c>
      <c r="B868" s="45" t="s">
        <v>19</v>
      </c>
      <c r="C868" s="46">
        <v>100</v>
      </c>
      <c r="D868" s="47" t="s">
        <v>34</v>
      </c>
      <c r="E868" s="48"/>
      <c r="F868" s="49">
        <v>1</v>
      </c>
      <c r="G868" s="50" t="s">
        <v>21</v>
      </c>
      <c r="H868" s="49">
        <v>50</v>
      </c>
      <c r="I868" s="50" t="s">
        <v>34</v>
      </c>
      <c r="J868" s="51">
        <v>34100</v>
      </c>
      <c r="K868" s="47" t="s">
        <v>34</v>
      </c>
      <c r="L868" s="52">
        <v>0.125</v>
      </c>
      <c r="M868" s="52">
        <v>0.05</v>
      </c>
      <c r="N868" s="49"/>
      <c r="O868" s="50" t="s">
        <v>34</v>
      </c>
      <c r="P868" s="46">
        <f t="shared" si="193"/>
        <v>100</v>
      </c>
      <c r="Q868" s="50" t="s">
        <v>34</v>
      </c>
      <c r="R868" s="51">
        <f t="shared" si="194"/>
        <v>2834562.5</v>
      </c>
      <c r="S868" s="51">
        <f t="shared" si="189"/>
        <v>2553659.9099099096</v>
      </c>
    </row>
    <row r="869" spans="1:19" s="45" customFormat="1">
      <c r="A869" s="44" t="s">
        <v>664</v>
      </c>
      <c r="B869" s="45" t="s">
        <v>19</v>
      </c>
      <c r="C869" s="46">
        <v>13</v>
      </c>
      <c r="D869" s="47" t="s">
        <v>34</v>
      </c>
      <c r="E869" s="48">
        <v>1</v>
      </c>
      <c r="F869" s="49">
        <v>1</v>
      </c>
      <c r="G869" s="50" t="s">
        <v>21</v>
      </c>
      <c r="H869" s="49">
        <v>50</v>
      </c>
      <c r="I869" s="50" t="s">
        <v>34</v>
      </c>
      <c r="J869" s="51">
        <v>32000</v>
      </c>
      <c r="K869" s="47" t="s">
        <v>34</v>
      </c>
      <c r="L869" s="52">
        <v>0.125</v>
      </c>
      <c r="M869" s="52">
        <v>0.05</v>
      </c>
      <c r="N869" s="49">
        <v>50</v>
      </c>
      <c r="O869" s="50" t="s">
        <v>34</v>
      </c>
      <c r="P869" s="46">
        <f t="shared" si="193"/>
        <v>13</v>
      </c>
      <c r="Q869" s="50" t="s">
        <v>34</v>
      </c>
      <c r="R869" s="51">
        <f t="shared" si="194"/>
        <v>345800</v>
      </c>
      <c r="S869" s="51">
        <f t="shared" si="189"/>
        <v>311531.53153153148</v>
      </c>
    </row>
    <row r="870" spans="1:19" s="63" customFormat="1">
      <c r="A870" s="93" t="s">
        <v>665</v>
      </c>
      <c r="B870" s="63" t="s">
        <v>19</v>
      </c>
      <c r="C870" s="64"/>
      <c r="D870" s="65" t="s">
        <v>34</v>
      </c>
      <c r="E870" s="66"/>
      <c r="F870" s="67">
        <v>1</v>
      </c>
      <c r="G870" s="68" t="s">
        <v>21</v>
      </c>
      <c r="H870" s="67">
        <v>50</v>
      </c>
      <c r="I870" s="68" t="s">
        <v>34</v>
      </c>
      <c r="J870" s="69">
        <v>32000</v>
      </c>
      <c r="K870" s="65" t="s">
        <v>34</v>
      </c>
      <c r="L870" s="70">
        <v>0.125</v>
      </c>
      <c r="M870" s="70">
        <v>0.05</v>
      </c>
      <c r="N870" s="67"/>
      <c r="O870" s="68" t="s">
        <v>34</v>
      </c>
      <c r="P870" s="64">
        <f t="shared" si="193"/>
        <v>0</v>
      </c>
      <c r="Q870" s="68" t="s">
        <v>34</v>
      </c>
      <c r="R870" s="69">
        <f t="shared" si="194"/>
        <v>0</v>
      </c>
      <c r="S870" s="23">
        <f t="shared" si="189"/>
        <v>0</v>
      </c>
    </row>
    <row r="871" spans="1:19" s="45" customFormat="1">
      <c r="A871" s="94" t="s">
        <v>669</v>
      </c>
      <c r="B871" s="45" t="s">
        <v>19</v>
      </c>
      <c r="C871" s="46">
        <v>244</v>
      </c>
      <c r="D871" s="47" t="s">
        <v>34</v>
      </c>
      <c r="E871" s="48">
        <f>1+5+2+2+7</f>
        <v>17</v>
      </c>
      <c r="F871" s="49">
        <v>1</v>
      </c>
      <c r="G871" s="50" t="s">
        <v>21</v>
      </c>
      <c r="H871" s="49">
        <v>50</v>
      </c>
      <c r="I871" s="50" t="s">
        <v>34</v>
      </c>
      <c r="J871" s="51">
        <v>28300</v>
      </c>
      <c r="K871" s="47" t="s">
        <v>34</v>
      </c>
      <c r="L871" s="52">
        <v>0.125</v>
      </c>
      <c r="M871" s="52">
        <v>0.05</v>
      </c>
      <c r="N871" s="49">
        <f>100+10+50+250+50+50</f>
        <v>510</v>
      </c>
      <c r="O871" s="50" t="s">
        <v>34</v>
      </c>
      <c r="P871" s="46">
        <f t="shared" si="193"/>
        <v>584</v>
      </c>
      <c r="Q871" s="50" t="s">
        <v>34</v>
      </c>
      <c r="R871" s="51">
        <f t="shared" si="194"/>
        <v>13738235</v>
      </c>
      <c r="S871" s="51">
        <f t="shared" si="189"/>
        <v>12376788.288288288</v>
      </c>
    </row>
    <row r="872" spans="1:19" s="63" customFormat="1">
      <c r="A872" s="93" t="s">
        <v>670</v>
      </c>
      <c r="B872" s="63" t="s">
        <v>19</v>
      </c>
      <c r="C872" s="64"/>
      <c r="D872" s="65" t="s">
        <v>34</v>
      </c>
      <c r="E872" s="66"/>
      <c r="F872" s="67">
        <v>1</v>
      </c>
      <c r="G872" s="68" t="s">
        <v>21</v>
      </c>
      <c r="H872" s="67">
        <v>50</v>
      </c>
      <c r="I872" s="68" t="s">
        <v>34</v>
      </c>
      <c r="J872" s="69">
        <v>28300</v>
      </c>
      <c r="K872" s="65" t="s">
        <v>34</v>
      </c>
      <c r="L872" s="70">
        <v>0.125</v>
      </c>
      <c r="M872" s="70">
        <v>0.05</v>
      </c>
      <c r="N872" s="67"/>
      <c r="O872" s="68" t="s">
        <v>34</v>
      </c>
      <c r="P872" s="64">
        <f t="shared" si="193"/>
        <v>0</v>
      </c>
      <c r="Q872" s="68" t="s">
        <v>34</v>
      </c>
      <c r="R872" s="69">
        <f t="shared" si="194"/>
        <v>0</v>
      </c>
      <c r="S872" s="69">
        <f t="shared" si="189"/>
        <v>0</v>
      </c>
    </row>
    <row r="873" spans="1:19" s="17" customFormat="1">
      <c r="A873" s="93" t="s">
        <v>671</v>
      </c>
      <c r="B873" s="17" t="s">
        <v>19</v>
      </c>
      <c r="C873" s="18"/>
      <c r="D873" s="19" t="s">
        <v>34</v>
      </c>
      <c r="E873" s="20"/>
      <c r="F873" s="21">
        <v>1</v>
      </c>
      <c r="G873" s="22" t="s">
        <v>21</v>
      </c>
      <c r="H873" s="21">
        <v>50</v>
      </c>
      <c r="I873" s="22" t="s">
        <v>34</v>
      </c>
      <c r="J873" s="23">
        <v>26500</v>
      </c>
      <c r="K873" s="19" t="s">
        <v>34</v>
      </c>
      <c r="L873" s="24">
        <v>0.125</v>
      </c>
      <c r="M873" s="24">
        <v>0.05</v>
      </c>
      <c r="N873" s="21"/>
      <c r="O873" s="22" t="s">
        <v>34</v>
      </c>
      <c r="P873" s="18">
        <f t="shared" si="193"/>
        <v>0</v>
      </c>
      <c r="Q873" s="22" t="s">
        <v>34</v>
      </c>
      <c r="R873" s="23">
        <f t="shared" si="194"/>
        <v>0</v>
      </c>
      <c r="S873" s="23">
        <f t="shared" si="189"/>
        <v>0</v>
      </c>
    </row>
    <row r="874" spans="1:19" s="17" customFormat="1">
      <c r="A874" s="93"/>
      <c r="C874" s="18"/>
      <c r="D874" s="19"/>
      <c r="E874" s="20"/>
      <c r="F874" s="21"/>
      <c r="G874" s="22"/>
      <c r="H874" s="21"/>
      <c r="I874" s="22"/>
      <c r="J874" s="23"/>
      <c r="K874" s="19"/>
      <c r="L874" s="24"/>
      <c r="M874" s="24"/>
      <c r="N874" s="21"/>
      <c r="O874" s="22"/>
      <c r="P874" s="18"/>
      <c r="Q874" s="22"/>
      <c r="R874" s="23"/>
      <c r="S874" s="23"/>
    </row>
    <row r="875" spans="1:19" s="45" customFormat="1">
      <c r="A875" s="107" t="s">
        <v>672</v>
      </c>
      <c r="B875" s="45" t="s">
        <v>26</v>
      </c>
      <c r="C875" s="46">
        <v>101</v>
      </c>
      <c r="D875" s="47" t="s">
        <v>34</v>
      </c>
      <c r="E875" s="48">
        <f>3+4</f>
        <v>7</v>
      </c>
      <c r="F875" s="49">
        <v>1</v>
      </c>
      <c r="G875" s="50" t="s">
        <v>21</v>
      </c>
      <c r="H875" s="49">
        <v>50</v>
      </c>
      <c r="I875" s="50" t="s">
        <v>34</v>
      </c>
      <c r="J875" s="51">
        <f>1500000/50</f>
        <v>30000</v>
      </c>
      <c r="K875" s="47" t="s">
        <v>34</v>
      </c>
      <c r="L875" s="52"/>
      <c r="M875" s="52">
        <v>0.17</v>
      </c>
      <c r="N875" s="49">
        <f>50+50</f>
        <v>100</v>
      </c>
      <c r="O875" s="50" t="s">
        <v>34</v>
      </c>
      <c r="P875" s="46">
        <f t="shared" si="193"/>
        <v>351</v>
      </c>
      <c r="Q875" s="50" t="s">
        <v>34</v>
      </c>
      <c r="R875" s="51">
        <f t="shared" si="194"/>
        <v>8739900</v>
      </c>
      <c r="S875" s="51">
        <f t="shared" si="189"/>
        <v>7873783.7837837832</v>
      </c>
    </row>
    <row r="876" spans="1:19" s="45" customFormat="1">
      <c r="A876" s="107" t="s">
        <v>673</v>
      </c>
      <c r="B876" s="45" t="s">
        <v>26</v>
      </c>
      <c r="C876" s="46">
        <v>62</v>
      </c>
      <c r="D876" s="47" t="s">
        <v>34</v>
      </c>
      <c r="E876" s="48">
        <f>2+2</f>
        <v>4</v>
      </c>
      <c r="F876" s="49">
        <v>1</v>
      </c>
      <c r="G876" s="50" t="s">
        <v>21</v>
      </c>
      <c r="H876" s="49">
        <v>50</v>
      </c>
      <c r="I876" s="50" t="s">
        <v>34</v>
      </c>
      <c r="J876" s="51">
        <f>1500000/50</f>
        <v>30000</v>
      </c>
      <c r="K876" s="47" t="s">
        <v>34</v>
      </c>
      <c r="L876" s="52"/>
      <c r="M876" s="52">
        <v>0.17</v>
      </c>
      <c r="N876" s="49"/>
      <c r="O876" s="50" t="s">
        <v>34</v>
      </c>
      <c r="P876" s="46">
        <f t="shared" si="193"/>
        <v>262</v>
      </c>
      <c r="Q876" s="50" t="s">
        <v>34</v>
      </c>
      <c r="R876" s="51">
        <f t="shared" si="194"/>
        <v>6523800</v>
      </c>
      <c r="S876" s="51">
        <f t="shared" si="189"/>
        <v>5877297.297297297</v>
      </c>
    </row>
    <row r="877" spans="1:19" s="17" customFormat="1">
      <c r="A877" s="93" t="s">
        <v>833</v>
      </c>
      <c r="B877" s="17" t="s">
        <v>26</v>
      </c>
      <c r="C877" s="18"/>
      <c r="D877" s="19" t="s">
        <v>34</v>
      </c>
      <c r="E877" s="20"/>
      <c r="F877" s="21">
        <v>1</v>
      </c>
      <c r="G877" s="22" t="s">
        <v>21</v>
      </c>
      <c r="H877" s="21">
        <v>50</v>
      </c>
      <c r="I877" s="22" t="s">
        <v>34</v>
      </c>
      <c r="J877" s="23">
        <v>32400</v>
      </c>
      <c r="K877" s="19" t="s">
        <v>34</v>
      </c>
      <c r="L877" s="24"/>
      <c r="M877" s="24">
        <v>0.17</v>
      </c>
      <c r="N877" s="21"/>
      <c r="O877" s="22" t="s">
        <v>34</v>
      </c>
      <c r="P877" s="18">
        <f t="shared" si="193"/>
        <v>0</v>
      </c>
      <c r="Q877" s="22" t="s">
        <v>34</v>
      </c>
      <c r="R877" s="23">
        <f t="shared" si="194"/>
        <v>0</v>
      </c>
      <c r="S877" s="23">
        <f t="shared" si="189"/>
        <v>0</v>
      </c>
    </row>
    <row r="878" spans="1:19" s="17" customFormat="1">
      <c r="A878" s="93" t="s">
        <v>675</v>
      </c>
      <c r="B878" s="17" t="s">
        <v>26</v>
      </c>
      <c r="C878" s="18"/>
      <c r="D878" s="19" t="s">
        <v>34</v>
      </c>
      <c r="E878" s="20"/>
      <c r="F878" s="21">
        <v>1</v>
      </c>
      <c r="G878" s="22" t="s">
        <v>21</v>
      </c>
      <c r="H878" s="21">
        <v>50</v>
      </c>
      <c r="I878" s="22" t="s">
        <v>34</v>
      </c>
      <c r="J878" s="23">
        <v>28500</v>
      </c>
      <c r="K878" s="19" t="s">
        <v>34</v>
      </c>
      <c r="L878" s="24"/>
      <c r="M878" s="24">
        <v>0.17</v>
      </c>
      <c r="N878" s="21">
        <v>1</v>
      </c>
      <c r="O878" s="22" t="s">
        <v>34</v>
      </c>
      <c r="P878" s="18">
        <f t="shared" si="193"/>
        <v>-1</v>
      </c>
      <c r="Q878" s="22" t="s">
        <v>34</v>
      </c>
      <c r="R878" s="23">
        <f t="shared" si="194"/>
        <v>-23655</v>
      </c>
      <c r="S878" s="23">
        <f t="shared" si="189"/>
        <v>-21310.81081081081</v>
      </c>
    </row>
    <row r="879" spans="1:19" s="45" customFormat="1">
      <c r="A879" s="107" t="s">
        <v>676</v>
      </c>
      <c r="B879" s="45" t="s">
        <v>26</v>
      </c>
      <c r="C879" s="46">
        <v>205</v>
      </c>
      <c r="D879" s="47" t="s">
        <v>34</v>
      </c>
      <c r="E879" s="48">
        <f>5+1+5</f>
        <v>11</v>
      </c>
      <c r="F879" s="49">
        <v>1</v>
      </c>
      <c r="G879" s="50" t="s">
        <v>21</v>
      </c>
      <c r="H879" s="49">
        <v>50</v>
      </c>
      <c r="I879" s="50" t="s">
        <v>34</v>
      </c>
      <c r="J879" s="51">
        <f>1375000/50</f>
        <v>27500</v>
      </c>
      <c r="K879" s="47" t="s">
        <v>34</v>
      </c>
      <c r="L879" s="52"/>
      <c r="M879" s="52">
        <v>0.17</v>
      </c>
      <c r="N879" s="49">
        <f>50+50+50</f>
        <v>150</v>
      </c>
      <c r="O879" s="50" t="s">
        <v>34</v>
      </c>
      <c r="P879" s="46">
        <f t="shared" si="193"/>
        <v>605</v>
      </c>
      <c r="Q879" s="50" t="s">
        <v>34</v>
      </c>
      <c r="R879" s="51">
        <f t="shared" si="194"/>
        <v>13809125</v>
      </c>
      <c r="S879" s="51">
        <f t="shared" si="189"/>
        <v>12440653.153153151</v>
      </c>
    </row>
    <row r="880" spans="1:19" s="45" customFormat="1">
      <c r="A880" s="107" t="s">
        <v>677</v>
      </c>
      <c r="B880" s="45" t="s">
        <v>26</v>
      </c>
      <c r="C880" s="46">
        <v>20</v>
      </c>
      <c r="D880" s="47" t="s">
        <v>34</v>
      </c>
      <c r="E880" s="48">
        <f>5+1</f>
        <v>6</v>
      </c>
      <c r="F880" s="49">
        <v>1</v>
      </c>
      <c r="G880" s="50" t="s">
        <v>21</v>
      </c>
      <c r="H880" s="49">
        <v>50</v>
      </c>
      <c r="I880" s="50" t="s">
        <v>34</v>
      </c>
      <c r="J880" s="51">
        <f>1375000/50</f>
        <v>27500</v>
      </c>
      <c r="K880" s="47" t="s">
        <v>34</v>
      </c>
      <c r="L880" s="52"/>
      <c r="M880" s="52">
        <v>0.17</v>
      </c>
      <c r="N880" s="49">
        <v>100</v>
      </c>
      <c r="O880" s="50" t="s">
        <v>34</v>
      </c>
      <c r="P880" s="46">
        <f t="shared" si="193"/>
        <v>220</v>
      </c>
      <c r="Q880" s="50" t="s">
        <v>34</v>
      </c>
      <c r="R880" s="51">
        <f t="shared" si="194"/>
        <v>5021500</v>
      </c>
      <c r="S880" s="51">
        <f t="shared" si="189"/>
        <v>4523873.8738738736</v>
      </c>
    </row>
    <row r="881" spans="1:19">
      <c r="S881" s="23"/>
    </row>
    <row r="882" spans="1:19" ht="15.75">
      <c r="A882" s="14" t="s">
        <v>866</v>
      </c>
      <c r="S882" s="23"/>
    </row>
    <row r="883" spans="1:19" s="26" customFormat="1">
      <c r="A883" s="25" t="s">
        <v>867</v>
      </c>
      <c r="B883" s="26" t="s">
        <v>182</v>
      </c>
      <c r="C883" s="27"/>
      <c r="D883" s="28" t="s">
        <v>20</v>
      </c>
      <c r="E883" s="29">
        <f>1+1+1</f>
        <v>3</v>
      </c>
      <c r="F883" s="30">
        <v>50</v>
      </c>
      <c r="G883" s="31" t="s">
        <v>104</v>
      </c>
      <c r="H883" s="30">
        <v>100</v>
      </c>
      <c r="I883" s="31" t="s">
        <v>20</v>
      </c>
      <c r="J883" s="32">
        <f>39500/100</f>
        <v>395</v>
      </c>
      <c r="K883" s="28" t="s">
        <v>20</v>
      </c>
      <c r="L883" s="33">
        <v>0.05</v>
      </c>
      <c r="M883" s="33"/>
      <c r="N883" s="30">
        <f>(500+500+500)</f>
        <v>1500</v>
      </c>
      <c r="O883" s="31" t="s">
        <v>20</v>
      </c>
      <c r="P883" s="27">
        <f t="shared" ref="P883" si="195">(C883+(E883*F883*H883))-N883</f>
        <v>13500</v>
      </c>
      <c r="Q883" s="31" t="s">
        <v>20</v>
      </c>
      <c r="R883" s="32">
        <f t="shared" ref="R883" si="196">P883*(J883-(J883*L883)-((J883-(J883*L883))*M883))</f>
        <v>5065875</v>
      </c>
      <c r="S883" s="32">
        <f t="shared" ref="S883" si="197">R883/1.11</f>
        <v>4563851.3513513505</v>
      </c>
    </row>
    <row r="884" spans="1:19" s="26" customFormat="1">
      <c r="A884" s="25"/>
      <c r="C884" s="27"/>
      <c r="D884" s="28"/>
      <c r="E884" s="29"/>
      <c r="F884" s="30"/>
      <c r="G884" s="31"/>
      <c r="H884" s="30"/>
      <c r="I884" s="31"/>
      <c r="J884" s="32"/>
      <c r="K884" s="28"/>
      <c r="L884" s="33"/>
      <c r="M884" s="33"/>
      <c r="N884" s="30"/>
      <c r="O884" s="31"/>
      <c r="P884" s="27"/>
      <c r="Q884" s="31"/>
      <c r="R884" s="32"/>
      <c r="S884" s="32"/>
    </row>
    <row r="885" spans="1:19" ht="15.75">
      <c r="A885" s="14" t="s">
        <v>678</v>
      </c>
      <c r="S885" s="23"/>
    </row>
    <row r="886" spans="1:19">
      <c r="A886" s="15" t="s">
        <v>679</v>
      </c>
      <c r="S886" s="23"/>
    </row>
    <row r="887" spans="1:19" s="63" customFormat="1">
      <c r="A887" s="111" t="s">
        <v>680</v>
      </c>
      <c r="B887" s="63" t="s">
        <v>192</v>
      </c>
      <c r="C887" s="64"/>
      <c r="D887" s="65" t="s">
        <v>292</v>
      </c>
      <c r="E887" s="66"/>
      <c r="F887" s="67">
        <v>1</v>
      </c>
      <c r="G887" s="68" t="s">
        <v>21</v>
      </c>
      <c r="H887" s="67">
        <v>720</v>
      </c>
      <c r="I887" s="68" t="s">
        <v>292</v>
      </c>
      <c r="J887" s="69">
        <v>3100</v>
      </c>
      <c r="K887" s="65" t="s">
        <v>292</v>
      </c>
      <c r="L887" s="70"/>
      <c r="M887" s="70">
        <v>0.15</v>
      </c>
      <c r="N887" s="67">
        <f>12+24+24</f>
        <v>60</v>
      </c>
      <c r="O887" s="68" t="s">
        <v>292</v>
      </c>
      <c r="P887" s="64">
        <f t="shared" ref="P887:P897" si="198">(C887+(E887*F887*H887))-N887</f>
        <v>-60</v>
      </c>
      <c r="Q887" s="68" t="s">
        <v>292</v>
      </c>
      <c r="R887" s="69">
        <f t="shared" ref="R887:R897" si="199">P887*(J887-(J887*L887)-((J887-(J887*L887))*M887))</f>
        <v>-158100</v>
      </c>
      <c r="S887" s="23">
        <f t="shared" si="189"/>
        <v>-142432.43243243243</v>
      </c>
    </row>
    <row r="888" spans="1:19" s="63" customFormat="1">
      <c r="A888" s="111" t="s">
        <v>681</v>
      </c>
      <c r="B888" s="63" t="s">
        <v>192</v>
      </c>
      <c r="C888" s="64"/>
      <c r="D888" s="65" t="s">
        <v>292</v>
      </c>
      <c r="E888" s="66"/>
      <c r="F888" s="67">
        <v>1</v>
      </c>
      <c r="G888" s="68" t="s">
        <v>21</v>
      </c>
      <c r="H888" s="67">
        <v>480</v>
      </c>
      <c r="I888" s="68" t="s">
        <v>292</v>
      </c>
      <c r="J888" s="69">
        <v>4750</v>
      </c>
      <c r="K888" s="65" t="s">
        <v>292</v>
      </c>
      <c r="L888" s="70"/>
      <c r="M888" s="70">
        <v>0.15</v>
      </c>
      <c r="N888" s="67">
        <f t="shared" ref="N888:N889" si="200">12+24+24</f>
        <v>60</v>
      </c>
      <c r="O888" s="68" t="s">
        <v>292</v>
      </c>
      <c r="P888" s="64">
        <f t="shared" si="198"/>
        <v>-60</v>
      </c>
      <c r="Q888" s="68" t="s">
        <v>292</v>
      </c>
      <c r="R888" s="69">
        <f t="shared" si="199"/>
        <v>-242250</v>
      </c>
      <c r="S888" s="23">
        <f t="shared" si="189"/>
        <v>-218243.24324324323</v>
      </c>
    </row>
    <row r="889" spans="1:19" s="17" customFormat="1">
      <c r="A889" s="111" t="s">
        <v>682</v>
      </c>
      <c r="B889" s="63" t="s">
        <v>192</v>
      </c>
      <c r="C889" s="18"/>
      <c r="D889" s="19" t="s">
        <v>292</v>
      </c>
      <c r="E889" s="20"/>
      <c r="F889" s="21">
        <v>1</v>
      </c>
      <c r="G889" s="22" t="s">
        <v>21</v>
      </c>
      <c r="H889" s="21">
        <v>360</v>
      </c>
      <c r="I889" s="22" t="s">
        <v>292</v>
      </c>
      <c r="J889" s="23">
        <v>6000</v>
      </c>
      <c r="K889" s="19" t="s">
        <v>292</v>
      </c>
      <c r="L889" s="24"/>
      <c r="M889" s="24">
        <v>0.15</v>
      </c>
      <c r="N889" s="67">
        <f t="shared" si="200"/>
        <v>60</v>
      </c>
      <c r="O889" s="22" t="s">
        <v>292</v>
      </c>
      <c r="P889" s="18">
        <f t="shared" si="198"/>
        <v>-60</v>
      </c>
      <c r="Q889" s="22" t="s">
        <v>292</v>
      </c>
      <c r="R889" s="23">
        <f t="shared" si="199"/>
        <v>-306000</v>
      </c>
      <c r="S889" s="23">
        <f t="shared" si="189"/>
        <v>-275675.67567567568</v>
      </c>
    </row>
    <row r="890" spans="1:19" s="17" customFormat="1">
      <c r="A890" s="93"/>
      <c r="B890" s="63"/>
      <c r="C890" s="18"/>
      <c r="D890" s="19"/>
      <c r="E890" s="20"/>
      <c r="F890" s="21"/>
      <c r="G890" s="22"/>
      <c r="H890" s="21"/>
      <c r="I890" s="22"/>
      <c r="J890" s="23"/>
      <c r="K890" s="19"/>
      <c r="L890" s="24"/>
      <c r="M890" s="24"/>
      <c r="N890" s="67"/>
      <c r="O890" s="22"/>
      <c r="P890" s="18"/>
      <c r="Q890" s="22"/>
      <c r="R890" s="23"/>
      <c r="S890" s="23"/>
    </row>
    <row r="891" spans="1:19" s="17" customFormat="1">
      <c r="A891" s="93" t="s">
        <v>683</v>
      </c>
      <c r="B891" s="17" t="s">
        <v>19</v>
      </c>
      <c r="C891" s="18"/>
      <c r="D891" s="19" t="s">
        <v>292</v>
      </c>
      <c r="E891" s="20"/>
      <c r="F891" s="21">
        <v>10</v>
      </c>
      <c r="G891" s="22" t="s">
        <v>104</v>
      </c>
      <c r="H891" s="21">
        <v>24</v>
      </c>
      <c r="I891" s="22" t="s">
        <v>292</v>
      </c>
      <c r="J891" s="23">
        <v>2300</v>
      </c>
      <c r="K891" s="19" t="s">
        <v>292</v>
      </c>
      <c r="L891" s="24">
        <v>0.125</v>
      </c>
      <c r="M891" s="24">
        <v>0.05</v>
      </c>
      <c r="N891" s="21"/>
      <c r="O891" s="22" t="s">
        <v>292</v>
      </c>
      <c r="P891" s="18">
        <f t="shared" si="198"/>
        <v>0</v>
      </c>
      <c r="Q891" s="22" t="s">
        <v>292</v>
      </c>
      <c r="R891" s="23">
        <f t="shared" si="199"/>
        <v>0</v>
      </c>
      <c r="S891" s="23">
        <f t="shared" si="189"/>
        <v>0</v>
      </c>
    </row>
    <row r="892" spans="1:19" s="17" customFormat="1">
      <c r="A892" s="93" t="s">
        <v>684</v>
      </c>
      <c r="B892" s="17" t="s">
        <v>19</v>
      </c>
      <c r="C892" s="18"/>
      <c r="D892" s="19" t="s">
        <v>292</v>
      </c>
      <c r="E892" s="20"/>
      <c r="F892" s="21">
        <v>10</v>
      </c>
      <c r="G892" s="22" t="s">
        <v>104</v>
      </c>
      <c r="H892" s="21">
        <v>12</v>
      </c>
      <c r="I892" s="22" t="s">
        <v>292</v>
      </c>
      <c r="J892" s="23">
        <v>4600</v>
      </c>
      <c r="K892" s="19" t="s">
        <v>292</v>
      </c>
      <c r="L892" s="24">
        <v>0.125</v>
      </c>
      <c r="M892" s="24">
        <v>0.05</v>
      </c>
      <c r="N892" s="21"/>
      <c r="O892" s="22" t="s">
        <v>292</v>
      </c>
      <c r="P892" s="18">
        <f t="shared" si="198"/>
        <v>0</v>
      </c>
      <c r="Q892" s="22" t="s">
        <v>292</v>
      </c>
      <c r="R892" s="23">
        <f t="shared" si="199"/>
        <v>0</v>
      </c>
      <c r="S892" s="23">
        <f t="shared" si="189"/>
        <v>0</v>
      </c>
    </row>
    <row r="893" spans="1:19" s="17" customFormat="1">
      <c r="A893" s="93"/>
      <c r="C893" s="18"/>
      <c r="D893" s="19"/>
      <c r="E893" s="20"/>
      <c r="F893" s="21"/>
      <c r="G893" s="22"/>
      <c r="H893" s="21"/>
      <c r="I893" s="22"/>
      <c r="J893" s="23"/>
      <c r="K893" s="19"/>
      <c r="L893" s="24"/>
      <c r="M893" s="24"/>
      <c r="N893" s="21"/>
      <c r="O893" s="22"/>
      <c r="P893" s="18"/>
      <c r="Q893" s="22"/>
      <c r="R893" s="23"/>
      <c r="S893" s="23"/>
    </row>
    <row r="894" spans="1:19" s="17" customFormat="1">
      <c r="A894" s="109" t="s">
        <v>685</v>
      </c>
      <c r="B894" s="17" t="s">
        <v>26</v>
      </c>
      <c r="C894" s="18"/>
      <c r="D894" s="19" t="s">
        <v>292</v>
      </c>
      <c r="E894" s="20"/>
      <c r="F894" s="21">
        <v>1</v>
      </c>
      <c r="G894" s="22" t="s">
        <v>21</v>
      </c>
      <c r="H894" s="21">
        <v>480</v>
      </c>
      <c r="I894" s="22" t="s">
        <v>292</v>
      </c>
      <c r="J894" s="23">
        <f>588000/480</f>
        <v>1225</v>
      </c>
      <c r="K894" s="19" t="s">
        <v>292</v>
      </c>
      <c r="L894" s="24"/>
      <c r="M894" s="24">
        <v>0.17</v>
      </c>
      <c r="N894" s="21"/>
      <c r="O894" s="22" t="s">
        <v>292</v>
      </c>
      <c r="P894" s="18">
        <f t="shared" si="198"/>
        <v>0</v>
      </c>
      <c r="Q894" s="22" t="s">
        <v>292</v>
      </c>
      <c r="R894" s="23">
        <f t="shared" si="199"/>
        <v>0</v>
      </c>
      <c r="S894" s="23">
        <f t="shared" si="189"/>
        <v>0</v>
      </c>
    </row>
    <row r="895" spans="1:19" s="17" customFormat="1">
      <c r="A895" s="109" t="s">
        <v>686</v>
      </c>
      <c r="B895" s="17" t="s">
        <v>26</v>
      </c>
      <c r="C895" s="18"/>
      <c r="D895" s="19" t="s">
        <v>292</v>
      </c>
      <c r="E895" s="20">
        <v>2</v>
      </c>
      <c r="F895" s="21">
        <v>1</v>
      </c>
      <c r="G895" s="22" t="s">
        <v>21</v>
      </c>
      <c r="H895" s="21">
        <v>240</v>
      </c>
      <c r="I895" s="22" t="s">
        <v>292</v>
      </c>
      <c r="J895" s="23">
        <f>588000/240</f>
        <v>2450</v>
      </c>
      <c r="K895" s="19" t="s">
        <v>292</v>
      </c>
      <c r="L895" s="24"/>
      <c r="M895" s="24">
        <v>0.17</v>
      </c>
      <c r="N895" s="21">
        <v>480</v>
      </c>
      <c r="O895" s="22" t="s">
        <v>292</v>
      </c>
      <c r="P895" s="18">
        <f t="shared" si="198"/>
        <v>0</v>
      </c>
      <c r="Q895" s="22" t="s">
        <v>292</v>
      </c>
      <c r="R895" s="23">
        <f t="shared" si="199"/>
        <v>0</v>
      </c>
      <c r="S895" s="23">
        <f t="shared" si="189"/>
        <v>0</v>
      </c>
    </row>
    <row r="896" spans="1:19" s="17" customFormat="1">
      <c r="A896" s="109" t="s">
        <v>687</v>
      </c>
      <c r="B896" s="17" t="s">
        <v>26</v>
      </c>
      <c r="C896" s="18"/>
      <c r="D896" s="19" t="s">
        <v>292</v>
      </c>
      <c r="E896" s="20"/>
      <c r="F896" s="21">
        <v>1</v>
      </c>
      <c r="G896" s="22" t="s">
        <v>21</v>
      </c>
      <c r="H896" s="21">
        <v>120</v>
      </c>
      <c r="I896" s="22" t="s">
        <v>292</v>
      </c>
      <c r="J896" s="23">
        <v>4800</v>
      </c>
      <c r="K896" s="19" t="s">
        <v>292</v>
      </c>
      <c r="L896" s="24"/>
      <c r="M896" s="24">
        <v>0.17</v>
      </c>
      <c r="N896" s="21"/>
      <c r="O896" s="22" t="s">
        <v>292</v>
      </c>
      <c r="P896" s="18">
        <f t="shared" si="198"/>
        <v>0</v>
      </c>
      <c r="Q896" s="22" t="s">
        <v>292</v>
      </c>
      <c r="R896" s="23">
        <f t="shared" si="199"/>
        <v>0</v>
      </c>
      <c r="S896" s="23">
        <f t="shared" si="189"/>
        <v>0</v>
      </c>
    </row>
    <row r="897" spans="1:19" s="17" customFormat="1">
      <c r="A897" s="109" t="s">
        <v>688</v>
      </c>
      <c r="B897" s="17" t="s">
        <v>26</v>
      </c>
      <c r="C897" s="18"/>
      <c r="D897" s="19" t="s">
        <v>292</v>
      </c>
      <c r="E897" s="20"/>
      <c r="F897" s="21">
        <v>1</v>
      </c>
      <c r="G897" s="22" t="s">
        <v>21</v>
      </c>
      <c r="H897" s="21">
        <v>120</v>
      </c>
      <c r="I897" s="22" t="s">
        <v>292</v>
      </c>
      <c r="J897" s="23">
        <v>9500</v>
      </c>
      <c r="K897" s="19" t="s">
        <v>292</v>
      </c>
      <c r="L897" s="24"/>
      <c r="M897" s="24">
        <v>0.17</v>
      </c>
      <c r="N897" s="21"/>
      <c r="O897" s="22" t="s">
        <v>292</v>
      </c>
      <c r="P897" s="18">
        <f t="shared" si="198"/>
        <v>0</v>
      </c>
      <c r="Q897" s="22" t="s">
        <v>292</v>
      </c>
      <c r="R897" s="23">
        <f t="shared" si="199"/>
        <v>0</v>
      </c>
      <c r="S897" s="23">
        <f t="shared" si="189"/>
        <v>0</v>
      </c>
    </row>
    <row r="898" spans="1:19" s="17" customFormat="1">
      <c r="A898" s="71"/>
      <c r="C898" s="18"/>
      <c r="D898" s="19"/>
      <c r="E898" s="20"/>
      <c r="F898" s="21"/>
      <c r="G898" s="22"/>
      <c r="H898" s="21"/>
      <c r="I898" s="22"/>
      <c r="J898" s="23"/>
      <c r="K898" s="19"/>
      <c r="L898" s="24"/>
      <c r="M898" s="24"/>
      <c r="N898" s="21"/>
      <c r="O898" s="22"/>
      <c r="P898" s="18"/>
      <c r="Q898" s="22"/>
      <c r="R898" s="23"/>
      <c r="S898" s="23"/>
    </row>
    <row r="899" spans="1:19">
      <c r="A899" s="15" t="s">
        <v>689</v>
      </c>
      <c r="S899" s="23"/>
    </row>
    <row r="900" spans="1:19" s="85" customFormat="1">
      <c r="A900" s="84" t="s">
        <v>690</v>
      </c>
      <c r="B900" s="85" t="s">
        <v>26</v>
      </c>
      <c r="C900" s="86">
        <v>144</v>
      </c>
      <c r="D900" s="87" t="s">
        <v>292</v>
      </c>
      <c r="E900" s="92"/>
      <c r="F900" s="88">
        <v>1</v>
      </c>
      <c r="G900" s="89" t="s">
        <v>21</v>
      </c>
      <c r="H900" s="88">
        <v>72</v>
      </c>
      <c r="I900" s="89" t="s">
        <v>292</v>
      </c>
      <c r="J900" s="90">
        <f>900000/72</f>
        <v>12500</v>
      </c>
      <c r="K900" s="87" t="s">
        <v>292</v>
      </c>
      <c r="L900" s="91"/>
      <c r="M900" s="91">
        <v>0.17</v>
      </c>
      <c r="N900" s="88"/>
      <c r="O900" s="89" t="s">
        <v>292</v>
      </c>
      <c r="P900" s="86">
        <f>(C900+(E900*F900*H900))-N900</f>
        <v>144</v>
      </c>
      <c r="Q900" s="89" t="s">
        <v>292</v>
      </c>
      <c r="R900" s="90">
        <f>P900*(J900-(J900*L900)-((J900-(J900*L900))*M900))</f>
        <v>1494000</v>
      </c>
      <c r="S900" s="51">
        <f t="shared" si="189"/>
        <v>1345945.9459459458</v>
      </c>
    </row>
    <row r="901" spans="1:19" s="17" customFormat="1">
      <c r="A901" s="16" t="s">
        <v>691</v>
      </c>
      <c r="B901" s="17" t="s">
        <v>26</v>
      </c>
      <c r="C901" s="18"/>
      <c r="D901" s="19" t="s">
        <v>292</v>
      </c>
      <c r="E901" s="20"/>
      <c r="F901" s="21">
        <v>1</v>
      </c>
      <c r="G901" s="22" t="s">
        <v>21</v>
      </c>
      <c r="H901" s="21">
        <v>72</v>
      </c>
      <c r="I901" s="22" t="s">
        <v>292</v>
      </c>
      <c r="J901" s="23">
        <f>900000/72</f>
        <v>12500</v>
      </c>
      <c r="K901" s="19" t="s">
        <v>292</v>
      </c>
      <c r="L901" s="24">
        <v>0.05</v>
      </c>
      <c r="M901" s="24">
        <v>0.17</v>
      </c>
      <c r="N901" s="21"/>
      <c r="O901" s="22" t="s">
        <v>292</v>
      </c>
      <c r="P901" s="18">
        <f>(C901+(E901*F901*H901))-N901</f>
        <v>0</v>
      </c>
      <c r="Q901" s="22" t="s">
        <v>292</v>
      </c>
      <c r="R901" s="23">
        <f>P901*(J901-(J901*L901)-((J901-(J901*L901))*M901))</f>
        <v>0</v>
      </c>
      <c r="S901" s="23">
        <f t="shared" si="189"/>
        <v>0</v>
      </c>
    </row>
    <row r="902" spans="1:19" s="26" customFormat="1">
      <c r="A902" s="25" t="s">
        <v>692</v>
      </c>
      <c r="B902" s="26" t="s">
        <v>26</v>
      </c>
      <c r="C902" s="27">
        <v>210</v>
      </c>
      <c r="D902" s="28" t="s">
        <v>292</v>
      </c>
      <c r="E902" s="29"/>
      <c r="F902" s="30">
        <v>1</v>
      </c>
      <c r="G902" s="31" t="s">
        <v>21</v>
      </c>
      <c r="H902" s="30">
        <v>72</v>
      </c>
      <c r="I902" s="31" t="s">
        <v>292</v>
      </c>
      <c r="J902" s="32">
        <f>705600/72</f>
        <v>9800</v>
      </c>
      <c r="K902" s="28" t="s">
        <v>292</v>
      </c>
      <c r="L902" s="33"/>
      <c r="M902" s="33">
        <v>0.17</v>
      </c>
      <c r="N902" s="30"/>
      <c r="O902" s="31" t="s">
        <v>292</v>
      </c>
      <c r="P902" s="27">
        <f>(C902+(E902*F902*H902))-N902</f>
        <v>210</v>
      </c>
      <c r="Q902" s="31" t="s">
        <v>292</v>
      </c>
      <c r="R902" s="32">
        <f>P902*(J902-(J902*L902)-((J902-(J902*L902))*M902))</f>
        <v>1708140</v>
      </c>
      <c r="S902" s="32">
        <f t="shared" si="189"/>
        <v>1538864.8648648646</v>
      </c>
    </row>
    <row r="903" spans="1:19" s="26" customFormat="1">
      <c r="A903" s="25" t="s">
        <v>693</v>
      </c>
      <c r="B903" s="26" t="s">
        <v>26</v>
      </c>
      <c r="C903" s="27">
        <v>36</v>
      </c>
      <c r="D903" s="28" t="s">
        <v>292</v>
      </c>
      <c r="E903" s="29"/>
      <c r="F903" s="30">
        <v>1</v>
      </c>
      <c r="G903" s="31" t="s">
        <v>21</v>
      </c>
      <c r="H903" s="30">
        <v>72</v>
      </c>
      <c r="I903" s="31" t="s">
        <v>292</v>
      </c>
      <c r="J903" s="32">
        <f>705600/72</f>
        <v>9800</v>
      </c>
      <c r="K903" s="28" t="s">
        <v>292</v>
      </c>
      <c r="L903" s="33"/>
      <c r="M903" s="33">
        <v>0.17</v>
      </c>
      <c r="N903" s="30"/>
      <c r="O903" s="31" t="s">
        <v>292</v>
      </c>
      <c r="P903" s="27">
        <f>(C903+(E903*F903*H903))-N903</f>
        <v>36</v>
      </c>
      <c r="Q903" s="31" t="s">
        <v>292</v>
      </c>
      <c r="R903" s="32">
        <f>P903*(J903-(J903*L903)-((J903-(J903*L903))*M903))</f>
        <v>292824</v>
      </c>
      <c r="S903" s="32">
        <f t="shared" si="189"/>
        <v>263805.40540540538</v>
      </c>
    </row>
    <row r="904" spans="1:19" s="26" customFormat="1">
      <c r="A904" s="25"/>
      <c r="C904" s="27"/>
      <c r="D904" s="28"/>
      <c r="E904" s="29"/>
      <c r="F904" s="30"/>
      <c r="G904" s="31"/>
      <c r="H904" s="30"/>
      <c r="I904" s="31"/>
      <c r="J904" s="32"/>
      <c r="K904" s="28"/>
      <c r="L904" s="33"/>
      <c r="M904" s="33"/>
      <c r="N904" s="30"/>
      <c r="O904" s="31"/>
      <c r="P904" s="27"/>
      <c r="Q904" s="31"/>
      <c r="R904" s="32"/>
      <c r="S904" s="32"/>
    </row>
    <row r="905" spans="1:19">
      <c r="A905" s="15" t="s">
        <v>694</v>
      </c>
      <c r="S905" s="23">
        <f t="shared" si="189"/>
        <v>0</v>
      </c>
    </row>
    <row r="906" spans="1:19">
      <c r="A906" s="34" t="s">
        <v>695</v>
      </c>
      <c r="B906" s="2" t="s">
        <v>26</v>
      </c>
      <c r="C906" s="3">
        <v>108</v>
      </c>
      <c r="D906" s="4" t="s">
        <v>292</v>
      </c>
      <c r="F906" s="6">
        <v>1</v>
      </c>
      <c r="G906" s="7" t="s">
        <v>21</v>
      </c>
      <c r="H906" s="6">
        <v>120</v>
      </c>
      <c r="I906" s="7" t="s">
        <v>292</v>
      </c>
      <c r="J906" s="8">
        <f>762000/120</f>
        <v>6350</v>
      </c>
      <c r="K906" s="4" t="s">
        <v>292</v>
      </c>
      <c r="M906" s="9">
        <v>0.17</v>
      </c>
      <c r="O906" s="7" t="s">
        <v>292</v>
      </c>
      <c r="P906" s="3">
        <f>(C906+(E906*F906*H906))-N906</f>
        <v>108</v>
      </c>
      <c r="Q906" s="7" t="s">
        <v>292</v>
      </c>
      <c r="R906" s="8">
        <f>P906*(J906-(J906*L906)-((J906-(J906*L906))*M906))</f>
        <v>569214</v>
      </c>
      <c r="S906" s="32">
        <f t="shared" si="189"/>
        <v>512805.40540540538</v>
      </c>
    </row>
    <row r="907" spans="1:19" s="26" customFormat="1">
      <c r="A907" s="25" t="s">
        <v>790</v>
      </c>
      <c r="B907" s="26" t="s">
        <v>26</v>
      </c>
      <c r="C907" s="27">
        <v>160</v>
      </c>
      <c r="D907" s="28" t="s">
        <v>292</v>
      </c>
      <c r="E907" s="29"/>
      <c r="F907" s="30">
        <v>1</v>
      </c>
      <c r="G907" s="31" t="s">
        <v>21</v>
      </c>
      <c r="H907" s="30">
        <v>80</v>
      </c>
      <c r="I907" s="31" t="s">
        <v>292</v>
      </c>
      <c r="J907" s="32">
        <f>732000/80</f>
        <v>9150</v>
      </c>
      <c r="K907" s="28" t="s">
        <v>292</v>
      </c>
      <c r="L907" s="33"/>
      <c r="M907" s="33">
        <v>0.17</v>
      </c>
      <c r="N907" s="30"/>
      <c r="O907" s="31" t="s">
        <v>292</v>
      </c>
      <c r="P907" s="27">
        <f>(C907+(E907*F907*H907))-N907</f>
        <v>160</v>
      </c>
      <c r="Q907" s="31" t="s">
        <v>292</v>
      </c>
      <c r="R907" s="32">
        <f>P907*(J907-(J907*L907)-((J907-(J907*L907))*M907))</f>
        <v>1215120</v>
      </c>
      <c r="S907" s="32">
        <f t="shared" si="189"/>
        <v>1094702.7027027027</v>
      </c>
    </row>
    <row r="908" spans="1:19" s="26" customFormat="1">
      <c r="A908" s="25" t="s">
        <v>697</v>
      </c>
      <c r="B908" s="26" t="s">
        <v>26</v>
      </c>
      <c r="C908" s="27">
        <v>234</v>
      </c>
      <c r="D908" s="28" t="s">
        <v>292</v>
      </c>
      <c r="E908" s="29">
        <v>4</v>
      </c>
      <c r="F908" s="30">
        <v>1</v>
      </c>
      <c r="G908" s="31" t="s">
        <v>21</v>
      </c>
      <c r="H908" s="30">
        <v>60</v>
      </c>
      <c r="I908" s="31" t="s">
        <v>292</v>
      </c>
      <c r="J908" s="32">
        <f>732000/60</f>
        <v>12200</v>
      </c>
      <c r="K908" s="28" t="s">
        <v>292</v>
      </c>
      <c r="L908" s="33"/>
      <c r="M908" s="33">
        <v>0.17</v>
      </c>
      <c r="N908" s="30"/>
      <c r="O908" s="31" t="s">
        <v>292</v>
      </c>
      <c r="P908" s="27">
        <f>(C908+(E908*F908*H908))-N908</f>
        <v>474</v>
      </c>
      <c r="Q908" s="31" t="s">
        <v>292</v>
      </c>
      <c r="R908" s="32">
        <f>P908*(J908-(J908*L908)-((J908-(J908*L908))*M908))</f>
        <v>4799724</v>
      </c>
      <c r="S908" s="32">
        <f t="shared" si="189"/>
        <v>4324075.6756756753</v>
      </c>
    </row>
    <row r="909" spans="1:19" s="17" customFormat="1">
      <c r="A909" s="16" t="s">
        <v>725</v>
      </c>
      <c r="B909" s="17" t="s">
        <v>26</v>
      </c>
      <c r="C909" s="18"/>
      <c r="D909" s="19" t="s">
        <v>292</v>
      </c>
      <c r="E909" s="20"/>
      <c r="F909" s="21">
        <v>1</v>
      </c>
      <c r="G909" s="22" t="s">
        <v>21</v>
      </c>
      <c r="H909" s="21">
        <v>80</v>
      </c>
      <c r="I909" s="22" t="s">
        <v>292</v>
      </c>
      <c r="J909" s="23">
        <f>848000/80</f>
        <v>10600</v>
      </c>
      <c r="K909" s="19" t="s">
        <v>292</v>
      </c>
      <c r="L909" s="24"/>
      <c r="M909" s="24">
        <v>0.17</v>
      </c>
      <c r="N909" s="21"/>
      <c r="O909" s="22" t="s">
        <v>292</v>
      </c>
      <c r="P909" s="18">
        <f>(C909+(E909*F909*H909))-N909</f>
        <v>0</v>
      </c>
      <c r="Q909" s="22" t="s">
        <v>292</v>
      </c>
      <c r="R909" s="23">
        <f>P909*(J909-(J909*L909)-((J909-(J909*L909))*M909))</f>
        <v>0</v>
      </c>
      <c r="S909" s="23">
        <f t="shared" si="189"/>
        <v>0</v>
      </c>
    </row>
    <row r="910" spans="1:19" s="17" customFormat="1">
      <c r="A910" s="16" t="s">
        <v>698</v>
      </c>
      <c r="B910" s="17" t="s">
        <v>26</v>
      </c>
      <c r="C910" s="18"/>
      <c r="D910" s="19" t="s">
        <v>292</v>
      </c>
      <c r="E910" s="20"/>
      <c r="F910" s="21">
        <v>1</v>
      </c>
      <c r="G910" s="22" t="s">
        <v>21</v>
      </c>
      <c r="H910" s="21">
        <v>60</v>
      </c>
      <c r="I910" s="22" t="s">
        <v>292</v>
      </c>
      <c r="J910" s="23">
        <f>852000/60</f>
        <v>14200</v>
      </c>
      <c r="K910" s="19" t="s">
        <v>292</v>
      </c>
      <c r="L910" s="24"/>
      <c r="M910" s="24">
        <v>0.17</v>
      </c>
      <c r="N910" s="21"/>
      <c r="O910" s="22" t="s">
        <v>292</v>
      </c>
      <c r="P910" s="18">
        <f>(C910+(E910*F910*H910))-N910</f>
        <v>0</v>
      </c>
      <c r="Q910" s="22" t="s">
        <v>292</v>
      </c>
      <c r="R910" s="23">
        <f>P910*(J910-(J910*L910)-((J910-(J910*L910))*M910))</f>
        <v>0</v>
      </c>
      <c r="S910" s="23">
        <f t="shared" si="189"/>
        <v>0</v>
      </c>
    </row>
    <row r="911" spans="1:19">
      <c r="S911" s="23"/>
    </row>
    <row r="912" spans="1:19" ht="15.75">
      <c r="A912" s="14" t="s">
        <v>699</v>
      </c>
      <c r="S912" s="23"/>
    </row>
    <row r="913" spans="1:19" s="17" customFormat="1">
      <c r="A913" s="16" t="s">
        <v>701</v>
      </c>
      <c r="B913" s="17" t="s">
        <v>19</v>
      </c>
      <c r="C913" s="18"/>
      <c r="D913" s="19" t="s">
        <v>20</v>
      </c>
      <c r="E913" s="20"/>
      <c r="F913" s="21">
        <v>1</v>
      </c>
      <c r="G913" s="22" t="s">
        <v>21</v>
      </c>
      <c r="H913" s="21">
        <v>24</v>
      </c>
      <c r="I913" s="22" t="s">
        <v>20</v>
      </c>
      <c r="J913" s="23">
        <v>21500</v>
      </c>
      <c r="K913" s="19" t="s">
        <v>20</v>
      </c>
      <c r="L913" s="24">
        <v>0.125</v>
      </c>
      <c r="M913" s="24">
        <v>0.05</v>
      </c>
      <c r="N913" s="21"/>
      <c r="O913" s="22" t="s">
        <v>20</v>
      </c>
      <c r="P913" s="18">
        <f t="shared" ref="P913:P935" si="201">(C913+(E913*F913*H913))-N913</f>
        <v>0</v>
      </c>
      <c r="Q913" s="22" t="s">
        <v>20</v>
      </c>
      <c r="R913" s="23">
        <f t="shared" ref="R913:R939" si="202">P913*(J913-(J913*L913)-((J913-(J913*L913))*M913))</f>
        <v>0</v>
      </c>
      <c r="S913" s="23">
        <f t="shared" si="189"/>
        <v>0</v>
      </c>
    </row>
    <row r="914" spans="1:19" s="17" customFormat="1">
      <c r="A914" s="16" t="s">
        <v>702</v>
      </c>
      <c r="B914" s="17" t="s">
        <v>19</v>
      </c>
      <c r="C914" s="18"/>
      <c r="D914" s="19" t="s">
        <v>20</v>
      </c>
      <c r="E914" s="20"/>
      <c r="F914" s="21">
        <v>1</v>
      </c>
      <c r="G914" s="22" t="s">
        <v>21</v>
      </c>
      <c r="H914" s="21">
        <v>24</v>
      </c>
      <c r="I914" s="22" t="s">
        <v>20</v>
      </c>
      <c r="J914" s="23">
        <v>23100</v>
      </c>
      <c r="K914" s="19" t="s">
        <v>20</v>
      </c>
      <c r="L914" s="24">
        <v>0.125</v>
      </c>
      <c r="M914" s="24">
        <v>0.05</v>
      </c>
      <c r="N914" s="21"/>
      <c r="O914" s="22" t="s">
        <v>20</v>
      </c>
      <c r="P914" s="18">
        <f t="shared" si="201"/>
        <v>0</v>
      </c>
      <c r="Q914" s="22" t="s">
        <v>20</v>
      </c>
      <c r="R914" s="23">
        <f t="shared" si="202"/>
        <v>0</v>
      </c>
      <c r="S914" s="23">
        <f t="shared" si="189"/>
        <v>0</v>
      </c>
    </row>
    <row r="915" spans="1:19" s="45" customFormat="1">
      <c r="A915" s="44" t="s">
        <v>703</v>
      </c>
      <c r="B915" s="45" t="s">
        <v>19</v>
      </c>
      <c r="C915" s="46"/>
      <c r="D915" s="47" t="s">
        <v>20</v>
      </c>
      <c r="E915" s="48">
        <f>5+6+1</f>
        <v>12</v>
      </c>
      <c r="F915" s="49">
        <v>1</v>
      </c>
      <c r="G915" s="50" t="s">
        <v>21</v>
      </c>
      <c r="H915" s="49">
        <v>24</v>
      </c>
      <c r="I915" s="50" t="s">
        <v>20</v>
      </c>
      <c r="J915" s="51">
        <v>10600</v>
      </c>
      <c r="K915" s="47" t="s">
        <v>20</v>
      </c>
      <c r="L915" s="52">
        <v>0.125</v>
      </c>
      <c r="M915" s="52">
        <v>0.05</v>
      </c>
      <c r="N915" s="49">
        <f>120+120+24</f>
        <v>264</v>
      </c>
      <c r="O915" s="50" t="s">
        <v>20</v>
      </c>
      <c r="P915" s="46">
        <f t="shared" si="201"/>
        <v>24</v>
      </c>
      <c r="Q915" s="50" t="s">
        <v>20</v>
      </c>
      <c r="R915" s="51">
        <f t="shared" si="202"/>
        <v>211470</v>
      </c>
      <c r="S915" s="51">
        <f t="shared" si="189"/>
        <v>190513.51351351349</v>
      </c>
    </row>
    <row r="916" spans="1:19" s="45" customFormat="1">
      <c r="A916" s="44" t="s">
        <v>704</v>
      </c>
      <c r="B916" s="45" t="s">
        <v>19</v>
      </c>
      <c r="C916" s="46">
        <v>830</v>
      </c>
      <c r="D916" s="47" t="s">
        <v>20</v>
      </c>
      <c r="E916" s="48"/>
      <c r="F916" s="49">
        <v>1</v>
      </c>
      <c r="G916" s="50" t="s">
        <v>21</v>
      </c>
      <c r="H916" s="49">
        <v>24</v>
      </c>
      <c r="I916" s="50" t="s">
        <v>20</v>
      </c>
      <c r="J916" s="51">
        <v>18800</v>
      </c>
      <c r="K916" s="47" t="s">
        <v>20</v>
      </c>
      <c r="L916" s="52">
        <v>0.125</v>
      </c>
      <c r="M916" s="52">
        <v>0.05</v>
      </c>
      <c r="N916" s="49">
        <f>240+24+12+144</f>
        <v>420</v>
      </c>
      <c r="O916" s="50" t="s">
        <v>20</v>
      </c>
      <c r="P916" s="46">
        <f t="shared" si="201"/>
        <v>410</v>
      </c>
      <c r="Q916" s="50" t="s">
        <v>20</v>
      </c>
      <c r="R916" s="51">
        <f t="shared" si="202"/>
        <v>6407275</v>
      </c>
      <c r="S916" s="51">
        <f t="shared" si="189"/>
        <v>5772319.8198198192</v>
      </c>
    </row>
    <row r="917" spans="1:19" s="63" customFormat="1">
      <c r="A917" s="72" t="s">
        <v>835</v>
      </c>
      <c r="B917" s="63" t="s">
        <v>19</v>
      </c>
      <c r="C917" s="64"/>
      <c r="D917" s="65" t="s">
        <v>20</v>
      </c>
      <c r="E917" s="66"/>
      <c r="F917" s="67">
        <v>1</v>
      </c>
      <c r="G917" s="68" t="s">
        <v>21</v>
      </c>
      <c r="H917" s="67">
        <v>12</v>
      </c>
      <c r="I917" s="68" t="s">
        <v>20</v>
      </c>
      <c r="J917" s="69">
        <v>31000</v>
      </c>
      <c r="K917" s="65" t="s">
        <v>20</v>
      </c>
      <c r="L917" s="70">
        <v>0.125</v>
      </c>
      <c r="M917" s="70">
        <v>0.05</v>
      </c>
      <c r="N917" s="67"/>
      <c r="O917" s="68" t="s">
        <v>20</v>
      </c>
      <c r="P917" s="64">
        <f t="shared" si="201"/>
        <v>0</v>
      </c>
      <c r="Q917" s="68" t="s">
        <v>20</v>
      </c>
      <c r="R917" s="69">
        <f t="shared" si="202"/>
        <v>0</v>
      </c>
      <c r="S917" s="69">
        <f t="shared" si="189"/>
        <v>0</v>
      </c>
    </row>
    <row r="918" spans="1:19" s="45" customFormat="1">
      <c r="A918" s="44" t="s">
        <v>834</v>
      </c>
      <c r="B918" s="45" t="s">
        <v>19</v>
      </c>
      <c r="C918" s="46"/>
      <c r="D918" s="47" t="s">
        <v>20</v>
      </c>
      <c r="E918" s="48">
        <v>1</v>
      </c>
      <c r="F918" s="49">
        <v>1</v>
      </c>
      <c r="G918" s="50" t="s">
        <v>21</v>
      </c>
      <c r="H918" s="49">
        <v>24</v>
      </c>
      <c r="I918" s="50" t="s">
        <v>20</v>
      </c>
      <c r="J918" s="51">
        <v>12300</v>
      </c>
      <c r="K918" s="47" t="s">
        <v>20</v>
      </c>
      <c r="L918" s="52">
        <v>0.125</v>
      </c>
      <c r="M918" s="52">
        <v>0.05</v>
      </c>
      <c r="N918" s="49"/>
      <c r="O918" s="50" t="s">
        <v>20</v>
      </c>
      <c r="P918" s="46">
        <f t="shared" si="201"/>
        <v>24</v>
      </c>
      <c r="Q918" s="50" t="s">
        <v>20</v>
      </c>
      <c r="R918" s="51">
        <f t="shared" si="202"/>
        <v>245385</v>
      </c>
      <c r="S918" s="32">
        <f t="shared" si="189"/>
        <v>221067.56756756754</v>
      </c>
    </row>
    <row r="919" spans="1:19" s="63" customFormat="1">
      <c r="A919" s="72" t="s">
        <v>705</v>
      </c>
      <c r="B919" s="63" t="s">
        <v>19</v>
      </c>
      <c r="C919" s="64"/>
      <c r="D919" s="65" t="s">
        <v>20</v>
      </c>
      <c r="E919" s="66"/>
      <c r="F919" s="67">
        <v>1</v>
      </c>
      <c r="G919" s="68" t="s">
        <v>21</v>
      </c>
      <c r="H919" s="67">
        <v>24</v>
      </c>
      <c r="I919" s="68" t="s">
        <v>20</v>
      </c>
      <c r="J919" s="69">
        <v>15000</v>
      </c>
      <c r="K919" s="65" t="s">
        <v>20</v>
      </c>
      <c r="L919" s="70">
        <v>0.125</v>
      </c>
      <c r="M919" s="70">
        <v>0.05</v>
      </c>
      <c r="N919" s="67"/>
      <c r="O919" s="68" t="s">
        <v>20</v>
      </c>
      <c r="P919" s="64">
        <f t="shared" si="201"/>
        <v>0</v>
      </c>
      <c r="Q919" s="68" t="s">
        <v>20</v>
      </c>
      <c r="R919" s="69">
        <f t="shared" si="202"/>
        <v>0</v>
      </c>
      <c r="S919" s="23">
        <f t="shared" si="189"/>
        <v>0</v>
      </c>
    </row>
    <row r="920" spans="1:19" s="26" customFormat="1">
      <c r="A920" s="25" t="s">
        <v>700</v>
      </c>
      <c r="B920" s="26" t="s">
        <v>19</v>
      </c>
      <c r="C920" s="27"/>
      <c r="D920" s="28" t="s">
        <v>20</v>
      </c>
      <c r="E920" s="29">
        <v>1</v>
      </c>
      <c r="F920" s="30">
        <v>1</v>
      </c>
      <c r="G920" s="31" t="s">
        <v>21</v>
      </c>
      <c r="H920" s="30">
        <v>24</v>
      </c>
      <c r="I920" s="31" t="s">
        <v>20</v>
      </c>
      <c r="J920" s="32">
        <v>17200</v>
      </c>
      <c r="K920" s="28" t="s">
        <v>20</v>
      </c>
      <c r="L920" s="33">
        <v>0.125</v>
      </c>
      <c r="M920" s="33">
        <v>0.05</v>
      </c>
      <c r="N920" s="30"/>
      <c r="O920" s="31" t="s">
        <v>20</v>
      </c>
      <c r="P920" s="27">
        <f>(C920+(E920*F920*H920))-N920</f>
        <v>24</v>
      </c>
      <c r="Q920" s="31" t="s">
        <v>20</v>
      </c>
      <c r="R920" s="32">
        <f>P920*(J920-(J920*L920)-((J920-(J920*L920))*M920))</f>
        <v>343140</v>
      </c>
      <c r="S920" s="32">
        <f>R920/1.11</f>
        <v>309135.13513513509</v>
      </c>
    </row>
    <row r="921" spans="1:19" s="63" customFormat="1">
      <c r="A921" s="72" t="s">
        <v>719</v>
      </c>
      <c r="B921" s="63" t="s">
        <v>19</v>
      </c>
      <c r="C921" s="64"/>
      <c r="D921" s="65" t="s">
        <v>20</v>
      </c>
      <c r="E921" s="66">
        <v>1</v>
      </c>
      <c r="F921" s="67">
        <v>12</v>
      </c>
      <c r="G921" s="68" t="s">
        <v>34</v>
      </c>
      <c r="H921" s="67">
        <v>20</v>
      </c>
      <c r="I921" s="68" t="s">
        <v>20</v>
      </c>
      <c r="J921" s="69">
        <v>5150</v>
      </c>
      <c r="K921" s="65" t="s">
        <v>20</v>
      </c>
      <c r="L921" s="70">
        <v>0.125</v>
      </c>
      <c r="M921" s="70">
        <v>0.05</v>
      </c>
      <c r="N921" s="67">
        <v>240</v>
      </c>
      <c r="O921" s="68" t="s">
        <v>20</v>
      </c>
      <c r="P921" s="64">
        <f>(C921+(E921*F921*H921))-N921</f>
        <v>0</v>
      </c>
      <c r="Q921" s="68" t="s">
        <v>20</v>
      </c>
      <c r="R921" s="69">
        <f>P921*(J921-(J921*L921)-((J921-(J921*L921))*M921))</f>
        <v>0</v>
      </c>
      <c r="S921" s="69">
        <f t="shared" ref="S921" si="203">R921/1.11</f>
        <v>0</v>
      </c>
    </row>
    <row r="922" spans="1:19" s="63" customFormat="1">
      <c r="A922" s="95" t="s">
        <v>706</v>
      </c>
      <c r="B922" s="96" t="s">
        <v>19</v>
      </c>
      <c r="C922" s="97">
        <v>73</v>
      </c>
      <c r="D922" s="98" t="s">
        <v>20</v>
      </c>
      <c r="E922" s="105"/>
      <c r="F922" s="100">
        <v>1</v>
      </c>
      <c r="G922" s="101" t="s">
        <v>21</v>
      </c>
      <c r="H922" s="100">
        <v>96</v>
      </c>
      <c r="I922" s="101" t="s">
        <v>20</v>
      </c>
      <c r="J922" s="102">
        <v>14000</v>
      </c>
      <c r="K922" s="98" t="s">
        <v>20</v>
      </c>
      <c r="L922" s="103">
        <v>0.125</v>
      </c>
      <c r="M922" s="103">
        <v>0.05</v>
      </c>
      <c r="N922" s="100">
        <f>192-119</f>
        <v>73</v>
      </c>
      <c r="O922" s="101" t="s">
        <v>20</v>
      </c>
      <c r="P922" s="97">
        <f t="shared" si="201"/>
        <v>0</v>
      </c>
      <c r="Q922" s="101" t="s">
        <v>20</v>
      </c>
      <c r="R922" s="102">
        <f t="shared" si="202"/>
        <v>0</v>
      </c>
      <c r="S922" s="102">
        <f t="shared" si="189"/>
        <v>0</v>
      </c>
    </row>
    <row r="923" spans="1:19" s="45" customFormat="1">
      <c r="A923" s="35" t="s">
        <v>706</v>
      </c>
      <c r="B923" s="36" t="s">
        <v>19</v>
      </c>
      <c r="C923" s="37">
        <v>192</v>
      </c>
      <c r="D923" s="38" t="s">
        <v>20</v>
      </c>
      <c r="E923" s="39"/>
      <c r="F923" s="40">
        <v>1</v>
      </c>
      <c r="G923" s="41" t="s">
        <v>21</v>
      </c>
      <c r="H923" s="40">
        <v>96</v>
      </c>
      <c r="I923" s="41" t="s">
        <v>20</v>
      </c>
      <c r="J923" s="42">
        <v>14200</v>
      </c>
      <c r="K923" s="38" t="s">
        <v>20</v>
      </c>
      <c r="L923" s="43">
        <v>0.125</v>
      </c>
      <c r="M923" s="43">
        <v>0.05</v>
      </c>
      <c r="N923" s="40">
        <f>(192-73)</f>
        <v>119</v>
      </c>
      <c r="O923" s="41" t="s">
        <v>20</v>
      </c>
      <c r="P923" s="37">
        <f t="shared" si="201"/>
        <v>73</v>
      </c>
      <c r="Q923" s="41" t="s">
        <v>20</v>
      </c>
      <c r="R923" s="42">
        <f t="shared" si="202"/>
        <v>861673.75</v>
      </c>
      <c r="S923" s="42">
        <f t="shared" si="189"/>
        <v>776282.65765765763</v>
      </c>
    </row>
    <row r="924" spans="1:19" s="17" customFormat="1">
      <c r="A924" s="16" t="s">
        <v>707</v>
      </c>
      <c r="B924" s="17" t="s">
        <v>19</v>
      </c>
      <c r="C924" s="18"/>
      <c r="D924" s="19" t="s">
        <v>20</v>
      </c>
      <c r="E924" s="20"/>
      <c r="F924" s="21">
        <v>1</v>
      </c>
      <c r="G924" s="22" t="s">
        <v>21</v>
      </c>
      <c r="H924" s="21">
        <v>24</v>
      </c>
      <c r="I924" s="22" t="s">
        <v>20</v>
      </c>
      <c r="J924" s="23">
        <v>41000</v>
      </c>
      <c r="K924" s="19" t="s">
        <v>20</v>
      </c>
      <c r="L924" s="24">
        <v>0.125</v>
      </c>
      <c r="M924" s="24">
        <v>0.05</v>
      </c>
      <c r="N924" s="21"/>
      <c r="O924" s="22" t="s">
        <v>20</v>
      </c>
      <c r="P924" s="18">
        <f t="shared" si="201"/>
        <v>0</v>
      </c>
      <c r="Q924" s="22" t="s">
        <v>20</v>
      </c>
      <c r="R924" s="23">
        <f t="shared" si="202"/>
        <v>0</v>
      </c>
      <c r="S924" s="23">
        <f t="shared" si="189"/>
        <v>0</v>
      </c>
    </row>
    <row r="925" spans="1:19" s="26" customFormat="1">
      <c r="A925" s="25" t="s">
        <v>708</v>
      </c>
      <c r="B925" s="26" t="s">
        <v>19</v>
      </c>
      <c r="C925" s="27">
        <v>246</v>
      </c>
      <c r="D925" s="28" t="s">
        <v>20</v>
      </c>
      <c r="E925" s="29"/>
      <c r="F925" s="30">
        <v>1</v>
      </c>
      <c r="G925" s="31" t="s">
        <v>21</v>
      </c>
      <c r="H925" s="30">
        <v>100</v>
      </c>
      <c r="I925" s="31" t="s">
        <v>20</v>
      </c>
      <c r="J925" s="32">
        <v>15500</v>
      </c>
      <c r="K925" s="28" t="s">
        <v>20</v>
      </c>
      <c r="L925" s="33">
        <v>0.125</v>
      </c>
      <c r="M925" s="33">
        <v>0.05</v>
      </c>
      <c r="N925" s="30"/>
      <c r="O925" s="31" t="s">
        <v>20</v>
      </c>
      <c r="P925" s="27">
        <f t="shared" si="201"/>
        <v>246</v>
      </c>
      <c r="Q925" s="31" t="s">
        <v>20</v>
      </c>
      <c r="R925" s="32">
        <f t="shared" si="202"/>
        <v>3169556.25</v>
      </c>
      <c r="S925" s="32">
        <f t="shared" si="189"/>
        <v>2855456.0810810807</v>
      </c>
    </row>
    <row r="926" spans="1:19" s="26" customFormat="1">
      <c r="A926" s="25"/>
      <c r="C926" s="27"/>
      <c r="D926" s="28"/>
      <c r="E926" s="29"/>
      <c r="F926" s="30"/>
      <c r="G926" s="31"/>
      <c r="H926" s="30"/>
      <c r="I926" s="31"/>
      <c r="J926" s="32"/>
      <c r="K926" s="28"/>
      <c r="L926" s="33"/>
      <c r="M926" s="33"/>
      <c r="N926" s="30"/>
      <c r="O926" s="31"/>
      <c r="P926" s="27"/>
      <c r="Q926" s="31"/>
      <c r="R926" s="32"/>
      <c r="S926" s="32"/>
    </row>
    <row r="927" spans="1:19" s="63" customFormat="1">
      <c r="A927" s="111" t="s">
        <v>753</v>
      </c>
      <c r="B927" s="63" t="s">
        <v>26</v>
      </c>
      <c r="C927" s="64"/>
      <c r="D927" s="65" t="s">
        <v>20</v>
      </c>
      <c r="E927" s="66"/>
      <c r="F927" s="67">
        <v>1</v>
      </c>
      <c r="G927" s="68" t="s">
        <v>21</v>
      </c>
      <c r="H927" s="67">
        <v>24</v>
      </c>
      <c r="I927" s="68" t="s">
        <v>20</v>
      </c>
      <c r="J927" s="69">
        <f>372000/24</f>
        <v>15500</v>
      </c>
      <c r="K927" s="65" t="s">
        <v>20</v>
      </c>
      <c r="L927" s="70"/>
      <c r="M927" s="70">
        <v>0.17</v>
      </c>
      <c r="N927" s="67"/>
      <c r="O927" s="68" t="s">
        <v>20</v>
      </c>
      <c r="P927" s="64">
        <f t="shared" si="201"/>
        <v>0</v>
      </c>
      <c r="Q927" s="68" t="s">
        <v>20</v>
      </c>
      <c r="R927" s="69">
        <f t="shared" si="202"/>
        <v>0</v>
      </c>
      <c r="S927" s="69">
        <f t="shared" si="189"/>
        <v>0</v>
      </c>
    </row>
    <row r="928" spans="1:19" s="17" customFormat="1">
      <c r="A928" s="111" t="s">
        <v>710</v>
      </c>
      <c r="B928" s="17" t="s">
        <v>26</v>
      </c>
      <c r="C928" s="18"/>
      <c r="D928" s="19" t="s">
        <v>20</v>
      </c>
      <c r="E928" s="20"/>
      <c r="F928" s="21">
        <v>1</v>
      </c>
      <c r="G928" s="22" t="s">
        <v>21</v>
      </c>
      <c r="H928" s="21">
        <v>24</v>
      </c>
      <c r="I928" s="22" t="s">
        <v>20</v>
      </c>
      <c r="J928" s="23">
        <f>444000/24</f>
        <v>18500</v>
      </c>
      <c r="K928" s="19" t="s">
        <v>20</v>
      </c>
      <c r="L928" s="24"/>
      <c r="M928" s="24">
        <v>0.17</v>
      </c>
      <c r="N928" s="21"/>
      <c r="O928" s="22" t="s">
        <v>20</v>
      </c>
      <c r="P928" s="18">
        <f t="shared" si="201"/>
        <v>0</v>
      </c>
      <c r="Q928" s="22" t="s">
        <v>20</v>
      </c>
      <c r="R928" s="23">
        <f t="shared" si="202"/>
        <v>0</v>
      </c>
      <c r="S928" s="23">
        <f t="shared" si="189"/>
        <v>0</v>
      </c>
    </row>
    <row r="929" spans="1:19" s="63" customFormat="1">
      <c r="A929" s="111" t="s">
        <v>711</v>
      </c>
      <c r="B929" s="63" t="s">
        <v>26</v>
      </c>
      <c r="C929" s="64"/>
      <c r="D929" s="65" t="s">
        <v>20</v>
      </c>
      <c r="E929" s="66"/>
      <c r="F929" s="67">
        <v>1</v>
      </c>
      <c r="G929" s="68" t="s">
        <v>21</v>
      </c>
      <c r="H929" s="67">
        <v>24</v>
      </c>
      <c r="I929" s="68" t="s">
        <v>20</v>
      </c>
      <c r="J929" s="69">
        <f>462000/24</f>
        <v>19250</v>
      </c>
      <c r="K929" s="65" t="s">
        <v>20</v>
      </c>
      <c r="L929" s="70"/>
      <c r="M929" s="70">
        <v>0.17</v>
      </c>
      <c r="N929" s="67"/>
      <c r="O929" s="68" t="s">
        <v>20</v>
      </c>
      <c r="P929" s="64">
        <f t="shared" si="201"/>
        <v>0</v>
      </c>
      <c r="Q929" s="68" t="s">
        <v>20</v>
      </c>
      <c r="R929" s="69">
        <f t="shared" si="202"/>
        <v>0</v>
      </c>
      <c r="S929" s="23">
        <f t="shared" si="189"/>
        <v>0</v>
      </c>
    </row>
    <row r="930" spans="1:19" s="45" customFormat="1">
      <c r="A930" s="107" t="s">
        <v>788</v>
      </c>
      <c r="B930" s="45" t="s">
        <v>26</v>
      </c>
      <c r="C930" s="46">
        <v>24</v>
      </c>
      <c r="D930" s="47" t="s">
        <v>20</v>
      </c>
      <c r="E930" s="48">
        <f>4+5</f>
        <v>9</v>
      </c>
      <c r="F930" s="49">
        <v>1</v>
      </c>
      <c r="G930" s="50" t="s">
        <v>21</v>
      </c>
      <c r="H930" s="49">
        <v>24</v>
      </c>
      <c r="I930" s="50" t="s">
        <v>20</v>
      </c>
      <c r="J930" s="51">
        <f>462000/24</f>
        <v>19250</v>
      </c>
      <c r="K930" s="47" t="s">
        <v>20</v>
      </c>
      <c r="L930" s="52"/>
      <c r="M930" s="52">
        <v>0.17</v>
      </c>
      <c r="N930" s="49">
        <f>6+24+48</f>
        <v>78</v>
      </c>
      <c r="O930" s="50" t="s">
        <v>20</v>
      </c>
      <c r="P930" s="46">
        <f t="shared" si="201"/>
        <v>162</v>
      </c>
      <c r="Q930" s="50" t="s">
        <v>20</v>
      </c>
      <c r="R930" s="51">
        <f t="shared" si="202"/>
        <v>2588355</v>
      </c>
      <c r="S930" s="32">
        <f t="shared" si="189"/>
        <v>2331851.351351351</v>
      </c>
    </row>
    <row r="931" spans="1:19" s="17" customFormat="1">
      <c r="A931" s="111" t="s">
        <v>712</v>
      </c>
      <c r="B931" s="17" t="s">
        <v>26</v>
      </c>
      <c r="C931" s="18"/>
      <c r="D931" s="19" t="s">
        <v>20</v>
      </c>
      <c r="E931" s="20"/>
      <c r="F931" s="21">
        <v>1</v>
      </c>
      <c r="G931" s="22" t="s">
        <v>21</v>
      </c>
      <c r="H931" s="21">
        <v>24</v>
      </c>
      <c r="I931" s="22" t="s">
        <v>20</v>
      </c>
      <c r="J931" s="23">
        <v>17250</v>
      </c>
      <c r="K931" s="19" t="s">
        <v>20</v>
      </c>
      <c r="L931" s="24"/>
      <c r="M931" s="24">
        <v>0.17</v>
      </c>
      <c r="N931" s="21"/>
      <c r="O931" s="22" t="s">
        <v>20</v>
      </c>
      <c r="P931" s="18">
        <f t="shared" si="201"/>
        <v>0</v>
      </c>
      <c r="Q931" s="22" t="s">
        <v>20</v>
      </c>
      <c r="R931" s="23">
        <f t="shared" si="202"/>
        <v>0</v>
      </c>
      <c r="S931" s="23">
        <f t="shared" si="189"/>
        <v>0</v>
      </c>
    </row>
    <row r="932" spans="1:19" s="17" customFormat="1">
      <c r="A932" s="111" t="s">
        <v>794</v>
      </c>
      <c r="B932" s="17" t="s">
        <v>26</v>
      </c>
      <c r="C932" s="18"/>
      <c r="D932" s="19" t="s">
        <v>20</v>
      </c>
      <c r="E932" s="20"/>
      <c r="F932" s="21">
        <v>1</v>
      </c>
      <c r="G932" s="22" t="s">
        <v>21</v>
      </c>
      <c r="H932" s="21">
        <v>24</v>
      </c>
      <c r="I932" s="22" t="s">
        <v>20</v>
      </c>
      <c r="J932" s="23">
        <f>420000/24</f>
        <v>17500</v>
      </c>
      <c r="K932" s="19" t="s">
        <v>20</v>
      </c>
      <c r="L932" s="24"/>
      <c r="M932" s="24">
        <v>0.17</v>
      </c>
      <c r="N932" s="21"/>
      <c r="O932" s="22" t="s">
        <v>20</v>
      </c>
      <c r="P932" s="18">
        <f t="shared" si="201"/>
        <v>0</v>
      </c>
      <c r="Q932" s="22" t="s">
        <v>20</v>
      </c>
      <c r="R932" s="23">
        <f t="shared" si="202"/>
        <v>0</v>
      </c>
      <c r="S932" s="23">
        <f t="shared" si="189"/>
        <v>0</v>
      </c>
    </row>
    <row r="933" spans="1:19" s="26" customFormat="1">
      <c r="A933" s="107" t="s">
        <v>713</v>
      </c>
      <c r="B933" s="26" t="s">
        <v>26</v>
      </c>
      <c r="C933" s="27"/>
      <c r="D933" s="28" t="s">
        <v>20</v>
      </c>
      <c r="E933" s="29">
        <v>1</v>
      </c>
      <c r="F933" s="30">
        <v>1</v>
      </c>
      <c r="G933" s="31" t="s">
        <v>21</v>
      </c>
      <c r="H933" s="30">
        <v>12</v>
      </c>
      <c r="I933" s="31" t="s">
        <v>20</v>
      </c>
      <c r="J933" s="32">
        <f>342000/12</f>
        <v>28500</v>
      </c>
      <c r="K933" s="28" t="s">
        <v>20</v>
      </c>
      <c r="L933" s="33"/>
      <c r="M933" s="33">
        <v>0.17</v>
      </c>
      <c r="N933" s="30"/>
      <c r="O933" s="31" t="s">
        <v>20</v>
      </c>
      <c r="P933" s="27">
        <f t="shared" si="201"/>
        <v>12</v>
      </c>
      <c r="Q933" s="31" t="s">
        <v>20</v>
      </c>
      <c r="R933" s="32">
        <f t="shared" si="202"/>
        <v>283860</v>
      </c>
      <c r="S933" s="32">
        <f t="shared" si="189"/>
        <v>255729.7297297297</v>
      </c>
    </row>
    <row r="934" spans="1:19" s="17" customFormat="1">
      <c r="A934" s="111" t="s">
        <v>714</v>
      </c>
      <c r="B934" s="17" t="s">
        <v>26</v>
      </c>
      <c r="C934" s="18"/>
      <c r="D934" s="19" t="s">
        <v>20</v>
      </c>
      <c r="E934" s="20"/>
      <c r="F934" s="21">
        <v>1</v>
      </c>
      <c r="G934" s="22" t="s">
        <v>21</v>
      </c>
      <c r="H934" s="21">
        <v>12</v>
      </c>
      <c r="I934" s="22" t="s">
        <v>20</v>
      </c>
      <c r="J934" s="23">
        <f>348000/12</f>
        <v>29000</v>
      </c>
      <c r="K934" s="19" t="s">
        <v>20</v>
      </c>
      <c r="L934" s="24"/>
      <c r="M934" s="24">
        <v>0.17</v>
      </c>
      <c r="N934" s="21"/>
      <c r="O934" s="22" t="s">
        <v>20</v>
      </c>
      <c r="P934" s="18">
        <f t="shared" si="201"/>
        <v>0</v>
      </c>
      <c r="Q934" s="22" t="s">
        <v>20</v>
      </c>
      <c r="R934" s="23">
        <f t="shared" si="202"/>
        <v>0</v>
      </c>
      <c r="S934" s="23">
        <f t="shared" si="189"/>
        <v>0</v>
      </c>
    </row>
    <row r="935" spans="1:19" s="17" customFormat="1">
      <c r="A935" s="111" t="s">
        <v>730</v>
      </c>
      <c r="B935" s="17" t="s">
        <v>26</v>
      </c>
      <c r="C935" s="18"/>
      <c r="D935" s="19" t="s">
        <v>20</v>
      </c>
      <c r="E935" s="20"/>
      <c r="F935" s="21">
        <v>8</v>
      </c>
      <c r="G935" s="22" t="s">
        <v>43</v>
      </c>
      <c r="H935" s="21">
        <v>12</v>
      </c>
      <c r="I935" s="22" t="s">
        <v>20</v>
      </c>
      <c r="J935" s="23">
        <f>2112000/8/12</f>
        <v>22000</v>
      </c>
      <c r="K935" s="19" t="s">
        <v>20</v>
      </c>
      <c r="L935" s="24"/>
      <c r="M935" s="24">
        <v>0.17</v>
      </c>
      <c r="N935" s="21"/>
      <c r="O935" s="22" t="s">
        <v>20</v>
      </c>
      <c r="P935" s="18">
        <f t="shared" si="201"/>
        <v>0</v>
      </c>
      <c r="Q935" s="22" t="s">
        <v>20</v>
      </c>
      <c r="R935" s="23">
        <f t="shared" si="202"/>
        <v>0</v>
      </c>
      <c r="S935" s="23">
        <f t="shared" si="189"/>
        <v>0</v>
      </c>
    </row>
    <row r="936" spans="1:19" s="17" customFormat="1">
      <c r="A936" s="111"/>
      <c r="C936" s="18"/>
      <c r="D936" s="19"/>
      <c r="E936" s="20"/>
      <c r="F936" s="21"/>
      <c r="G936" s="22"/>
      <c r="H936" s="21"/>
      <c r="I936" s="22"/>
      <c r="J936" s="23"/>
      <c r="K936" s="19"/>
      <c r="L936" s="24"/>
      <c r="M936" s="24"/>
      <c r="N936" s="21"/>
      <c r="O936" s="22"/>
      <c r="P936" s="18"/>
      <c r="Q936" s="22"/>
      <c r="R936" s="23"/>
      <c r="S936" s="23"/>
    </row>
    <row r="937" spans="1:19" s="63" customFormat="1">
      <c r="A937" s="111" t="s">
        <v>715</v>
      </c>
      <c r="B937" s="63" t="s">
        <v>192</v>
      </c>
      <c r="C937" s="64"/>
      <c r="D937" s="65" t="s">
        <v>43</v>
      </c>
      <c r="E937" s="66"/>
      <c r="F937" s="67">
        <v>48</v>
      </c>
      <c r="G937" s="68" t="s">
        <v>34</v>
      </c>
      <c r="H937" s="67">
        <v>1</v>
      </c>
      <c r="I937" s="68" t="s">
        <v>43</v>
      </c>
      <c r="J937" s="69">
        <v>91000</v>
      </c>
      <c r="K937" s="65" t="s">
        <v>43</v>
      </c>
      <c r="L937" s="70"/>
      <c r="M937" s="70"/>
      <c r="N937" s="67">
        <f>3+3+24</f>
        <v>30</v>
      </c>
      <c r="O937" s="68" t="s">
        <v>43</v>
      </c>
      <c r="P937" s="64">
        <f>(C937+(E937*F937*H937))-N937</f>
        <v>-30</v>
      </c>
      <c r="Q937" s="68" t="s">
        <v>43</v>
      </c>
      <c r="R937" s="69">
        <f t="shared" si="202"/>
        <v>-2730000</v>
      </c>
      <c r="S937" s="23">
        <f t="shared" ref="S937:S939" si="204">R937/1.11</f>
        <v>-2459459.4594594594</v>
      </c>
    </row>
    <row r="938" spans="1:19" s="63" customFormat="1">
      <c r="A938" s="111"/>
      <c r="C938" s="64"/>
      <c r="D938" s="65"/>
      <c r="E938" s="66"/>
      <c r="F938" s="67"/>
      <c r="G938" s="68"/>
      <c r="H938" s="67"/>
      <c r="I938" s="68"/>
      <c r="J938" s="69"/>
      <c r="K938" s="65"/>
      <c r="L938" s="70"/>
      <c r="M938" s="70"/>
      <c r="N938" s="67"/>
      <c r="O938" s="68"/>
      <c r="P938" s="64"/>
      <c r="Q938" s="68"/>
      <c r="R938" s="69"/>
      <c r="S938" s="23"/>
    </row>
    <row r="939" spans="1:19" s="17" customFormat="1">
      <c r="A939" s="111" t="s">
        <v>716</v>
      </c>
      <c r="B939" s="17" t="s">
        <v>659</v>
      </c>
      <c r="C939" s="18"/>
      <c r="D939" s="19" t="s">
        <v>20</v>
      </c>
      <c r="E939" s="20"/>
      <c r="F939" s="21">
        <v>1</v>
      </c>
      <c r="G939" s="22" t="s">
        <v>21</v>
      </c>
      <c r="H939" s="21">
        <v>24</v>
      </c>
      <c r="I939" s="22" t="s">
        <v>20</v>
      </c>
      <c r="J939" s="23">
        <v>18200</v>
      </c>
      <c r="K939" s="19" t="s">
        <v>20</v>
      </c>
      <c r="L939" s="24">
        <v>0.15</v>
      </c>
      <c r="M939" s="24">
        <v>0.03</v>
      </c>
      <c r="N939" s="21"/>
      <c r="O939" s="22" t="s">
        <v>20</v>
      </c>
      <c r="P939" s="18">
        <f>(C939+(E939*F939*H939))-N939</f>
        <v>0</v>
      </c>
      <c r="Q939" s="22" t="s">
        <v>20</v>
      </c>
      <c r="R939" s="23">
        <f t="shared" si="202"/>
        <v>0</v>
      </c>
      <c r="S939" s="23">
        <f t="shared" si="204"/>
        <v>0</v>
      </c>
    </row>
    <row r="940" spans="1:19">
      <c r="S940" s="23"/>
    </row>
    <row r="941" spans="1:19" ht="15.75">
      <c r="A941" s="14" t="s">
        <v>722</v>
      </c>
      <c r="S941" s="23"/>
    </row>
    <row r="942" spans="1:19" s="63" customFormat="1">
      <c r="A942" s="72" t="s">
        <v>723</v>
      </c>
      <c r="B942" s="63" t="s">
        <v>19</v>
      </c>
      <c r="C942" s="64"/>
      <c r="D942" s="65" t="s">
        <v>20</v>
      </c>
      <c r="E942" s="66"/>
      <c r="F942" s="67">
        <v>1</v>
      </c>
      <c r="G942" s="68" t="s">
        <v>21</v>
      </c>
      <c r="H942" s="67">
        <v>100</v>
      </c>
      <c r="I942" s="68" t="s">
        <v>20</v>
      </c>
      <c r="J942" s="69">
        <v>8400</v>
      </c>
      <c r="K942" s="65" t="s">
        <v>20</v>
      </c>
      <c r="L942" s="70">
        <v>0.125</v>
      </c>
      <c r="M942" s="70">
        <v>0.05</v>
      </c>
      <c r="N942" s="67"/>
      <c r="O942" s="68" t="s">
        <v>20</v>
      </c>
      <c r="P942" s="64">
        <f t="shared" ref="P942" si="205">(C942+(E942*F942*H942))-N942</f>
        <v>0</v>
      </c>
      <c r="Q942" s="68" t="s">
        <v>20</v>
      </c>
      <c r="R942" s="69">
        <f t="shared" ref="R942" si="206">P942*(J942-(J942*L942)-((J942-(J942*L942))*M942))</f>
        <v>0</v>
      </c>
      <c r="S942" s="69">
        <f t="shared" ref="S942" si="207">R942/1.11</f>
        <v>0</v>
      </c>
    </row>
    <row r="943" spans="1:19">
      <c r="A943" s="2"/>
      <c r="R943" s="23"/>
      <c r="S943" s="23"/>
    </row>
    <row r="945" spans="18:21" ht="16.5">
      <c r="R945" s="146">
        <f>SUM(R6:R943)</f>
        <v>2017827318.2750001</v>
      </c>
      <c r="S945" s="146">
        <f>SUM(S6:S943)</f>
        <v>1817862448.8963974</v>
      </c>
    </row>
    <row r="946" spans="18:21">
      <c r="R946" s="156"/>
      <c r="S946" s="147"/>
      <c r="U946" s="8"/>
    </row>
    <row r="947" spans="18:21">
      <c r="R947" s="155">
        <f>S947+(S947*11%)</f>
        <v>4109123994.223896</v>
      </c>
      <c r="S947" s="247">
        <v>3701913508.3098164</v>
      </c>
      <c r="U947" s="246"/>
    </row>
    <row r="948" spans="18:21" ht="15.75">
      <c r="R948" s="208">
        <f>SUM(R945:R947)</f>
        <v>6126951312.4988956</v>
      </c>
      <c r="S948" s="208">
        <f>S945+S946+S947</f>
        <v>5519775957.206214</v>
      </c>
      <c r="U948" s="246"/>
    </row>
    <row r="949" spans="18:21">
      <c r="R949" s="150"/>
      <c r="S949" s="150"/>
    </row>
    <row r="950" spans="18:21">
      <c r="S950" s="316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Mei</vt:lpstr>
      <vt:lpstr>Juni</vt:lpstr>
      <vt:lpstr>Juli</vt:lpstr>
      <vt:lpstr>Agustus</vt:lpstr>
      <vt:lpstr>September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2022-08-03T09:17:32Z</cp:lastPrinted>
  <dcterms:created xsi:type="dcterms:W3CDTF">2022-05-18T09:19:05Z</dcterms:created>
  <dcterms:modified xsi:type="dcterms:W3CDTF">2022-10-18T09:26:58Z</dcterms:modified>
</cp:coreProperties>
</file>